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8.xml.rels" ContentType="application/vnd.openxmlformats-package.relationships+xml"/>
  <Override PartName="/xl/worksheets/_rels/sheet13.xml.rels" ContentType="application/vnd.openxmlformats-package.relationships+xml"/>
  <Override PartName="/xl/worksheets/_rels/sheet7.xml.rels" ContentType="application/vnd.openxmlformats-package.relationships+xml"/>
  <Override PartName="/xl/worksheets/_rels/sheet12.xml.rels" ContentType="application/vnd.openxmlformats-package.relationships+xml"/>
  <Override PartName="/xl/worksheets/_rels/sheet4.xml.rels" ContentType="application/vnd.openxmlformats-package.relationships+xml"/>
  <Override PartName="/xl/worksheets/_rels/sheet3.xml.rels" ContentType="application/vnd.openxmlformats-package.relationships+xml"/>
  <Override PartName="/xl/worksheets/_rels/sheet11.xml.rels" ContentType="application/vnd.openxmlformats-package.relationships+xml"/>
  <Override PartName="/xl/worksheets/_rels/sheet5.xml.rels" ContentType="application/vnd.openxmlformats-package.relationships+xml"/>
  <Override PartName="/xl/worksheets/_rels/sheet6.xml.rels" ContentType="application/vnd.openxmlformats-package.relationships+xml"/>
  <Override PartName="/xl/worksheets/_rels/sheet10.xml.rels" ContentType="application/vnd.openxmlformats-package.relationships+xml"/>
  <Override PartName="/xl/worksheets/_rels/sheet9.xml.rels" ContentType="application/vnd.openxmlformats-package.relationships+xml"/>
  <Override PartName="/xl/worksheets/_rels/sheet15.xml.rels" ContentType="application/vnd.openxmlformats-package.relationships+xml"/>
  <Override PartName="/xl/worksheets/_rels/sheet14.xml.rels" ContentType="application/vnd.openxmlformats-package.relationships+xml"/>
  <Override PartName="/xl/worksheets/_rels/sheet19.xml.rels" ContentType="application/vnd.openxmlformats-package.relationships+xml"/>
  <Override PartName="/xl/worksheets/_rels/sheet18.xml.rels" ContentType="application/vnd.openxmlformats-package.relationships+xml"/>
  <Override PartName="/xl/worksheets/_rels/sheet17.xml.rels" ContentType="application/vnd.openxmlformats-package.relationships+xml"/>
  <Override PartName="/xl/worksheets/_rels/sheet16.xml.rels" ContentType="application/vnd.openxmlformats-package.relationships+xml"/>
  <Override PartName="/xl/worksheets/_rels/sheet1.xml.rels" ContentType="application/vnd.openxmlformats-package.relationships+xml"/>
  <Override PartName="/xl/worksheets/_rels/sheet2.xml.rels" ContentType="application/vnd.openxmlformats-package.relationships+xml"/>
  <Override PartName="/xl/worksheets/sheet11.xml" ContentType="application/vnd.openxmlformats-officedocument.spreadsheetml.worksheet+xml"/>
  <Override PartName="/xl/worksheets/sheet6.xml" ContentType="application/vnd.openxmlformats-officedocument.spreadsheetml.worksheet+xml"/>
  <Override PartName="/xl/worksheets/sheet10.xml" ContentType="application/vnd.openxmlformats-officedocument.spreadsheetml.worksheet+xml"/>
  <Override PartName="/xl/worksheets/sheet5.xml" ContentType="application/vnd.openxmlformats-officedocument.spreadsheetml.worksheet+xml"/>
  <Override PartName="/xl/worksheets/sheet9.xml" ContentType="application/vnd.openxmlformats-officedocument.spreadsheetml.worksheet+xml"/>
  <Override PartName="/xl/worksheets/sheet14.xml" ContentType="application/vnd.openxmlformats-officedocument.spreadsheetml.worksheet+xml"/>
  <Override PartName="/xl/worksheets/sheet19.xml" ContentType="application/vnd.openxmlformats-officedocument.spreadsheetml.worksheet+xml"/>
  <Override PartName="/xl/worksheets/sheet18.xml" ContentType="application/vnd.openxmlformats-officedocument.spreadsheetml.worksheet+xml"/>
  <Override PartName="/xl/worksheets/sheet17.xml" ContentType="application/vnd.openxmlformats-officedocument.spreadsheetml.worksheet+xml"/>
  <Override PartName="/xl/worksheets/sheet16.xml" ContentType="application/vnd.openxmlformats-officedocument.spreadsheetml.worksheet+xml"/>
  <Override PartName="/xl/worksheets/sheet15.xml" ContentType="application/vnd.openxmlformats-officedocument.spreadsheetml.worksheet+xml"/>
  <Override PartName="/xl/worksheets/sheet4.xml" ContentType="application/vnd.openxmlformats-officedocument.spreadsheetml.worksheet+xml"/>
  <Override PartName="/xl/worksheets/sheet1.xml" ContentType="application/vnd.openxmlformats-officedocument.spreadsheetml.worksheet+xml"/>
  <Override PartName="/xl/worksheets/sheet7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8.xml" ContentType="application/vnd.openxmlformats-officedocument.spreadsheetml.worksheet+xml"/>
  <Override PartName="/xl/worksheets/sheet13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tables/table9.xml" ContentType="application/vnd.openxmlformats-officedocument.spreadsheetml.table+xml"/>
  <Override PartName="/xl/tables/table11.xml" ContentType="application/vnd.openxmlformats-officedocument.spreadsheetml.table+xml"/>
  <Override PartName="/xl/tables/table7.xml" ContentType="application/vnd.openxmlformats-officedocument.spreadsheetml.table+xml"/>
  <Override PartName="/xl/tables/table14.xml" ContentType="application/vnd.openxmlformats-officedocument.spreadsheetml.table+xml"/>
  <Override PartName="/xl/tables/table5.xml" ContentType="application/vnd.openxmlformats-officedocument.spreadsheetml.table+xml"/>
  <Override PartName="/xl/tables/table12.xml" ContentType="application/vnd.openxmlformats-officedocument.spreadsheetml.table+xml"/>
  <Override PartName="/xl/tables/table3.xml" ContentType="application/vnd.openxmlformats-officedocument.spreadsheetml.table+xml"/>
  <Override PartName="/xl/tables/table13.xml" ContentType="application/vnd.openxmlformats-officedocument.spreadsheetml.table+xml"/>
  <Override PartName="/xl/tables/table6.xml" ContentType="application/vnd.openxmlformats-officedocument.spreadsheetml.table+xml"/>
  <Override PartName="/xl/tables/table1.xml" ContentType="application/vnd.openxmlformats-officedocument.spreadsheetml.table+xml"/>
  <Override PartName="/xl/tables/table10.xml" ContentType="application/vnd.openxmlformats-officedocument.spreadsheetml.table+xml"/>
  <Override PartName="/xl/tables/table8.xml" ContentType="application/vnd.openxmlformats-officedocument.spreadsheetml.table+xml"/>
  <Override PartName="/xl/tables/table15.xml" ContentType="application/vnd.openxmlformats-officedocument.spreadsheetml.table+xml"/>
  <Override PartName="/xl/tables/table4.xml" ContentType="application/vnd.openxmlformats-officedocument.spreadsheetml.table+xml"/>
  <Override PartName="/xl/tables/table2.xml" ContentType="application/vnd.openxmlformats-officedocument.spreadsheetml.table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01 Start Here" sheetId="1" state="visible" r:id="rId3"/>
    <sheet name="02 Methodology &amp; Settings" sheetId="2" state="visible" r:id="rId4"/>
    <sheet name="03 Supplier Inventory" sheetId="3" state="visible" r:id="rId5"/>
    <sheet name="04 Criticality Assessment" sheetId="4" state="visible" r:id="rId6"/>
    <sheet name="05 Supplier Risk Register" sheetId="5" state="visible" r:id="rId7"/>
    <sheet name="06 Due Diligence Question Bank" sheetId="6" state="visible" r:id="rId8"/>
    <sheet name="07 Questionnaire Assessment" sheetId="7" state="visible" r:id="rId9"/>
    <sheet name="08 Evidence Register" sheetId="8" state="visible" r:id="rId10"/>
    <sheet name="09 Control Assessment" sheetId="9" state="visible" r:id="rId11"/>
    <sheet name="10 Findings Register" sheetId="10" state="visible" r:id="rId12"/>
    <sheet name="11 Treatment Tracker" sheetId="11" state="visible" r:id="rId13"/>
    <sheet name="12 Acceptance &amp; Decisions" sheetId="12" state="visible" r:id="rId14"/>
    <sheet name="13 Contract Requirements" sheetId="13" state="visible" r:id="rId15"/>
    <sheet name="14 Supplier Monitoring" sheetId="14" state="visible" r:id="rId16"/>
    <sheet name="15 Incident Log" sheetId="15" state="visible" r:id="rId17"/>
    <sheet name="16 Dependency &amp; Concentration" sheetId="16" state="visible" r:id="rId18"/>
    <sheet name="17 Supplier Exit Tracker" sheetId="17" state="visible" r:id="rId19"/>
    <sheet name="18 Assessment Report" sheetId="18" state="visible" r:id="rId20"/>
    <sheet name="19 Portfolio Dashboard" sheetId="19" state="visible" r:id="rId21"/>
  </sheets>
  <definedNames>
    <definedName function="false" hidden="false" localSheetId="2" name="_xlnm.Print_Titles" vbProcedure="false">'03 Supplier Inventory'!$6:$6</definedName>
    <definedName function="false" hidden="false" localSheetId="3" name="_xlnm.Print_Titles" vbProcedure="false">'04 Criticality Assessment'!$6:$6</definedName>
    <definedName function="false" hidden="false" localSheetId="4" name="_xlnm.Print_Titles" vbProcedure="false">'05 Supplier Risk Register'!$6:$6</definedName>
    <definedName function="false" hidden="false" localSheetId="5" name="_xlnm.Print_Titles" vbProcedure="false">'06 Due Diligence Question Bank'!$6:$6</definedName>
    <definedName function="false" hidden="false" localSheetId="6" name="_xlnm.Print_Titles" vbProcedure="false">'07 Questionnaire Assessment'!$6:$6</definedName>
    <definedName function="false" hidden="false" localSheetId="7" name="_xlnm.Print_Titles" vbProcedure="false">'08 Evidence Register'!$6:$6</definedName>
    <definedName function="false" hidden="false" localSheetId="8" name="_xlnm.Print_Titles" vbProcedure="false">'09 Control Assessment'!$6:$6</definedName>
    <definedName function="false" hidden="false" localSheetId="9" name="_xlnm.Print_Titles" vbProcedure="false">'10 Findings Register'!$6:$6</definedName>
    <definedName function="false" hidden="false" localSheetId="10" name="_xlnm.Print_Titles" vbProcedure="false">'11 Treatment Tracker'!$6:$6</definedName>
    <definedName function="false" hidden="false" localSheetId="11" name="_xlnm.Print_Titles" vbProcedure="false">'12 Acceptance &amp; Decisions'!$6:$6</definedName>
    <definedName function="false" hidden="false" localSheetId="12" name="_xlnm.Print_Titles" vbProcedure="false">'13 Contract Requirements'!$6:$6</definedName>
    <definedName function="false" hidden="false" localSheetId="13" name="_xlnm.Print_Titles" vbProcedure="false">'14 Supplier Monitoring'!$6:$6</definedName>
    <definedName function="false" hidden="false" localSheetId="14" name="_xlnm.Print_Titles" vbProcedure="false">'15 Incident Log'!$6:$6</definedName>
    <definedName function="false" hidden="false" localSheetId="15" name="_xlnm.Print_Titles" vbProcedure="false">'16 Dependency &amp; Concentration'!$6:$6</definedName>
    <definedName function="false" hidden="false" localSheetId="16" name="_xlnm.Print_Titles" vbProcedure="false">'17 Supplier Exit Tracker'!$6:$6</definedName>
    <definedName function="false" hidden="false" localSheetId="17" name="_xlnm.Print_Area" vbProcedure="false">'18 Assessment Report'!$A$1:$H$138</definedName>
    <definedName function="false" hidden="false" localSheetId="18" name="_xlnm.Print_Area" vbProcedure="false">'19 Portfolio Dashboard'!$A$1:$H$92</definedName>
    <definedName function="false" hidden="false" name="AppetiteThreshold" vbProcedure="false">'02 Methodology &amp; Settings'!$B$16</definedName>
    <definedName function="false" hidden="false" name="AsOf" vbProcedure="false">'02 Methodology &amp; Settings'!$B$8</definedName>
    <definedName function="false" hidden="false" name="BandMin" vbProcedure="false">'02 Methodology &amp; Settings'!$A$38:$A$41</definedName>
    <definedName function="false" hidden="false" name="BandName" vbProcedure="false">'02 Methodology &amp; Settings'!$B$38:$B$41</definedName>
    <definedName function="false" hidden="false" name="CA_ASSESSOR" vbProcedure="false">'09 Control Assessment'!$P$7:$P$206</definedName>
    <definedName function="false" hidden="false" name="CA_CHECK" vbProcedure="false">'09 Control Assessment'!$U$7:$U$206</definedName>
    <definedName function="false" hidden="false" name="CA_CONS" vbProcedure="false">'09 Control Assessment'!$T$7:$T$206</definedName>
    <definedName function="false" hidden="false" name="CA_CTRL" vbProcedure="false">'09 Control Assessment'!$D$7:$D$206</definedName>
    <definedName function="false" hidden="false" name="CA_DATE" vbProcedure="false">'09 Control Assessment'!$Q$7:$Q$206</definedName>
    <definedName function="false" hidden="false" name="CA_DESIGN" vbProcedure="false">'09 Control Assessment'!$G$7:$G$206</definedName>
    <definedName function="false" hidden="false" name="CA_EFF" vbProcedure="false">'09 Control Assessment'!$N$7:$N$206</definedName>
    <definedName function="false" hidden="false" name="CA_EVFOUND" vbProcedure="false">'09 Control Assessment'!$K$7:$K$206</definedName>
    <definedName function="false" hidden="false" name="CA_EVIDS" vbProcedure="false">'09 Control Assessment'!$J$7:$J$206</definedName>
    <definedName function="false" hidden="false" name="CA_FND" vbProcedure="false">'09 Control Assessment'!$O$7:$O$206</definedName>
    <definedName function="false" hidden="false" name="CA_ID" vbProcedure="false">'09 Control Assessment'!$A$7:$A$206</definedName>
    <definedName function="false" hidden="false" name="CA_IMPL" vbProcedure="false">'09 Control Assessment'!$H$7:$H$206</definedName>
    <definedName function="false" hidden="false" name="CA_OBJ" vbProcedure="false">'09 Control Assessment'!$F$7:$F$206</definedName>
    <definedName function="false" hidden="false" name="CA_OPER" vbProcedure="false">'09 Control Assessment'!$I$7:$I$206</definedName>
    <definedName function="false" hidden="false" name="CA_POS" vbProcedure="false">'09 Control Assessment'!$S$7:$S$206</definedName>
    <definedName function="false" hidden="false" name="CA_RATIONALE" vbProcedure="false">'09 Control Assessment'!$R$7:$R$206</definedName>
    <definedName function="false" hidden="false" name="CA_RISK" vbProcedure="false">'09 Control Assessment'!$E$7:$E$206</definedName>
    <definedName function="false" hidden="false" name="CA_STATUS" vbProcedure="false">'09 Control Assessment'!$M$7:$M$206</definedName>
    <definedName function="false" hidden="false" name="CA_SUFF" vbProcedure="false">'09 Control Assessment'!$L$7:$L$206</definedName>
    <definedName function="false" hidden="false" name="CA_SUP" vbProcedure="false">'09 Control Assessment'!$B$7:$B$206</definedName>
    <definedName function="false" hidden="false" name="CA_SUPNAME" vbProcedure="false">'09 Control Assessment'!$C$7:$C$206</definedName>
    <definedName function="false" hidden="false" name="CON_AMEND" vbProcedure="false">'13 Contract Requirements'!$L$7:$L$206</definedName>
    <definedName function="false" hidden="false" name="CON_AREF" vbProcedure="false">'13 Contract Requirements'!$O$7:$O$206</definedName>
    <definedName function="false" hidden="false" name="CON_CHECK" vbProcedure="false">'13 Contract Requirements'!$R$7:$R$206</definedName>
    <definedName function="false" hidden="false" name="CON_CLAUSE" vbProcedure="false">'13 Contract Requirements'!$H$7:$H$206</definedName>
    <definedName function="false" hidden="false" name="CON_CREF" vbProcedure="false">'13 Contract Requirements'!$D$7:$D$206</definedName>
    <definedName function="false" hidden="false" name="CON_DISP" vbProcedure="false">'13 Contract Requirements'!$N$7:$N$206</definedName>
    <definedName function="false" hidden="false" name="CON_DOMAIN" vbProcedure="false">'13 Contract Requirements'!$E$7:$E$206</definedName>
    <definedName function="false" hidden="false" name="CON_GAP" vbProcedure="false">'13 Contract Requirements'!$J$7:$J$206</definedName>
    <definedName function="false" hidden="false" name="CON_ID" vbProcedure="false">'13 Contract Requirements'!$A$7:$A$206</definedName>
    <definedName function="false" hidden="false" name="CON_OUTCOME" vbProcedure="false">'13 Contract Requirements'!$M$7:$M$206</definedName>
    <definedName function="false" hidden="false" name="CON_REQ" vbProcedure="false">'13 Contract Requirements'!$G$7:$G$206</definedName>
    <definedName function="false" hidden="false" name="CON_REVDATE" vbProcedure="false">'13 Contract Requirements'!$P$7:$P$206</definedName>
    <definedName function="false" hidden="false" name="CON_REVIEW" vbProcedure="false">'13 Contract Requirements'!$I$7:$I$206</definedName>
    <definedName function="false" hidden="false" name="CON_REVIEWER" vbProcedure="false">'13 Contract Requirements'!$K$7:$K$206</definedName>
    <definedName function="false" hidden="false" name="CON_RISK" vbProcedure="false">'13 Contract Requirements'!$F$7:$F$206</definedName>
    <definedName function="false" hidden="false" name="CON_RPT" vbProcedure="false">'13 Contract Requirements'!$S$7:$S$206</definedName>
    <definedName function="false" hidden="false" name="CON_STATUS" vbProcedure="false">'13 Contract Requirements'!$Q$7:$Q$206</definedName>
    <definedName function="false" hidden="false" name="CON_SUP" vbProcedure="false">'13 Contract Requirements'!$B$7:$B$206</definedName>
    <definedName function="false" hidden="false" name="CON_SUPNAME" vbProcedure="false">'13 Contract Requirements'!$C$7:$C$206</definedName>
    <definedName function="false" hidden="false" name="CRT_ACCESS" vbProcedure="false">'04 Criticality Assessment'!$G$7:$G$66</definedName>
    <definedName function="false" hidden="false" name="CRT_APPRDISP" vbProcedure="false">'04 Criticality Assessment'!$V$7:$V$66</definedName>
    <definedName function="false" hidden="false" name="CRT_BOWNER_VAL" vbProcedure="false">'04 Criticality Assessment'!$O$7:$O$66</definedName>
    <definedName function="false" hidden="false" name="CRT_CHECK" vbProcedure="false">'04 Criticality Assessment'!$Y$7:$Y$66</definedName>
    <definedName function="false" hidden="false" name="CRT_CONFIRM" vbProcedure="false">'04 Criticality Assessment'!$R$7:$R$66</definedName>
    <definedName function="false" hidden="false" name="CRT_CURRENT" vbProcedure="false">'04 Criticality Assessment'!$W$7:$W$66</definedName>
    <definedName function="false" hidden="false" name="CRT_DATE" vbProcedure="false">'04 Criticality Assessment'!$D$7:$D$66</definedName>
    <definedName function="false" hidden="false" name="CRT_DD" vbProcedure="false">'04 Criticality Assessment'!$T$7:$T$66</definedName>
    <definedName function="false" hidden="false" name="CRT_DEP" vbProcedure="false">'04 Criticality Assessment'!$E$7:$E$66</definedName>
    <definedName function="false" hidden="false" name="CRT_DISR" vbProcedure="false">'04 Criticality Assessment'!$H$7:$H$66</definedName>
    <definedName function="false" hidden="false" name="CRT_ID" vbProcedure="false">'04 Criticality Assessment'!$A$7:$A$66</definedName>
    <definedName function="false" hidden="false" name="CRT_KEY" vbProcedure="false">'04 Criticality Assessment'!$X$7:$X$66</definedName>
    <definedName function="false" hidden="false" name="CRT_MISSING" vbProcedure="false">'04 Criticality Assessment'!$U$7:$U$66</definedName>
    <definedName function="false" hidden="false" name="CRT_RACCESS" vbProcedure="false">'04 Criticality Assessment'!$L$7:$L$66</definedName>
    <definedName function="false" hidden="false" name="CRT_RDEP" vbProcedure="false">'04 Criticality Assessment'!$J$7:$J$66</definedName>
    <definedName function="false" hidden="false" name="CRT_RDISR" vbProcedure="false">'04 Criticality Assessment'!$M$7:$M$66</definedName>
    <definedName function="false" hidden="false" name="CRT_REPL" vbProcedure="false">'04 Criticality Assessment'!$I$7:$I$66</definedName>
    <definedName function="false" hidden="false" name="CRT_REVDATE" vbProcedure="false">'04 Criticality Assessment'!$Q$7:$Q$66</definedName>
    <definedName function="false" hidden="false" name="CRT_REVIEWER" vbProcedure="false">'04 Criticality Assessment'!$P$7:$P$66</definedName>
    <definedName function="false" hidden="false" name="CRT_RREPL" vbProcedure="false">'04 Criticality Assessment'!$N$7:$N$66</definedName>
    <definedName function="false" hidden="false" name="CRT_RSENS" vbProcedure="false">'04 Criticality Assessment'!$K$7:$K$66</definedName>
    <definedName function="false" hidden="false" name="CRT_SENS" vbProcedure="false">'04 Criticality Assessment'!$F$7:$F$66</definedName>
    <definedName function="false" hidden="false" name="CRT_SUP" vbProcedure="false">'04 Criticality Assessment'!$B$7:$B$66</definedName>
    <definedName function="false" hidden="false" name="CRT_SUPNAME" vbProcedure="false">'04 Criticality Assessment'!$C$7:$C$66</definedName>
    <definedName function="false" hidden="false" name="CRT_TIER" vbProcedure="false">'04 Criticality Assessment'!$S$7:$S$66</definedName>
    <definedName function="false" hidden="false" name="DEC_APPROVER" vbProcedure="false">'12 Acceptance &amp; Decisions'!$M$7:$M$106</definedName>
    <definedName function="false" hidden="false" name="DEC_APPSTAT" vbProcedure="false">'12 Acceptance &amp; Decisions'!$H$7:$H$106</definedName>
    <definedName function="false" hidden="false" name="DEC_AREF" vbProcedure="false">'12 Acceptance &amp; Decisions'!$S$7:$S$106</definedName>
    <definedName function="false" hidden="false" name="DEC_BOWNER" vbProcedure="false">'12 Acceptance &amp; Decisions'!$L$7:$L$106</definedName>
    <definedName function="false" hidden="false" name="DEC_CHECK" vbProcedure="false">'12 Acceptance &amp; Decisions'!$Y$7:$Y$106</definedName>
    <definedName function="false" hidden="false" name="DEC_COND" vbProcedure="false">'12 Acceptance &amp; Decisions'!$P$7:$P$106</definedName>
    <definedName function="false" hidden="false" name="DEC_CURR" vbProcedure="false">'12 Acceptance &amp; Decisions'!$V$7:$V$106</definedName>
    <definedName function="false" hidden="false" name="DEC_DDATE" vbProcedure="false">'12 Acceptance &amp; Decisions'!$Q$7:$Q$106</definedName>
    <definedName function="false" hidden="false" name="DEC_EXPIRY" vbProcedure="false">'12 Acceptance &amp; Decisions'!$R$7:$R$106</definedName>
    <definedName function="false" hidden="false" name="DEC_FINAL" vbProcedure="false">'12 Acceptance &amp; Decisions'!$O$7:$O$106</definedName>
    <definedName function="false" hidden="false" name="DEC_ID" vbProcedure="false">'12 Acceptance &amp; Decisions'!$A$7:$A$106</definedName>
    <definedName function="false" hidden="false" name="DEC_KEY" vbProcedure="false">'12 Acceptance &amp; Decisions'!$X$7:$X$106</definedName>
    <definedName function="false" hidden="false" name="DEC_LEVEL" vbProcedure="false">'12 Acceptance &amp; Decisions'!$F$7:$F$106</definedName>
    <definedName function="false" hidden="false" name="DEC_MONREQ" vbProcedure="false">'12 Acceptance &amp; Decisions'!$T$7:$T$106</definedName>
    <definedName function="false" hidden="false" name="DEC_NOTE" vbProcedure="false">'12 Acceptance &amp; Decisions'!$W$7:$W$106</definedName>
    <definedName function="false" hidden="false" name="DEC_RATIONALE" vbProcedure="false">'12 Acceptance &amp; Decisions'!$K$7:$K$106</definedName>
    <definedName function="false" hidden="false" name="DEC_REC" vbProcedure="false">'12 Acceptance &amp; Decisions'!$J$7:$J$106</definedName>
    <definedName function="false" hidden="false" name="DEC_RECDATE" vbProcedure="false">'12 Acceptance &amp; Decisions'!$I$7:$I$106</definedName>
    <definedName function="false" hidden="false" name="DEC_REQ" vbProcedure="false">'12 Acceptance &amp; Decisions'!$N$7:$N$106</definedName>
    <definedName function="false" hidden="false" name="DEC_RESBAND" vbProcedure="false">'12 Acceptance &amp; Decisions'!$G$7:$G$106</definedName>
    <definedName function="false" hidden="false" name="DEC_RISK" vbProcedure="false">'12 Acceptance &amp; Decisions'!$D$7:$D$106</definedName>
    <definedName function="false" hidden="false" name="DEC_RPT" vbProcedure="false">'12 Acceptance &amp; Decisions'!$Z$7:$Z$106</definedName>
    <definedName function="false" hidden="false" name="DEC_STATUS" vbProcedure="false">'12 Acceptance &amp; Decisions'!$U$7:$U$106</definedName>
    <definedName function="false" hidden="false" name="DEC_SUP" vbProcedure="false">'12 Acceptance &amp; Decisions'!$B$7:$B$106</definedName>
    <definedName function="false" hidden="false" name="DEC_SUPNAME" vbProcedure="false">'12 Acceptance &amp; Decisions'!$C$7:$C$106</definedName>
    <definedName function="false" hidden="false" name="DEC_TYPE" vbProcedure="false">'12 Acceptance &amp; Decisions'!$E$7:$E$106</definedName>
    <definedName function="false" hidden="false" name="DEP_ALT" vbProcedure="false">'16 Dependency &amp; Concentration'!$K$7:$K$156</definedName>
    <definedName function="false" hidden="false" name="DEP_CHECK" vbProcedure="false">'16 Dependency &amp; Concentration'!$S$7:$S$156</definedName>
    <definedName function="false" hidden="false" name="DEP_FIRST4" vbProcedure="false">'16 Dependency &amp; Concentration'!$P$7:$P$156</definedName>
    <definedName function="false" hidden="false" name="DEP_FIRSTPAIR" vbProcedure="false">'16 Dependency &amp; Concentration'!$O$7:$O$156</definedName>
    <definedName function="false" hidden="false" name="DEP_ID" vbProcedure="false">'16 Dependency &amp; Concentration'!$A$7:$A$156</definedName>
    <definedName function="false" hidden="false" name="DEP_IMPACT" vbProcedure="false">'16 Dependency &amp; Concentration'!$I$7:$I$156</definedName>
    <definedName function="false" hidden="false" name="DEP_IND" vbProcedure="false">'16 Dependency &amp; Concentration'!$R$7:$R$156</definedName>
    <definedName function="false" hidden="false" name="DEP_LOC" vbProcedure="false">'16 Dependency &amp; Concentration'!$G$7:$G$156</definedName>
    <definedName function="false" hidden="false" name="DEP_NOTES" vbProcedure="false">'16 Dependency &amp; Concentration'!$N$7:$N$156</definedName>
    <definedName function="false" hidden="false" name="DEP_P4" vbProcedure="false">'16 Dependency &amp; Concentration'!$E$7:$E$156</definedName>
    <definedName function="false" hidden="false" name="DEP_RISK" vbProcedure="false">'16 Dependency &amp; Concentration'!$L$7:$L$156</definedName>
    <definedName function="false" hidden="false" name="DEP_SHARED" vbProcedure="false">'16 Dependency &amp; Concentration'!$Q$7:$Q$156</definedName>
    <definedName function="false" hidden="false" name="DEP_STATUS" vbProcedure="false">'16 Dependency &amp; Concentration'!$M$7:$M$156</definedName>
    <definedName function="false" hidden="false" name="DEP_SUBST" vbProcedure="false">'16 Dependency &amp; Concentration'!$J$7:$J$156</definedName>
    <definedName function="false" hidden="false" name="DEP_SUP" vbProcedure="false">'16 Dependency &amp; Concentration'!$B$7:$B$156</definedName>
    <definedName function="false" hidden="false" name="DEP_SUPNAME" vbProcedure="false">'16 Dependency &amp; Concentration'!$C$7:$C$156</definedName>
    <definedName function="false" hidden="false" name="DEP_SVC" vbProcedure="false">'16 Dependency &amp; Concentration'!$D$7:$D$156</definedName>
    <definedName function="false" hidden="false" name="DEP_TECH" vbProcedure="false">'16 Dependency &amp; Concentration'!$F$7:$F$156</definedName>
    <definedName function="false" hidden="false" name="DEP_TYPE" vbProcedure="false">'16 Dependency &amp; Concentration'!$H$7:$H$156</definedName>
    <definedName function="false" hidden="false" name="EV_CHECK" vbProcedure="false">'08 Evidence Register'!$AA$7:$AA$206</definedName>
    <definedName function="false" hidden="false" name="EV_CONCL" vbProcedure="false">'08 Evidence Register'!$P$7:$P$206</definedName>
    <definedName function="false" hidden="false" name="EV_CUR" vbProcedure="false">'08 Evidence Register'!$W$7:$W$206</definedName>
    <definedName function="false" hidden="false" name="EV_DOCDATE" vbProcedure="false">'08 Evidence Register'!$H$7:$H$206</definedName>
    <definedName function="false" hidden="false" name="EV_EXPIRY" vbProcedure="false">'08 Evidence Register'!$I$7:$I$206</definedName>
    <definedName function="false" hidden="false" name="EV_FFL" vbProcedure="false">'08 Evidence Register'!$Z$7:$Z$206</definedName>
    <definedName function="false" hidden="false" name="EV_ID" vbProcedure="false">'08 Evidence Register'!$A$7:$A$206</definedName>
    <definedName function="false" hidden="false" name="EV_ISSUER" vbProcedure="false">'08 Evidence Register'!$G$7:$G$206</definedName>
    <definedName function="false" hidden="false" name="EV_LIMITS" vbProcedure="false">'08 Evidence Register'!$Q$7:$Q$206</definedName>
    <definedName function="false" hidden="false" name="EV_LOC" vbProcedure="false">'08 Evidence Register'!$M$7:$M$206</definedName>
    <definedName function="false" hidden="false" name="EV_NEXT" vbProcedure="false">'08 Evidence Register'!$U$7:$U$206</definedName>
    <definedName function="false" hidden="false" name="EV_NEXTDUE" vbProcedure="false">'08 Evidence Register'!$V$7:$V$206</definedName>
    <definedName function="false" hidden="false" name="EV_PEND" vbProcedure="false">'08 Evidence Register'!$K$7:$K$206</definedName>
    <definedName function="false" hidden="false" name="EV_PSTART" vbProcedure="false">'08 Evidence Register'!$J$7:$J$206</definedName>
    <definedName function="false" hidden="false" name="EV_REL" vbProcedure="false">'08 Evidence Register'!$D$7:$D$206</definedName>
    <definedName function="false" hidden="false" name="EV_REVDATE" vbProcedure="false">'08 Evidence Register'!$T$7:$T$206</definedName>
    <definedName function="false" hidden="false" name="EV_REVIEWER" vbProcedure="false">'08 Evidence Register'!$S$7:$S$206</definedName>
    <definedName function="false" hidden="false" name="EV_RPT" vbProcedure="false">'08 Evidence Register'!$AB$7:$AB$206</definedName>
    <definedName function="false" hidden="false" name="EV_SCOPE" vbProcedure="false">'08 Evidence Register'!$L$7:$L$206</definedName>
    <definedName function="false" hidden="false" name="EV_SCOPELIM" vbProcedure="false">'08 Evidence Register'!$R$7:$R$206</definedName>
    <definedName function="false" hidden="false" name="EV_SFLAG" vbProcedure="false">'08 Evidence Register'!$Y$7:$Y$206</definedName>
    <definedName function="false" hidden="false" name="EV_SUFF" vbProcedure="false">'08 Evidence Register'!$O$7:$O$206</definedName>
    <definedName function="false" hidden="false" name="EV_SUP" vbProcedure="false">'08 Evidence Register'!$B$7:$B$206</definedName>
    <definedName function="false" hidden="false" name="EV_SUPNAME" vbProcedure="false">'08 Evidence Register'!$C$7:$C$206</definedName>
    <definedName function="false" hidden="false" name="EV_TITLE" vbProcedure="false">'08 Evidence Register'!$F$7:$F$206</definedName>
    <definedName function="false" hidden="false" name="EV_TYPE" vbProcedure="false">'08 Evidence Register'!$E$7:$E$206</definedName>
    <definedName function="false" hidden="false" name="EV_VERIF" vbProcedure="false">'08 Evidence Register'!$N$7:$N$206</definedName>
    <definedName function="false" hidden="false" name="EV_VFLAG" vbProcedure="false">'08 Evidence Register'!$X$7:$X$206</definedName>
    <definedName function="false" hidden="false" name="EXT_ACTION" vbProcedure="false">'17 Supplier Exit Tracker'!$K$7:$K$156</definedName>
    <definedName function="false" hidden="false" name="EXT_AOWNER" vbProcedure="false">'17 Supplier Exit Tracker'!$L$7:$L$156</definedName>
    <definedName function="false" hidden="false" name="EXT_BOWNER" vbProcedure="false">'17 Supplier Exit Tracker'!$G$7:$G$156</definedName>
    <definedName function="false" hidden="false" name="EXT_CHECK" vbProcedure="false">'17 Supplier Exit Tracker'!$V$7:$V$156</definedName>
    <definedName function="false" hidden="false" name="EXT_CLOSURE" vbProcedure="false">'17 Supplier Exit Tracker'!$Q$7:$Q$156</definedName>
    <definedName function="false" hidden="false" name="EXT_CSTATUS" vbProcedure="false">'17 Supplier Exit Tracker'!$N$7:$N$156</definedName>
    <definedName function="false" hidden="false" name="EXT_DONE" vbProcedure="false">'17 Supplier Exit Tracker'!$S$7:$S$156</definedName>
    <definedName function="false" hidden="false" name="EXT_DUE" vbProcedure="false">'17 Supplier Exit Tracker'!$M$7:$M$156</definedName>
    <definedName function="false" hidden="false" name="EXT_ETYPE" vbProcedure="false">'17 Supplier Exit Tracker'!$E$7:$E$156</definedName>
    <definedName function="false" hidden="false" name="EXT_EV" vbProcedure="false">'17 Supplier Exit Tracker'!$O$7:$O$156</definedName>
    <definedName function="false" hidden="false" name="EXT_FREF" vbProcedure="false">'17 Supplier Exit Tracker'!$R$7:$R$156</definedName>
    <definedName function="false" hidden="false" name="EXT_ID" vbProcedure="false">'17 Supplier Exit Tracker'!$A$7:$A$156</definedName>
    <definedName function="false" hidden="false" name="EXT_ITEM" vbProcedure="false">'17 Supplier Exit Tracker'!$I$7:$I$156</definedName>
    <definedName function="false" hidden="false" name="EXT_MAND" vbProcedure="false">'17 Supplier Exit Tracker'!$J$7:$J$156</definedName>
    <definedName function="false" hidden="false" name="EXT_OVERDUE" vbProcedure="false">'17 Supplier Exit Tracker'!$T$7:$T$156</definedName>
    <definedName function="false" hidden="false" name="EXT_PDATE" vbProcedure="false">'17 Supplier Exit Tracker'!$F$7:$F$156</definedName>
    <definedName function="false" hidden="false" name="EXT_READY" vbProcedure="false">'17 Supplier Exit Tracker'!$U$7:$U$156</definedName>
    <definedName function="false" hidden="false" name="EXT_REASON" vbProcedure="false">'17 Supplier Exit Tracker'!$D$7:$D$156</definedName>
    <definedName function="false" hidden="false" name="EXT_REPL" vbProcedure="false">'17 Supplier Exit Tracker'!$H$7:$H$156</definedName>
    <definedName function="false" hidden="false" name="EXT_RISK" vbProcedure="false">'17 Supplier Exit Tracker'!$P$7:$P$156</definedName>
    <definedName function="false" hidden="false" name="EXT_SUP" vbProcedure="false">'17 Supplier Exit Tracker'!$B$7:$B$156</definedName>
    <definedName function="false" hidden="false" name="EXT_SUPNAME" vbProcedure="false">'17 Supplier Exit Tracker'!$C$7:$C$156</definedName>
    <definedName function="false" hidden="false" name="FND_ACTIVE" vbProcedure="false">'10 Findings Register'!$U$7:$U$156</definedName>
    <definedName function="false" hidden="false" name="FND_CHECK" vbProcedure="false">'10 Findings Register'!$X$7:$X$156</definedName>
    <definedName function="false" hidden="false" name="FND_CLOSED" vbProcedure="false">'10 Findings Register'!$R$7:$R$156</definedName>
    <definedName function="false" hidden="false" name="FND_COMMENTS" vbProcedure="false">'10 Findings Register'!$T$7:$T$156</definedName>
    <definedName function="false" hidden="false" name="FND_CONSEQ" vbProcedure="false">'10 Findings Register'!$K$7:$K$156</definedName>
    <definedName function="false" hidden="false" name="FND_CTRL" vbProcedure="false">'10 Findings Register'!$E$7:$E$156</definedName>
    <definedName function="false" hidden="false" name="FND_ID" vbProcedure="false">'10 Findings Register'!$A$7:$A$156</definedName>
    <definedName function="false" hidden="false" name="FND_OBS" vbProcedure="false">'10 Findings Register'!$I$7:$I$156</definedName>
    <definedName function="false" hidden="false" name="FND_OPENED" vbProcedure="false">'10 Findings Register'!$P$7:$P$156</definedName>
    <definedName function="false" hidden="false" name="FND_OVERDUE" vbProcedure="false">'10 Findings Register'!$V$7:$V$156</definedName>
    <definedName function="false" hidden="false" name="FND_OWNER" vbProcedure="false">'10 Findings Register'!$N$7:$N$156</definedName>
    <definedName function="false" hidden="false" name="FND_REMREQ" vbProcedure="false">'10 Findings Register'!$M$7:$M$156</definedName>
    <definedName function="false" hidden="false" name="FND_REQ" vbProcedure="false">'10 Findings Register'!$H$7:$H$156</definedName>
    <definedName function="false" hidden="false" name="FND_RISK" vbProcedure="false">'10 Findings Register'!$D$7:$D$156</definedName>
    <definedName function="false" hidden="false" name="FND_RPT" vbProcedure="false">'10 Findings Register'!$Y$7:$Y$156</definedName>
    <definedName function="false" hidden="false" name="FND_SEV" vbProcedure="false">'10 Findings Register'!$L$7:$L$156</definedName>
    <definedName function="false" hidden="false" name="FND_SRC" vbProcedure="false">'10 Findings Register'!$F$7:$F$156</definedName>
    <definedName function="false" hidden="false" name="FND_STATUS" vbProcedure="false">'10 Findings Register'!$O$7:$O$156</definedName>
    <definedName function="false" hidden="false" name="FND_SUP" vbProcedure="false">'10 Findings Register'!$B$7:$B$156</definedName>
    <definedName function="false" hidden="false" name="FND_SUPNAME" vbProcedure="false">'10 Findings Register'!$C$7:$C$156</definedName>
    <definedName function="false" hidden="false" name="FND_SUPP" vbProcedure="false">'10 Findings Register'!$J$7:$J$156</definedName>
    <definedName function="false" hidden="false" name="FND_TARGET" vbProcedure="false">'10 Findings Register'!$Q$7:$Q$156</definedName>
    <definedName function="false" hidden="false" name="FND_TRTCOUNT" vbProcedure="false">'10 Findings Register'!$W$7:$W$156</definedName>
    <definedName function="false" hidden="false" name="FND_TYPE" vbProcedure="false">'10 Findings Register'!$G$7:$G$156</definedName>
    <definedName function="false" hidden="false" name="FND_VERIF" vbProcedure="false">'10 Findings Register'!$S$7:$S$156</definedName>
    <definedName function="false" hidden="false" name="IncidentWindowDays" vbProcedure="false">'02 Methodology &amp; Settings'!$B$12</definedName>
    <definedName function="false" hidden="false" name="INC_ACTIONS" vbProcedure="false">'15 Incident Log'!$P$7:$P$106</definedName>
    <definedName function="false" hidden="false" name="INC_AFF" vbProcedure="false">'15 Incident Log'!$F$7:$F$106</definedName>
    <definedName function="false" hidden="false" name="INC_CHECK" vbProcedure="false">'15 Incident Log'!$W$7:$W$106</definedName>
    <definedName function="false" hidden="false" name="INC_CLOSURE" vbProcedure="false">'15 Incident Log'!$S$7:$S$106</definedName>
    <definedName function="false" hidden="false" name="INC_DESC" vbProcedure="false">'15 Incident Log'!$E$7:$E$106</definedName>
    <definedName function="false" hidden="false" name="INC_DT" vbProcedure="false">'15 Incident Log'!$D$7:$D$106</definedName>
    <definedName function="false" hidden="false" name="INC_FACTS" vbProcedure="false">'15 Incident Log'!$G$7:$G$106</definedName>
    <definedName function="false" hidden="false" name="INC_ID" vbProcedure="false">'15 Incident Log'!$A$7:$A$106</definedName>
    <definedName function="false" hidden="false" name="INC_IMPACT" vbProcedure="false">'15 Incident Log'!$J$7:$J$106</definedName>
    <definedName function="false" hidden="false" name="INC_MAT" vbProcedure="false">'15 Incident Log'!$K$7:$K$106</definedName>
    <definedName function="false" hidden="false" name="INC_NOTIF" vbProcedure="false">'15 Incident Log'!$N$7:$N$106</definedName>
    <definedName function="false" hidden="false" name="INC_OPEN" vbProcedure="false">'15 Incident Log'!$T$7:$T$106</definedName>
    <definedName function="false" hidden="false" name="INC_PLSTAT" vbProcedure="false">'15 Incident Log'!$O$7:$O$106</definedName>
    <definedName function="false" hidden="false" name="INC_REASSESS" vbProcedure="false">'15 Incident Log'!$V$7:$V$106</definedName>
    <definedName function="false" hidden="false" name="INC_RECENT" vbProcedure="false">'15 Incident Log'!$U$7:$U$106</definedName>
    <definedName function="false" hidden="false" name="INC_RELATED" vbProcedure="false">'15 Incident Log'!$R$7:$R$106</definedName>
    <definedName function="false" hidden="false" name="INC_SREF" vbProcedure="false">'15 Incident Log'!$M$7:$M$106</definedName>
    <definedName function="false" hidden="false" name="INC_STATUS" vbProcedure="false">'15 Incident Log'!$Q$7:$Q$106</definedName>
    <definedName function="false" hidden="false" name="INC_SUP" vbProcedure="false">'15 Incident Log'!$B$7:$B$106</definedName>
    <definedName function="false" hidden="false" name="INC_SUPNAME" vbProcedure="false">'15 Incident Log'!$C$7:$C$106</definedName>
    <definedName function="false" hidden="false" name="INC_SUSP" vbProcedure="false">'15 Incident Log'!$H$7:$H$106</definedName>
    <definedName function="false" hidden="false" name="INC_TOWNER" vbProcedure="false">'15 Incident Log'!$L$7:$L$106</definedName>
    <definedName function="false" hidden="false" name="INC_UNRES" vbProcedure="false">'15 Incident Log'!$I$7:$I$106</definedName>
    <definedName function="false" hidden="false" name="IntegrityStatus" vbProcedure="false">'19 Portfolio Dashboard'!$B$91</definedName>
    <definedName function="false" hidden="false" name="INV_APPROVAL" vbProcedure="false">'03 Supplier Inventory'!$R$7:$R$66</definedName>
    <definedName function="false" hidden="false" name="INV_BOWNER" vbProcedure="false">'03 Supplier Inventory'!$D$7:$D$66</definedName>
    <definedName function="false" hidden="false" name="INV_CEND" vbProcedure="false">'03 Supplier Inventory'!$I$7:$I$66</definedName>
    <definedName function="false" hidden="false" name="INV_CSTART" vbProcedure="false">'03 Supplier Inventory'!$H$7:$H$66</definedName>
    <definedName function="false" hidden="false" name="INV_CSTAT" vbProcedure="false">'03 Supplier Inventory'!$P$7:$P$66</definedName>
    <definedName function="false" hidden="false" name="INV_HOSTING" vbProcedure="false">'03 Supplier Inventory'!$L$7:$L$66</definedName>
    <definedName function="false" hidden="false" name="INV_ID" vbProcedure="false">'03 Supplier Inventory'!$A$7:$A$66</definedName>
    <definedName function="false" hidden="false" name="INV_IDCHECK" vbProcedure="false">'03 Supplier Inventory'!$U$7:$U$66</definedName>
    <definedName function="false" hidden="false" name="INV_INFOCATS" vbProcedure="false">'03 Supplier Inventory'!$J$7:$J$66</definedName>
    <definedName function="false" hidden="false" name="INV_ISSUES" vbProcedure="false">'03 Supplier Inventory'!$W$7:$W$66</definedName>
    <definedName function="false" hidden="false" name="INV_LASTASS" vbProcedure="false">'03 Supplier Inventory'!$Q$7:$Q$66</definedName>
    <definedName function="false" hidden="false" name="INV_NAME" vbProcedure="false">'03 Supplier Inventory'!$B$7:$B$66</definedName>
    <definedName function="false" hidden="false" name="INV_NEXTREV" vbProcedure="false">'03 Supplier Inventory'!$S$7:$S$66</definedName>
    <definedName function="false" hidden="false" name="INV_NOTES" vbProcedure="false">'03 Supplier Inventory'!$N$7:$N$66</definedName>
    <definedName function="false" hidden="false" name="INV_PROCESS" vbProcedure="false">'03 Supplier Inventory'!$F$7:$F$66</definedName>
    <definedName function="false" hidden="false" name="INV_RECCHECK" vbProcedure="false">'03 Supplier Inventory'!$V$7:$V$66</definedName>
    <definedName function="false" hidden="false" name="INV_REVSTAT" vbProcedure="false">'03 Supplier Inventory'!$T$7:$T$66</definedName>
    <definedName function="false" hidden="false" name="INV_ROWNER" vbProcedure="false">'03 Supplier Inventory'!$E$7:$E$66</definedName>
    <definedName function="false" hidden="false" name="INV_SCOPE" vbProcedure="false">'03 Supplier Inventory'!$M$7:$M$66</definedName>
    <definedName function="false" hidden="false" name="INV_SERVICE" vbProcedure="false">'03 Supplier Inventory'!$C$7:$C$66</definedName>
    <definedName function="false" hidden="false" name="INV_STATUS" vbProcedure="false">'03 Supplier Inventory'!$G$7:$G$66</definedName>
    <definedName function="false" hidden="false" name="INV_SYSTEMS" vbProcedure="false">'03 Supplier Inventory'!$K$7:$K$66</definedName>
    <definedName function="false" hidden="false" name="INV_TIER" vbProcedure="false">'03 Supplier Inventory'!$O$7:$O$66</definedName>
    <definedName function="false" hidden="false" name="L_AnalystReview" vbProcedure="false">'02 Methodology &amp; Settings'!$P$62:$P$65</definedName>
    <definedName function="false" hidden="false" name="L_Applic" vbProcedure="false">'02 Methodology &amp; Settings'!$N$62:$N$64</definedName>
    <definedName function="false" hidden="false" name="L_Band" vbProcedure="false">'02 Methodology &amp; Settings'!$C$62:$C$65</definedName>
    <definedName function="false" hidden="false" name="L_BizValid" vbProcedure="false">'02 Methodology &amp; Settings'!$H$62:$H$65</definedName>
    <definedName function="false" hidden="false" name="L_ConDisp" vbProcedure="false">'02 Methodology &amp; Settings'!$AL$62:$AL$67</definedName>
    <definedName function="false" hidden="false" name="L_ConDomain" vbProcedure="false">'02 Methodology &amp; Settings'!$AJ$62:$AJ$70</definedName>
    <definedName function="false" hidden="false" name="L_Confidence" vbProcedure="false">'02 Methodology &amp; Settings'!$K$62:$K$64</definedName>
    <definedName function="false" hidden="false" name="L_ConReview" vbProcedure="false">'02 Methodology &amp; Settings'!$AK$62:$AK$66</definedName>
    <definedName function="false" hidden="false" name="L_CritAppr" vbProcedure="false">'02 Methodology &amp; Settings'!$I$62:$I$64</definedName>
    <definedName function="false" hidden="false" name="L_CtlStatus" vbProcedure="false">'02 Methodology &amp; Settings'!$T$62:$T$68</definedName>
    <definedName function="false" hidden="false" name="L_DecFinal" vbProcedure="false">'02 Methodology &amp; Settings'!$AH$62:$AH$68</definedName>
    <definedName function="false" hidden="false" name="L_DecReq" vbProcedure="false">'02 Methodology &amp; Settings'!$AG$62:$AG$67</definedName>
    <definedName function="false" hidden="false" name="L_DecStatus" vbProcedure="false">'02 Methodology &amp; Settings'!$AI$62:$AI$66</definedName>
    <definedName function="false" hidden="false" name="L_DecType" vbProcedure="false">'02 Methodology &amp; Settings'!$AF$62:$AF$67</definedName>
    <definedName function="false" hidden="false" name="L_DepStatus" vbProcedure="false">'02 Methodology &amp; Settings'!$AU$62:$AU$65</definedName>
    <definedName function="false" hidden="false" name="L_DepType" vbProcedure="false">'02 Methodology &amp; Settings'!$AS$62:$AS$68</definedName>
    <definedName function="false" hidden="false" name="L_Design" vbProcedure="false">'02 Methodology &amp; Settings'!$V$62:$V$65</definedName>
    <definedName function="false" hidden="false" name="L_Domain" vbProcedure="false">'02 Methodology &amp; Settings'!$L$62:$L$73</definedName>
    <definedName function="false" hidden="false" name="L_Effect" vbProcedure="false">'02 Methodology &amp; Settings'!$U$62:$U$66</definedName>
    <definedName function="false" hidden="false" name="L_Escal" vbProcedure="false">'02 Methodology &amp; Settings'!$AE$62:$AE$64</definedName>
    <definedName function="false" hidden="false" name="L_EvType" vbProcedure="false">'02 Methodology &amp; Settings'!$Q$62:$Q$70</definedName>
    <definedName function="false" hidden="false" name="L_ExitClosure" vbProcedure="false">'02 Methodology &amp; Settings'!$AX$62:$AX$64</definedName>
    <definedName function="false" hidden="false" name="L_ExitItems" vbProcedure="false">'02 Methodology &amp; Settings'!$AY$62:$AY$74</definedName>
    <definedName function="false" hidden="false" name="L_ExitStatus" vbProcedure="false">'02 Methodology &amp; Settings'!$AW$62:$AW$65</definedName>
    <definedName function="false" hidden="false" name="L_ExitType" vbProcedure="false">'02 Methodology &amp; Settings'!$AV$62:$AV$66</definedName>
    <definedName function="false" hidden="false" name="L_FndStatus" vbProcedure="false">'02 Methodology &amp; Settings'!$AA$62:$AA$67</definedName>
    <definedName function="false" hidden="false" name="L_FndType" vbProcedure="false">'02 Methodology &amp; Settings'!$Y$62:$Y$67</definedName>
    <definedName function="false" hidden="false" name="L_Hosting" vbProcedure="false">'02 Methodology &amp; Settings'!$G$62:$G$68</definedName>
    <definedName function="false" hidden="false" name="L_Impl" vbProcedure="false">'02 Methodology &amp; Settings'!$W$62:$W$65</definedName>
    <definedName function="false" hidden="false" name="L_IncStatus" vbProcedure="false">'02 Methodology &amp; Settings'!$AP$62:$AP$66</definedName>
    <definedName function="false" hidden="false" name="L_KRIDir" vbProcedure="false">'02 Methodology &amp; Settings'!$AO$62:$AO$63</definedName>
    <definedName function="false" hidden="false" name="L_Materiality" vbProcedure="false">'02 Methodology &amp; Settings'!$AQ$62:$AQ$65</definedName>
    <definedName function="false" hidden="false" name="L_MonStatus" vbProcedure="false">'02 Methodology &amp; Settings'!$AN$62:$AN$65</definedName>
    <definedName function="false" hidden="false" name="L_MonType" vbProcedure="false">'02 Methodology &amp; Settings'!$AM$62:$AM$68</definedName>
    <definedName function="false" hidden="false" name="L_Oper" vbProcedure="false">'02 Methodology &amp; Settings'!$X$62:$X$65</definedName>
    <definedName function="false" hidden="false" name="L_PrivLegal" vbProcedure="false">'02 Methodology &amp; Settings'!$AR$62:$AR$65</definedName>
    <definedName function="false" hidden="false" name="L_QStatus" vbProcedure="false">'02 Methodology &amp; Settings'!$M$62:$M$64</definedName>
    <definedName function="false" hidden="false" name="L_R13" vbProcedure="false">'02 Methodology &amp; Settings'!$A$62:$A$64</definedName>
    <definedName function="false" hidden="false" name="L_R15" vbProcedure="false">'02 Methodology &amp; Settings'!$B$62:$B$66</definedName>
    <definedName function="false" hidden="false" name="L_Response" vbProcedure="false">'02 Methodology &amp; Settings'!$O$62:$O$66</definedName>
    <definedName function="false" hidden="false" name="L_RiskCat" vbProcedure="false">'02 Methodology &amp; Settings'!$J$62:$J$72</definedName>
    <definedName function="false" hidden="false" name="L_Severity" vbProcedure="false">'02 Methodology &amp; Settings'!$Z$62:$Z$65</definedName>
    <definedName function="false" hidden="false" name="L_Substit" vbProcedure="false">'02 Methodology &amp; Settings'!$AT$62:$AT$65</definedName>
    <definedName function="false" hidden="false" name="L_Suff" vbProcedure="false">'02 Methodology &amp; Settings'!$S$62:$S$65</definedName>
    <definedName function="false" hidden="false" name="L_SupStatus" vbProcedure="false">'02 Methodology &amp; Settings'!$F$62:$F$67</definedName>
    <definedName function="false" hidden="false" name="L_Tier" vbProcedure="false">'02 Methodology &amp; Settings'!$D$62:$D$64</definedName>
    <definedName function="false" hidden="false" name="L_TrtApproach" vbProcedure="false">'02 Methodology &amp; Settings'!$AB$62:$AB$65</definedName>
    <definedName function="false" hidden="false" name="L_TrtDelivery" vbProcedure="false">'02 Methodology &amp; Settings'!$AC$62:$AC$66</definedName>
    <definedName function="false" hidden="false" name="L_TrtVerif" vbProcedure="false">'02 Methodology &amp; Settings'!$AD$62:$AD$65</definedName>
    <definedName function="false" hidden="false" name="L_Verif" vbProcedure="false">'02 Methodology &amp; Settings'!$R$62:$R$65</definedName>
    <definedName function="false" hidden="false" name="L_YesNo" vbProcedure="false">'02 Methodology &amp; Settings'!$E$62:$E$63</definedName>
    <definedName function="false" hidden="false" name="MON_CHECK" vbProcedure="false">'14 Supplier Monitoring'!$S$7:$S$206</definedName>
    <definedName function="false" hidden="false" name="MON_ESC" vbProcedure="false">'14 Supplier Monitoring'!$N$7:$N$206</definedName>
    <definedName function="false" hidden="false" name="MON_EV" vbProcedure="false">'14 Supplier Monitoring'!$G$7:$G$206</definedName>
    <definedName function="false" hidden="false" name="MON_FINDINGS" vbProcedure="false">'14 Supplier Monitoring'!$H$7:$H$206</definedName>
    <definedName function="false" hidden="false" name="MON_ID" vbProcedure="false">'14 Supplier Monitoring'!$A$7:$A$206</definedName>
    <definedName function="false" hidden="false" name="MON_KDIR" vbProcedure="false">'14 Supplier Monitoring'!$L$7:$L$206</definedName>
    <definedName function="false" hidden="false" name="MON_KEY" vbProcedure="false">'14 Supplier Monitoring'!$R$7:$R$206</definedName>
    <definedName function="false" hidden="false" name="MON_KRI" vbProcedure="false">'14 Supplier Monitoring'!$I$7:$I$206</definedName>
    <definedName function="false" hidden="false" name="MON_KSTAT" vbProcedure="false">'14 Supplier Monitoring'!$P$7:$P$206</definedName>
    <definedName function="false" hidden="false" name="MON_KTHR" vbProcedure="false">'14 Supplier Monitoring'!$K$7:$K$206</definedName>
    <definedName function="false" hidden="false" name="MON_KVAL" vbProcedure="false">'14 Supplier Monitoring'!$J$7:$J$206</definedName>
    <definedName function="false" hidden="false" name="MON_NEXTREV" vbProcedure="false">'14 Supplier Monitoring'!$F$7:$F$206</definedName>
    <definedName function="false" hidden="false" name="MON_OWNER" vbProcedure="false">'14 Supplier Monitoring'!$M$7:$M$206</definedName>
    <definedName function="false" hidden="false" name="MON_REVDATE" vbProcedure="false">'14 Supplier Monitoring'!$E$7:$E$206</definedName>
    <definedName function="false" hidden="false" name="MON_STATUS" vbProcedure="false">'14 Supplier Monitoring'!$O$7:$O$206</definedName>
    <definedName function="false" hidden="false" name="MON_SUP" vbProcedure="false">'14 Supplier Monitoring'!$B$7:$B$206</definedName>
    <definedName function="false" hidden="false" name="MON_SUPNAME" vbProcedure="false">'14 Supplier Monitoring'!$C$7:$C$206</definedName>
    <definedName function="false" hidden="false" name="MON_TIMING" vbProcedure="false">'14 Supplier Monitoring'!$Q$7:$Q$206</definedName>
    <definedName function="false" hidden="false" name="MON_TYPE" vbProcedure="false">'14 Supplier Monitoring'!$D$7:$D$206</definedName>
    <definedName function="false" hidden="false" name="QA_ACTION" vbProcedure="false">'07 Questionnaire Assessment'!$Q$7:$Q$406</definedName>
    <definedName function="false" hidden="false" name="QA_AOWNER" vbProcedure="false">'07 Questionnaire Assessment'!$R$7:$R$406</definedName>
    <definedName function="false" hidden="false" name="QA_APPLIC" vbProcedure="false">'07 Questionnaire Assessment'!$I$7:$I$406</definedName>
    <definedName function="false" hidden="false" name="QA_CHECK" vbProcedure="false">'07 Questionnaire Assessment'!$V$7:$V$406</definedName>
    <definedName function="false" hidden="false" name="QA_COMMENTS" vbProcedure="false">'07 Questionnaire Assessment'!$P$7:$P$406</definedName>
    <definedName function="false" hidden="false" name="QA_DOMAIN" vbProcedure="false">'07 Questionnaire Assessment'!$G$7:$G$406</definedName>
    <definedName function="false" hidden="false" name="QA_DUE" vbProcedure="false">'07 Questionnaire Assessment'!$S$7:$S$406</definedName>
    <definedName function="false" hidden="false" name="QA_EV" vbProcedure="false">'07 Questionnaire Assessment'!$L$7:$L$406</definedName>
    <definedName function="false" hidden="false" name="QA_EVFOUND" vbProcedure="false">'07 Questionnaire Assessment'!$M$7:$M$406</definedName>
    <definedName function="false" hidden="false" name="QA_EVSTAT" vbProcedure="false">'07 Questionnaire Assessment'!$N$7:$N$406</definedName>
    <definedName function="false" hidden="false" name="QA_EXPL" vbProcedure="false">'07 Questionnaire Assessment'!$K$7:$K$406</definedName>
    <definedName function="false" hidden="false" name="QA_ID" vbProcedure="false">'07 Questionnaire Assessment'!$A$7:$A$406</definedName>
    <definedName function="false" hidden="false" name="QA_OVERDUE" vbProcedure="false">'07 Questionnaire Assessment'!$U$7:$U$406</definedName>
    <definedName function="false" hidden="false" name="QA_Q" vbProcedure="false">'07 Questionnaire Assessment'!$F$7:$F$406</definedName>
    <definedName function="false" hidden="false" name="QA_QID" vbProcedure="false">'07 Questionnaire Assessment'!$E$7:$E$406</definedName>
    <definedName function="false" hidden="false" name="QA_REC" vbProcedure="false">'07 Questionnaire Assessment'!$H$7:$H$406</definedName>
    <definedName function="false" hidden="false" name="QA_RESP" vbProcedure="false">'07 Questionnaire Assessment'!$J$7:$J$406</definedName>
    <definedName function="false" hidden="false" name="QA_REVDATE" vbProcedure="false">'07 Questionnaire Assessment'!$T$7:$T$406</definedName>
    <definedName function="false" hidden="false" name="QA_REVIEW" vbProcedure="false">'07 Questionnaire Assessment'!$O$7:$O$406</definedName>
    <definedName function="false" hidden="false" name="QA_SUP" vbProcedure="false">'07 Questionnaire Assessment'!$B$7:$B$406</definedName>
    <definedName function="false" hidden="false" name="QA_SUPNAME" vbProcedure="false">'07 Questionnaire Assessment'!$C$7:$C$406</definedName>
    <definedName function="false" hidden="false" name="QA_TIER" vbProcedure="false">'07 Questionnaire Assessment'!$D$7:$D$406</definedName>
    <definedName function="false" hidden="false" name="QB_ACCEPT" vbProcedure="false">'06 Due Diligence Question Bank'!$I$7:$I$126</definedName>
    <definedName function="false" hidden="false" name="QB_APPLIC" vbProcedure="false">'06 Due Diligence Question Bank'!$F$7:$F$126</definedName>
    <definedName function="false" hidden="false" name="QB_CHECK" vbProcedure="false">'06 Due Diligence Question Bank'!$N$7:$N$126</definedName>
    <definedName function="false" hidden="false" name="QB_DOMAIN" vbProcedure="false">'06 Due Diligence Question Bank'!$B$7:$B$126</definedName>
    <definedName function="false" hidden="false" name="QB_EVID" vbProcedure="false">'06 Due Diligence Question Bank'!$H$7:$H$126</definedName>
    <definedName function="false" hidden="false" name="QB_ID" vbProcedure="false">'06 Due Diligence Question Bank'!$A$7:$A$126</definedName>
    <definedName function="false" hidden="false" name="QB_MINTIER" vbProcedure="false">'06 Due Diligence Question Bank'!$G$7:$G$126</definedName>
    <definedName function="false" hidden="false" name="QB_Q" vbProcedure="false">'06 Due Diligence Question Bank'!$D$7:$D$126</definedName>
    <definedName function="false" hidden="false" name="QB_REF" vbProcedure="false">'06 Due Diligence Question Bank'!$C$7:$C$126</definedName>
    <definedName function="false" hidden="false" name="QB_REVIEWER" vbProcedure="false">'06 Due Diligence Question Bank'!$J$7:$J$126</definedName>
    <definedName function="false" hidden="false" name="QB_STATUS" vbProcedure="false">'06 Due Diligence Question Bank'!$K$7:$K$126</definedName>
    <definedName function="false" hidden="false" name="QB_USED" vbProcedure="false">'06 Due Diligence Question Bank'!$M$7:$M$126</definedName>
    <definedName function="false" hidden="false" name="QB_VERSION" vbProcedure="false">'06 Due Diligence Question Bank'!$L$7:$L$126</definedName>
    <definedName function="false" hidden="false" name="QB_WHY" vbProcedure="false">'06 Due Diligence Question Bank'!$E$7:$E$126</definedName>
    <definedName function="false" hidden="false" name="RptCrt" vbProcedure="false">'18 Assessment Report'!$J$5</definedName>
    <definedName function="false" hidden="false" name="RptDec" vbProcedure="false">'18 Assessment Report'!$J$6</definedName>
    <definedName function="false" hidden="false" name="RptRow" vbProcedure="false">'18 Assessment Report'!$J$4</definedName>
    <definedName function="false" hidden="false" name="RptSup" vbProcedure="false">'18 Assessment Report'!$C$4</definedName>
    <definedName function="false" hidden="false" name="RSK_APP" vbProcedure="false">'05 Supplier Risk Register'!$AA$7:$AA$206</definedName>
    <definedName function="false" hidden="false" name="RSK_ASSDATE" vbProcedure="false">'05 Supplier Risk Register'!$AE$7:$AE$206</definedName>
    <definedName function="false" hidden="false" name="RSK_CAT" vbProcedure="false">'05 Supplier Risk Register'!$D$7:$D$206</definedName>
    <definedName function="false" hidden="false" name="RSK_CAUSE" vbProcedure="false">'05 Supplier Risk Register'!$G$7:$G$206</definedName>
    <definedName function="false" hidden="false" name="RSK_CHECK" vbProcedure="false">'05 Supplier Risk Register'!$AH$7:$AH$206</definedName>
    <definedName function="false" hidden="false" name="RSK_COMP" vbProcedure="false">'05 Supplier Risk Register'!$AG$7:$AG$206</definedName>
    <definedName function="false" hidden="false" name="RSK_CONF" vbProcedure="false">'05 Supplier Risk Register'!$U$7:$U$206</definedName>
    <definedName function="false" hidden="false" name="RSK_CONSEQ" vbProcedure="false">'05 Supplier Risk Register'!$H$7:$H$206</definedName>
    <definedName function="false" hidden="false" name="RSK_CTRL" vbProcedure="false">'05 Supplier Risk Register'!$O$7:$O$206</definedName>
    <definedName function="false" hidden="false" name="RSK_DECREF" vbProcedure="false">'05 Supplier Risk Register'!$AB$7:$AB$206</definedName>
    <definedName function="false" hidden="false" name="RSK_DECSTAT" vbProcedure="false">'05 Supplier Risk Register'!$AC$7:$AC$206</definedName>
    <definedName function="false" hidden="false" name="RSK_IBAND" vbProcedure="false">'05 Supplier Risk Register'!$M$7:$M$206</definedName>
    <definedName function="false" hidden="false" name="RSK_ID" vbProcedure="false">'05 Supplier Risk Register'!$A$7:$A$206</definedName>
    <definedName function="false" hidden="false" name="RSK_II" vbProcedure="false">'05 Supplier Risk Register'!$K$7:$K$206</definedName>
    <definedName function="false" hidden="false" name="RSK_IL" vbProcedure="false">'05 Supplier Risk Register'!$J$7:$J$206</definedName>
    <definedName function="false" hidden="false" name="RSK_IRAT" vbProcedure="false">'05 Supplier Risk Register'!$N$7:$N$206</definedName>
    <definedName function="false" hidden="false" name="RSK_ISCORE" vbProcedure="false">'05 Supplier Risk Register'!$L$7:$L$206</definedName>
    <definedName function="false" hidden="false" name="RSK_ISSUES" vbProcedure="false">'05 Supplier Risk Register'!$AI$7:$AI$206</definedName>
    <definedName function="false" hidden="false" name="RSK_OWNER" vbProcedure="false">'05 Supplier Risk Register'!$I$7:$I$206</definedName>
    <definedName function="false" hidden="false" name="RSK_RBAND" vbProcedure="false">'05 Supplier Risk Register'!$S$7:$S$206</definedName>
    <definedName function="false" hidden="false" name="RSK_REVDATE" vbProcedure="false">'05 Supplier Risk Register'!$AF$7:$AF$206</definedName>
    <definedName function="false" hidden="false" name="RSK_RI" vbProcedure="false">'05 Supplier Risk Register'!$Q$7:$Q$206</definedName>
    <definedName function="false" hidden="false" name="RSK_RL" vbProcedure="false">'05 Supplier Risk Register'!$P$7:$P$206</definedName>
    <definedName function="false" hidden="false" name="RSK_RPT" vbProcedure="false">'05 Supplier Risk Register'!$AJ$7:$AJ$206</definedName>
    <definedName function="false" hidden="false" name="RSK_RRAT" vbProcedure="false">'05 Supplier Risk Register'!$T$7:$T$206</definedName>
    <definedName function="false" hidden="false" name="RSK_RSCORE" vbProcedure="false">'05 Supplier Risk Register'!$R$7:$R$206</definedName>
    <definedName function="false" hidden="false" name="RSK_STMT" vbProcedure="false">'05 Supplier Risk Register'!$E$7:$E$206</definedName>
    <definedName function="false" hidden="false" name="RSK_SUP" vbProcedure="false">'05 Supplier Risk Register'!$B$7:$B$206</definedName>
    <definedName function="false" hidden="false" name="RSK_SUPNAME" vbProcedure="false">'05 Supplier Risk Register'!$C$7:$C$206</definedName>
    <definedName function="false" hidden="false" name="RSK_TASSUMP" vbProcedure="false">'05 Supplier Risk Register'!$Z$7:$Z$206</definedName>
    <definedName function="false" hidden="false" name="RSK_TBAND" vbProcedure="false">'05 Supplier Risk Register'!$Y$7:$Y$206</definedName>
    <definedName function="false" hidden="false" name="RSK_THREAT" vbProcedure="false">'05 Supplier Risk Register'!$F$7:$F$206</definedName>
    <definedName function="false" hidden="false" name="RSK_TI" vbProcedure="false">'05 Supplier Risk Register'!$W$7:$W$206</definedName>
    <definedName function="false" hidden="false" name="RSK_TL" vbProcedure="false">'05 Supplier Risk Register'!$V$7:$V$206</definedName>
    <definedName function="false" hidden="false" name="RSK_TRTSTAT" vbProcedure="false">'05 Supplier Risk Register'!$AD$7:$AD$206</definedName>
    <definedName function="false" hidden="false" name="RSK_TSCORE" vbProcedure="false">'05 Supplier Risk Register'!$X$7:$X$206</definedName>
    <definedName function="false" hidden="false" name="SharedMin" vbProcedure="false">'02 Methodology &amp; Settings'!$B$13</definedName>
    <definedName function="false" hidden="false" name="TierDD" vbProcedure="false">'02 Methodology &amp; Settings'!$C$30:$C$32</definedName>
    <definedName function="false" hidden="false" name="TierMonths" vbProcedure="false">'02 Methodology &amp; Settings'!$D$30:$D$32</definedName>
    <definedName function="false" hidden="false" name="TierNames" vbProcedure="false">'02 Methodology &amp; Settings'!$A$30:$A$32</definedName>
    <definedName function="false" hidden="false" name="TRT_ACC" vbProcedure="false">'11 Treatment Tracker'!$V$7:$V$156</definedName>
    <definedName function="false" hidden="false" name="TRT_ACTION" vbProcedure="false">'11 Treatment Tracker'!$G$7:$G$156</definedName>
    <definedName function="false" hidden="false" name="TRT_AOWNER" vbProcedure="false">'11 Treatment Tracker'!$I$7:$I$156</definedName>
    <definedName function="false" hidden="false" name="TRT_APPROACH" vbProcedure="false">'11 Treatment Tracker'!$F$7:$F$156</definedName>
    <definedName function="false" hidden="false" name="TRT_CHECK" vbProcedure="false">'11 Treatment Tracker'!$W$7:$W$156</definedName>
    <definedName function="false" hidden="false" name="TRT_COMPLETED" vbProcedure="false">'11 Treatment Tracker'!$O$7:$O$156</definedName>
    <definedName function="false" hidden="false" name="TRT_CRITERIA" vbProcedure="false">'11 Treatment Tracker'!$L$7:$L$156</definedName>
    <definedName function="false" hidden="false" name="TRT_DECREF" vbProcedure="false">'11 Treatment Tracker'!$Q$7:$Q$156</definedName>
    <definedName function="false" hidden="false" name="TRT_DOWNER" vbProcedure="false">'11 Treatment Tracker'!$H$7:$H$156</definedName>
    <definedName function="false" hidden="false" name="TRT_DSTATUS" vbProcedure="false">'11 Treatment Tracker'!$K$7:$K$156</definedName>
    <definedName function="false" hidden="false" name="TRT_DUE" vbProcedure="false">'11 Treatment Tracker'!$J$7:$J$156</definedName>
    <definedName function="false" hidden="false" name="TRT_ESC" vbProcedure="false">'11 Treatment Tracker'!$P$7:$P$156</definedName>
    <definedName function="false" hidden="false" name="TRT_FND" vbProcedure="false">'11 Treatment Tracker'!$E$7:$E$156</definedName>
    <definedName function="false" hidden="false" name="TRT_ID" vbProcedure="false">'11 Treatment Tracker'!$A$7:$A$156</definedName>
    <definedName function="false" hidden="false" name="TRT_NOTES" vbProcedure="false">'11 Treatment Tracker'!$R$7:$R$156</definedName>
    <definedName function="false" hidden="false" name="TRT_OPEN" vbProcedure="false">'11 Treatment Tracker'!$T$7:$T$156</definedName>
    <definedName function="false" hidden="false" name="TRT_OVERDUE" vbProcedure="false">'11 Treatment Tracker'!$U$7:$U$156</definedName>
    <definedName function="false" hidden="false" name="TRT_RISK" vbProcedure="false">'11 Treatment Tracker'!$D$7:$D$156</definedName>
    <definedName function="false" hidden="false" name="TRT_RPT" vbProcedure="false">'11 Treatment Tracker'!$X$7:$X$156</definedName>
    <definedName function="false" hidden="false" name="TRT_STATE" vbProcedure="false">'11 Treatment Tracker'!$S$7:$S$156</definedName>
    <definedName function="false" hidden="false" name="TRT_SUP" vbProcedure="false">'11 Treatment Tracker'!$B$7:$B$156</definedName>
    <definedName function="false" hidden="false" name="TRT_SUPNAME" vbProcedure="false">'11 Treatment Tracker'!$C$7:$C$156</definedName>
    <definedName function="false" hidden="false" name="TRT_VEREVID" vbProcedure="false">'11 Treatment Tracker'!$M$7:$M$156</definedName>
    <definedName function="false" hidden="false" name="TRT_VERSTAT" vbProcedure="false">'11 Treatment Tracker'!$N$7:$N$156</definedName>
    <definedName function="false" hidden="false" name="WarnDecisionDays" vbProcedure="false">'02 Methodology &amp; Settings'!$B$11</definedName>
    <definedName function="false" hidden="false" name="WarnEvidenceDays" vbProcedure="false">'02 Methodology &amp; Settings'!$B$9</definedName>
    <definedName function="false" hidden="false" name="WarnReviewDays" vbProcedure="false">'02 Methodology &amp; Settings'!$B$10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<sst xmlns="http://schemas.openxmlformats.org/spreadsheetml/2006/main" count="3837" uniqueCount="1985">
  <si>
    <t xml:space="preserve">Third-Party Risk Management (TPRM) Practitioner Toolkit</t>
  </si>
  <si>
    <t xml:space="preserve">GRC Workshop  |  Version 1.0  |  Free educational toolkit for aspiring and junior GRC practitioners</t>
  </si>
  <si>
    <t xml:space="preserve">Worked example edition: every supplier, person, risk, approval and reference is fictional (Meridian Financial Services).</t>
  </si>
  <si>
    <t xml:space="preserve">Workbook status (live)</t>
  </si>
  <si>
    <t xml:space="preserve">Edition</t>
  </si>
  <si>
    <t xml:space="preserve">Organisation</t>
  </si>
  <si>
    <t xml:space="preserve">As-of date in use</t>
  </si>
  <si>
    <t xml:space="preserve">Risk appetite</t>
  </si>
  <si>
    <t xml:space="preserve">Integrity checks</t>
  </si>
  <si>
    <t xml:space="preserve">Supplier lifecycle workflow - follow one supplier from registration to report</t>
  </si>
  <si>
    <t xml:space="preserve">01 Register and classify</t>
  </si>
  <si>
    <t xml:space="preserve">03 Supplier Inventory</t>
  </si>
  <si>
    <t xml:space="preserve">Capture supplier details and rate five impact dimensions</t>
  </si>
  <si>
    <t xml:space="preserve">04 Criticality Assessment</t>
  </si>
  <si>
    <t xml:space="preserve">02 Identify and assess risks</t>
  </si>
  <si>
    <t xml:space="preserve">05 Supplier Risk Register</t>
  </si>
  <si>
    <t xml:space="preserve">Record inherent risk scenarios with written rationale</t>
  </si>
  <si>
    <t xml:space="preserve">03 Perform due diligence</t>
  </si>
  <si>
    <t xml:space="preserve">07 Questionnaire Assessment</t>
  </si>
  <si>
    <t xml:space="preserve">Select questions, record responses, log evidence</t>
  </si>
  <si>
    <t xml:space="preserve">08 Evidence Register</t>
  </si>
  <si>
    <t xml:space="preserve">04 Determine residual exposure</t>
  </si>
  <si>
    <t xml:space="preserve">09 Control Assessment</t>
  </si>
  <si>
    <t xml:space="preserve">Assess controls independently, record findings, set current residual risk</t>
  </si>
  <si>
    <t xml:space="preserve">10 Findings Register</t>
  </si>
  <si>
    <t xml:space="preserve">05 Treat and approve</t>
  </si>
  <si>
    <t xml:space="preserve">11 Treatment Tracker</t>
  </si>
  <si>
    <t xml:space="preserve">Track remediation, verify it, record authorised decisions</t>
  </si>
  <si>
    <t xml:space="preserve">12 Acceptance &amp; Decisions</t>
  </si>
  <si>
    <t xml:space="preserve">06 Monitor and exit</t>
  </si>
  <si>
    <t xml:space="preserve">14 Supplier Monitoring</t>
  </si>
  <si>
    <t xml:space="preserve">Review KRIs, incidents, contracts, dependencies and exit</t>
  </si>
  <si>
    <t xml:space="preserve">17 Supplier Exit Tracker</t>
  </si>
  <si>
    <t xml:space="preserve">07 Report to management</t>
  </si>
  <si>
    <t xml:space="preserve">18 Assessment Report</t>
  </si>
  <si>
    <t xml:space="preserve">Summarise a supplier and the portfolio</t>
  </si>
  <si>
    <t xml:space="preserve">19 Portfolio Dashboard</t>
  </si>
  <si>
    <t xml:space="preserve">Sheet index (click to open)</t>
  </si>
  <si>
    <t xml:space="preserve">Setup</t>
  </si>
  <si>
    <t xml:space="preserve">01 Start Here</t>
  </si>
  <si>
    <t xml:space="preserve">This page</t>
  </si>
  <si>
    <t xml:space="preserve">02 Methodology &amp; Settings</t>
  </si>
  <si>
    <t xml:space="preserve">Criteria, bands, appetite, warning windows, dropdown lists</t>
  </si>
  <si>
    <t xml:space="preserve">Central supplier record and Supplier ID</t>
  </si>
  <si>
    <t xml:space="preserve">Risk assessment</t>
  </si>
  <si>
    <t xml:space="preserve">Five-dimension criticality and proposed tier</t>
  </si>
  <si>
    <t xml:space="preserve">Inherent, current residual and target risk with appetite status</t>
  </si>
  <si>
    <t xml:space="preserve">06 Due Diligence Question Bank</t>
  </si>
  <si>
    <t xml:space="preserve">72 reusable due diligence questions (reference library)</t>
  </si>
  <si>
    <t xml:space="preserve">Supplier-specific question selection and responses</t>
  </si>
  <si>
    <t xml:space="preserve">Documents and assurance evidence with currency flags</t>
  </si>
  <si>
    <t xml:space="preserve">Design, implementation and operating assessment of controls</t>
  </si>
  <si>
    <t xml:space="preserve">Governance and treatment</t>
  </si>
  <si>
    <t xml:space="preserve">Findings: confirmed weaknesses vs evidence gaps</t>
  </si>
  <si>
    <t xml:space="preserve">Remediation actions: delivery vs verification</t>
  </si>
  <si>
    <t xml:space="preserve">Recommendations vs authorised decisions</t>
  </si>
  <si>
    <t xml:space="preserve">13 Contract Requirements</t>
  </si>
  <si>
    <t xml:space="preserve">Contract security requirements and gaps</t>
  </si>
  <si>
    <t xml:space="preserve">Ongoing lifecycle</t>
  </si>
  <si>
    <t xml:space="preserve">Scheduled and event-driven oversight, KRIs</t>
  </si>
  <si>
    <t xml:space="preserve">15 Incident Log</t>
  </si>
  <si>
    <t xml:space="preserve">Supplier incidents (GRC oversight record)</t>
  </si>
  <si>
    <t xml:space="preserve">16 Dependency &amp; Concentration</t>
  </si>
  <si>
    <t xml:space="preserve">Fourth-party dependencies and shared-provider indicator</t>
  </si>
  <si>
    <t xml:space="preserve">Exit checklist and closure readiness</t>
  </si>
  <si>
    <t xml:space="preserve">Management and assurance</t>
  </si>
  <si>
    <t xml:space="preserve">Printable single-supplier assessment summary</t>
  </si>
  <si>
    <t xml:space="preserve">Portfolio metrics and integrity checks</t>
  </si>
  <si>
    <t xml:space="preserve">Colour and field legend (every colour also has a written label)</t>
  </si>
  <si>
    <t xml:space="preserve">USER INPUT</t>
  </si>
  <si>
    <t xml:space="preserve">Blue text on blue fill: user-entered facts, ratings, explanations (editable)</t>
  </si>
  <si>
    <t xml:space="preserve">CALCULATED</t>
  </si>
  <si>
    <t xml:space="preserve">Black on green fill: formula results. Locked - do not overwrite</t>
  </si>
  <si>
    <t xml:space="preserve">REFERENCE (looked up)</t>
  </si>
  <si>
    <t xml:space="preserve">Grey fill: values looked up from another register</t>
  </si>
  <si>
    <t xml:space="preserve">APPROVAL (user-entered record)</t>
  </si>
  <si>
    <t xml:space="preserve">Purple fill: user-entered approval records (Excel cannot verify authority)</t>
  </si>
  <si>
    <t xml:space="preserve">Amber</t>
  </si>
  <si>
    <t xml:space="preserve">review required (incomplete evidence, pending decision, approaching deadline)</t>
  </si>
  <si>
    <t xml:space="preserve">Red</t>
  </si>
  <si>
    <t xml:space="preserve">exception (overdue, above appetite, integrity CHECK, confirmed concern)</t>
  </si>
  <si>
    <t xml:space="preserve">Green</t>
  </si>
  <si>
    <t xml:space="preserve">complete / current / authorised record</t>
  </si>
  <si>
    <t xml:space="preserve">How the workbook behaves - design rules you can rely on</t>
  </si>
  <si>
    <t xml:space="preserve">-</t>
  </si>
  <si>
    <t xml:space="preserve">Supplier criticality, inherent risk and current residual risk stay distinct. Residual and target are assessor-entered; nothing derives them from scores or plans.</t>
  </si>
  <si>
    <t xml:space="preserve">Evidence gaps are never auto-scored as confirmed control failures (sheet 09 flags the conflict). Findings keep type = Evidence gap vs Confirmed control weakness.</t>
  </si>
  <si>
    <t xml:space="preserve">Planned remediation (sheet 11) never reduces current residual risk. Delivered is not Verified: only Verification = Verified closes an action.</t>
  </si>
  <si>
    <t xml:space="preserve">Risk acceptance (sheet 12) never removes an appetite breach. Accepted High exposure keeps showing High and Above appetite.</t>
  </si>
  <si>
    <t xml:space="preserve">Appetite not configured is shown as 'Not configured', never 'Within appetite'. Incomplete ratings show 'Incomplete', never Low or zero.</t>
  </si>
  <si>
    <t xml:space="preserve">Calculated tiers and 'ready for closure' are indicators, not approvals. Approval records are user-entered; keep the real evidence elsewhere and reference it.</t>
  </si>
  <si>
    <t xml:space="preserve">Use stable IDs you type yourself (SUP-001, TPR-001...). Duplicate or unknown IDs are highlighted and counted in the Dashboard integrity panel.</t>
  </si>
  <si>
    <t xml:space="preserve">Dates: overdue and expiry flags use the as-of date in Settings (today unless you override it).</t>
  </si>
  <si>
    <t xml:space="preserve">Working practicalities and known limits of v1.0</t>
  </si>
  <si>
    <t xml:space="preserve">Sheets are protected without a password so formulas cannot be overwritten by accident. Filters work on protected sheets; to SORT a register, unprotect it first (Review &gt; Unprotect Sheet), sort the whole table, then re-protect.</t>
  </si>
  <si>
    <t xml:space="preserve">Each register has a fixed capacity of pre-built rows (e.g. 60 suppliers, 200 risks, 400 questionnaire rows). Fill rows top to bottom; blank rows are ignored.</t>
  </si>
  <si>
    <t xml:space="preserve">Hidden helper columns (grey 'helper' headers) feed lookups and the report. Do not delete them.</t>
  </si>
  <si>
    <t xml:space="preserve">Multiple evidence IDs in one cell: separate with commas (EV-001, EV-002). The workbook counts how many resolve to real Evidence IDs.</t>
  </si>
  <si>
    <t xml:space="preserve">Not included in v1.0 by design: macros, external ratings feeds, supplier portals, notifications, digital signatures, AI decisions. Dashboard filters are not implemented; use register filters.</t>
  </si>
  <si>
    <t xml:space="preserve">This toolkit is an educational and practitioner-support tool. It does not perform an independent audit, provide regulatory certification or make legally binding risk acceptance decisions. Design follows risk-proportionate supplier assurance principles consistent with NIST SP 1305 and NCSC supply chain guidance.</t>
  </si>
  <si>
    <t xml:space="preserve">&lt;&lt; Back to Start Here</t>
  </si>
  <si>
    <t xml:space="preserve">Central configuration. Blue cells are editable; everything else is locked (unprotect with no password if you must change a locked item).</t>
  </si>
  <si>
    <t xml:space="preserve">1. Workbook status and general parameters</t>
  </si>
  <si>
    <t xml:space="preserve">Workbook edition</t>
  </si>
  <si>
    <t xml:space="preserve">Worked example - fictional Meridian Financial Services scenario (all data invented)</t>
  </si>
  <si>
    <t xml:space="preserve">Organisation name</t>
  </si>
  <si>
    <t xml:space="preserve">Meridian Financial Services (fictional)</t>
  </si>
  <si>
    <t xml:space="preserve">As-of date override (leave blank to use today's date)</t>
  </si>
  <si>
    <t xml:space="preserve">Worked example fixes the date so results stay reproducible. Clear it to use today's date.</t>
  </si>
  <si>
    <t xml:space="preserve">As-of date in use (drives overdue / expiry flags)</t>
  </si>
  <si>
    <t xml:space="preserve">Warning window: evidence expiry (days)</t>
  </si>
  <si>
    <t xml:space="preserve">Warning window: scheduled review due (days)</t>
  </si>
  <si>
    <t xml:space="preserve">Warning window: decision expiry / review (days)</t>
  </si>
  <si>
    <t xml:space="preserve">Recent-incident window (days)</t>
  </si>
  <si>
    <t xml:space="preserve">Shared-dependency indicator: minimum registered suppliers</t>
  </si>
  <si>
    <t xml:space="preserve">2. Risk appetite (classification is separate from approved appetite)</t>
  </si>
  <si>
    <t xml:space="preserve">Escalation threshold: residual band at or above which escalation is required</t>
  </si>
  <si>
    <t xml:space="preserve">High</t>
  </si>
  <si>
    <t xml:space="preserve">Appetite source / approval reference</t>
  </si>
  <si>
    <t xml:space="preserve">ILLUSTRATIVE ONLY - fictional Meridian policy MFS-RM-POL-01: High and Critical residual risks require escalation. Not an approved real-world policy.</t>
  </si>
  <si>
    <t xml:space="preserve">Appetite status</t>
  </si>
  <si>
    <t xml:space="preserve">The clean template ships with NO appetite configured. Example thresholds are illustrative and not an approved policy.</t>
  </si>
  <si>
    <t xml:space="preserve">3. Supplier impact dimensions and rating criteria (illustrative teaching criteria - edit to match your methodology, T02)</t>
  </si>
  <si>
    <t xml:space="preserve">Dimension</t>
  </si>
  <si>
    <t xml:space="preserve">Rating 1 - Low</t>
  </si>
  <si>
    <t xml:space="preserve">Rating 2 - Medium</t>
  </si>
  <si>
    <t xml:space="preserve">Rating 3 - High</t>
  </si>
  <si>
    <t xml:space="preserve">Business dependency</t>
  </si>
  <si>
    <t xml:space="preserve">Ancillary activity; workarounds readily available</t>
  </si>
  <si>
    <t xml:space="preserve">Important process; disruption causes noticeable degradation</t>
  </si>
  <si>
    <t xml:space="preserve">Critical business service; disruption would stop or seriously impair it</t>
  </si>
  <si>
    <t xml:space="preserve">Information sensitivity</t>
  </si>
  <si>
    <t xml:space="preserve">No confidential, personal or regulated information</t>
  </si>
  <si>
    <t xml:space="preserve">Internal or limited personal information; moderate harm if disclosed</t>
  </si>
  <si>
    <t xml:space="preserve">Sensitive personal, financial or regulated information; serious harm if disclosed</t>
  </si>
  <si>
    <t xml:space="preserve">System access</t>
  </si>
  <si>
    <t xml:space="preserve">No access to our systems or premises</t>
  </si>
  <si>
    <t xml:space="preserve">Limited, controlled access to non-critical systems or premises</t>
  </si>
  <si>
    <t xml:space="preserve">Privileged, extensive or persistent access to critical systems, networks or data</t>
  </si>
  <si>
    <t xml:space="preserve">Disruption impact</t>
  </si>
  <si>
    <t xml:space="preserve">Outage tolerable for more than 5 business days</t>
  </si>
  <si>
    <t xml:space="preserve">Outage tolerable for 1 to 5 business days</t>
  </si>
  <si>
    <t xml:space="preserve">Outage tolerable for less than 1 business day</t>
  </si>
  <si>
    <t xml:space="preserve">Replaceability and recovery difficulty</t>
  </si>
  <si>
    <t xml:space="preserve">Readily replaceable within weeks at low cost</t>
  </si>
  <si>
    <t xml:space="preserve">Replaceable in 1 to 6 months with moderate effort</t>
  </si>
  <si>
    <t xml:space="preserve">Difficult to replace: more than 6 months or significant lock-in</t>
  </si>
  <si>
    <t xml:space="preserve">4. Supplier tier rule, due diligence profile and monitoring defaults (review intervals are editable teaching defaults, not universal requirements)</t>
  </si>
  <si>
    <t xml:space="preserve">Tier</t>
  </si>
  <si>
    <t xml:space="preserve">Rule (highest-impact rule)</t>
  </si>
  <si>
    <t xml:space="preserve">Due diligence profile (illustrative)</t>
  </si>
  <si>
    <t xml:space="preserve">Scheduled review interval (months)</t>
  </si>
  <si>
    <t xml:space="preserve">Any dimension rated 3</t>
  </si>
  <si>
    <t xml:space="preserve">Full due diligence: tailored questionnaire, independent assurance evidence, control assessment, contract review, senior decision</t>
  </si>
  <si>
    <t xml:space="preserve">Medium</t>
  </si>
  <si>
    <t xml:space="preserve">No dimension rated 3, at least one rated 2</t>
  </si>
  <si>
    <t xml:space="preserve">Standard due diligence: core questionnaire, key evidence, contract review, risk-owner decision</t>
  </si>
  <si>
    <t xml:space="preserve">Low</t>
  </si>
  <si>
    <t xml:space="preserve">All five dimensions rated 1</t>
  </si>
  <si>
    <t xml:space="preserve">Light-touch: basic checks, standard contract terms, periodic attestation</t>
  </si>
  <si>
    <t xml:space="preserve">Incomplete: any required dimension missing or invalid - the tier is never guessed.</t>
  </si>
  <si>
    <t xml:space="preserve">A calculated tier is a PROPOSED classification; it is not approved until the approval field in sheet 04 records agreement.</t>
  </si>
  <si>
    <t xml:space="preserve">5. Risk score bands (5 x 5 matrix, T03). Default training bands - not an organisational standard.</t>
  </si>
  <si>
    <t xml:space="preserve">Bands must stay in ascending order of minimum score. Band names feed the appetite threshold list.</t>
  </si>
  <si>
    <t xml:space="preserve">Minimum score</t>
  </si>
  <si>
    <t xml:space="preserve">Rating</t>
  </si>
  <si>
    <t xml:space="preserve">Meaning</t>
  </si>
  <si>
    <t xml:space="preserve">Scores 1 to 5</t>
  </si>
  <si>
    <t xml:space="preserve">Moderate</t>
  </si>
  <si>
    <t xml:space="preserve">Scores 6 to 10</t>
  </si>
  <si>
    <t xml:space="preserve">Scores 11 to 15</t>
  </si>
  <si>
    <t xml:space="preserve">Critical</t>
  </si>
  <si>
    <t xml:space="preserve">Scores 16 to 25</t>
  </si>
  <si>
    <t xml:space="preserve">Score matrix (likelihood across, impact down) - calculated from the bands above</t>
  </si>
  <si>
    <t xml:space="preserve">Impact \ Likelihood</t>
  </si>
  <si>
    <t xml:space="preserve">Likelihood and impact scales (illustrative - assessors must record a rationale for every rating)</t>
  </si>
  <si>
    <t xml:space="preserve">Likelihood</t>
  </si>
  <si>
    <t xml:space="preserve">Impact</t>
  </si>
  <si>
    <t xml:space="preserve">Rare - not expected in the next 12 months</t>
  </si>
  <si>
    <t xml:space="preserve">Negligible - no material effect</t>
  </si>
  <si>
    <t xml:space="preserve">Unlikely - could occur but not expected</t>
  </si>
  <si>
    <t xml:space="preserve">Minor - small, manageable effect</t>
  </si>
  <si>
    <t xml:space="preserve">Possible - may occur within 12 months</t>
  </si>
  <si>
    <t xml:space="preserve">Moderate - noticeable effect, recoverable</t>
  </si>
  <si>
    <t xml:space="preserve">Likely - expected to occur within 12 months</t>
  </si>
  <si>
    <t xml:space="preserve">Major - serious effect on service, customers or compliance</t>
  </si>
  <si>
    <t xml:space="preserve">Almost certain - already occurring or expected repeatedly</t>
  </si>
  <si>
    <t xml:space="preserve">Severe - critical failure, major harm or regulatory consequence</t>
  </si>
  <si>
    <t xml:space="preserve">6. Controlled vocabularies (dropdown lists). Edit only via unprotecting; changing a value used by a formula can change results.</t>
  </si>
  <si>
    <t xml:space="preserve">Control assessment status and effectiveness are separate vocabularies: an evidence gap never automatically becomes 'Ineffective'.</t>
  </si>
  <si>
    <t xml:space="preserve">R13</t>
  </si>
  <si>
    <t xml:space="preserve">R15</t>
  </si>
  <si>
    <t xml:space="preserve">Band</t>
  </si>
  <si>
    <t xml:space="preserve">YesNo</t>
  </si>
  <si>
    <t xml:space="preserve">SupStatus</t>
  </si>
  <si>
    <t xml:space="preserve">Hosting</t>
  </si>
  <si>
    <t xml:space="preserve">BizValid</t>
  </si>
  <si>
    <t xml:space="preserve">CritAppr</t>
  </si>
  <si>
    <t xml:space="preserve">RiskCat</t>
  </si>
  <si>
    <t xml:space="preserve">Confidence</t>
  </si>
  <si>
    <t xml:space="preserve">Domain</t>
  </si>
  <si>
    <t xml:space="preserve">QStatus</t>
  </si>
  <si>
    <t xml:space="preserve">Applic</t>
  </si>
  <si>
    <t xml:space="preserve">Response</t>
  </si>
  <si>
    <t xml:space="preserve">AnalystReview</t>
  </si>
  <si>
    <t xml:space="preserve">EvType</t>
  </si>
  <si>
    <t xml:space="preserve">Verif</t>
  </si>
  <si>
    <t xml:space="preserve">Suff</t>
  </si>
  <si>
    <t xml:space="preserve">CtlStatus</t>
  </si>
  <si>
    <t xml:space="preserve">Effect</t>
  </si>
  <si>
    <t xml:space="preserve">Design</t>
  </si>
  <si>
    <t xml:space="preserve">Impl</t>
  </si>
  <si>
    <t xml:space="preserve">Oper</t>
  </si>
  <si>
    <t xml:space="preserve">FndType</t>
  </si>
  <si>
    <t xml:space="preserve">Severity</t>
  </si>
  <si>
    <t xml:space="preserve">FndStatus</t>
  </si>
  <si>
    <t xml:space="preserve">TrtApproach</t>
  </si>
  <si>
    <t xml:space="preserve">TrtDelivery</t>
  </si>
  <si>
    <t xml:space="preserve">TrtVerif</t>
  </si>
  <si>
    <t xml:space="preserve">Escal</t>
  </si>
  <si>
    <t xml:space="preserve">DecType</t>
  </si>
  <si>
    <t xml:space="preserve">DecReq</t>
  </si>
  <si>
    <t xml:space="preserve">DecFinal</t>
  </si>
  <si>
    <t xml:space="preserve">DecStatus</t>
  </si>
  <si>
    <t xml:space="preserve">ConDomain</t>
  </si>
  <si>
    <t xml:space="preserve">ConReview</t>
  </si>
  <si>
    <t xml:space="preserve">ConDisp</t>
  </si>
  <si>
    <t xml:space="preserve">MonType</t>
  </si>
  <si>
    <t xml:space="preserve">MonStatus</t>
  </si>
  <si>
    <t xml:space="preserve">KRIDir</t>
  </si>
  <si>
    <t xml:space="preserve">IncStatus</t>
  </si>
  <si>
    <t xml:space="preserve">Materiality</t>
  </si>
  <si>
    <t xml:space="preserve">PrivLegal</t>
  </si>
  <si>
    <t xml:space="preserve">DepType</t>
  </si>
  <si>
    <t xml:space="preserve">Substit</t>
  </si>
  <si>
    <t xml:space="preserve">DepStatus</t>
  </si>
  <si>
    <t xml:space="preserve">ExitType</t>
  </si>
  <si>
    <t xml:space="preserve">ExitStatus</t>
  </si>
  <si>
    <t xml:space="preserve">ExitClosure</t>
  </si>
  <si>
    <t xml:space="preserve">ExitItems</t>
  </si>
  <si>
    <t xml:space="preserve">Yes</t>
  </si>
  <si>
    <t xml:space="preserve">Prospective</t>
  </si>
  <si>
    <t xml:space="preserve">SaaS (multi-tenant)</t>
  </si>
  <si>
    <t xml:space="preserve">Not requested</t>
  </si>
  <si>
    <t xml:space="preserve">Confirmed by business owner</t>
  </si>
  <si>
    <t xml:space="preserve">Information security</t>
  </si>
  <si>
    <t xml:space="preserve">Governance and policy</t>
  </si>
  <si>
    <t xml:space="preserve">Draft</t>
  </si>
  <si>
    <t xml:space="preserve">Applicable</t>
  </si>
  <si>
    <t xml:space="preserve">Not started</t>
  </si>
  <si>
    <t xml:space="preserve">ISO/IEC 27001 certificate</t>
  </si>
  <si>
    <t xml:space="preserve">Verified</t>
  </si>
  <si>
    <t xml:space="preserve">Sufficient</t>
  </si>
  <si>
    <t xml:space="preserve">Supported</t>
  </si>
  <si>
    <t xml:space="preserve">Effective</t>
  </si>
  <si>
    <t xml:space="preserve">Adequate</t>
  </si>
  <si>
    <t xml:space="preserve">Implemented</t>
  </si>
  <si>
    <t xml:space="preserve">Operating</t>
  </si>
  <si>
    <t xml:space="preserve">Confirmed control weakness</t>
  </si>
  <si>
    <t xml:space="preserve">Open</t>
  </si>
  <si>
    <t xml:space="preserve">Avoid</t>
  </si>
  <si>
    <t xml:space="preserve">Not yet due</t>
  </si>
  <si>
    <t xml:space="preserve">None</t>
  </si>
  <si>
    <t xml:space="preserve">Supplier approval</t>
  </si>
  <si>
    <t xml:space="preserve">Approve</t>
  </si>
  <si>
    <t xml:space="preserve">Approved</t>
  </si>
  <si>
    <t xml:space="preserve">Not reviewed</t>
  </si>
  <si>
    <t xml:space="preserve">Scheduled assurance review</t>
  </si>
  <si>
    <t xml:space="preserve">Planned</t>
  </si>
  <si>
    <t xml:space="preserve">Higher is worse</t>
  </si>
  <si>
    <t xml:space="preserve">Not yet determined</t>
  </si>
  <si>
    <t xml:space="preserve">Not required</t>
  </si>
  <si>
    <t xml:space="preserve">Cloud / hosting infrastructure</t>
  </si>
  <si>
    <t xml:space="preserve">Easy</t>
  </si>
  <si>
    <t xml:space="preserve">Not assessed</t>
  </si>
  <si>
    <t xml:space="preserve">Planned termination</t>
  </si>
  <si>
    <t xml:space="preserve">Exit scope confirmed</t>
  </si>
  <si>
    <t xml:space="preserve">No</t>
  </si>
  <si>
    <t xml:space="preserve">Onboarding</t>
  </si>
  <si>
    <t xml:space="preserve">SaaS (single-tenant)</t>
  </si>
  <si>
    <t xml:space="preserve">Requested</t>
  </si>
  <si>
    <t xml:space="preserve">Data protection &amp; privacy</t>
  </si>
  <si>
    <t xml:space="preserve">Identity and privileged access</t>
  </si>
  <si>
    <t xml:space="preserve">Not applicable - justified</t>
  </si>
  <si>
    <t xml:space="preserve">Partially</t>
  </si>
  <si>
    <t xml:space="preserve">In review</t>
  </si>
  <si>
    <t xml:space="preserve">SOC 2 report</t>
  </si>
  <si>
    <t xml:space="preserve">Pending verification</t>
  </si>
  <si>
    <t xml:space="preserve">Partially sufficient</t>
  </si>
  <si>
    <t xml:space="preserve">Partially supported</t>
  </si>
  <si>
    <t xml:space="preserve">Partially effective</t>
  </si>
  <si>
    <t xml:space="preserve">Partially adequate</t>
  </si>
  <si>
    <t xml:space="preserve">Partially implemented</t>
  </si>
  <si>
    <t xml:space="preserve">Partially operating</t>
  </si>
  <si>
    <t xml:space="preserve">Evidence gap</t>
  </si>
  <si>
    <t xml:space="preserve">In remediation</t>
  </si>
  <si>
    <t xml:space="preserve">Reduce</t>
  </si>
  <si>
    <t xml:space="preserve">In progress</t>
  </si>
  <si>
    <t xml:space="preserve">Pending</t>
  </si>
  <si>
    <t xml:space="preserve">Escalated</t>
  </si>
  <si>
    <t xml:space="preserve">Conditional approval</t>
  </si>
  <si>
    <t xml:space="preserve">Conditionally approve</t>
  </si>
  <si>
    <t xml:space="preserve">Conditionally approved</t>
  </si>
  <si>
    <t xml:space="preserve">Submitted</t>
  </si>
  <si>
    <t xml:space="preserve">Access control</t>
  </si>
  <si>
    <t xml:space="preserve">Clause present - legal review pending</t>
  </si>
  <si>
    <t xml:space="preserve">Amended</t>
  </si>
  <si>
    <t xml:space="preserve">Material change</t>
  </si>
  <si>
    <t xml:space="preserve">Lower is worse</t>
  </si>
  <si>
    <t xml:space="preserve">Under investigation</t>
  </si>
  <si>
    <t xml:space="preserve">Minor</t>
  </si>
  <si>
    <t xml:space="preserve">Data centre / colocation</t>
  </si>
  <si>
    <t xml:space="preserve">Under review</t>
  </si>
  <si>
    <t xml:space="preserve">Contract expiry (non-renewal)</t>
  </si>
  <si>
    <t xml:space="preserve">Ready for closure review</t>
  </si>
  <si>
    <t xml:space="preserve">Dependencies identified</t>
  </si>
  <si>
    <t xml:space="preserve">Active</t>
  </si>
  <si>
    <t xml:space="preserve">IaaS/PaaS</t>
  </si>
  <si>
    <t xml:space="preserve">Validated</t>
  </si>
  <si>
    <t xml:space="preserve">Rejected - reassess</t>
  </si>
  <si>
    <t xml:space="preserve">Operational resilience</t>
  </si>
  <si>
    <t xml:space="preserve">Information protection</t>
  </si>
  <si>
    <t xml:space="preserve">Retired</t>
  </si>
  <si>
    <t xml:space="preserve">Deferred</t>
  </si>
  <si>
    <t xml:space="preserve">Reviewed</t>
  </si>
  <si>
    <t xml:space="preserve">Policy or procedure</t>
  </si>
  <si>
    <t xml:space="preserve">Could not be verified</t>
  </si>
  <si>
    <t xml:space="preserve">Insufficient</t>
  </si>
  <si>
    <t xml:space="preserve">Evidence insufficient</t>
  </si>
  <si>
    <t xml:space="preserve">Ineffective</t>
  </si>
  <si>
    <t xml:space="preserve">Inadequate</t>
  </si>
  <si>
    <t xml:space="preserve">Not implemented</t>
  </si>
  <si>
    <t xml:space="preserve">Not operating</t>
  </si>
  <si>
    <t xml:space="preserve">Control exception</t>
  </si>
  <si>
    <t xml:space="preserve">Remediated - pending verification</t>
  </si>
  <si>
    <t xml:space="preserve">Transfer/share</t>
  </si>
  <si>
    <t xml:space="preserve">Blocked</t>
  </si>
  <si>
    <t xml:space="preserve">Resolved</t>
  </si>
  <si>
    <t xml:space="preserve">Approval deferred</t>
  </si>
  <si>
    <t xml:space="preserve">Defer</t>
  </si>
  <si>
    <t xml:space="preserve">Decided</t>
  </si>
  <si>
    <t xml:space="preserve">Incident notification</t>
  </si>
  <si>
    <t xml:space="preserve">Clause reviewed - no gap noted</t>
  </si>
  <si>
    <t xml:space="preserve">Accepted - exception approved</t>
  </si>
  <si>
    <t xml:space="preserve">Remediation review</t>
  </si>
  <si>
    <t xml:space="preserve">Completed</t>
  </si>
  <si>
    <t xml:space="preserve">Contained</t>
  </si>
  <si>
    <t xml:space="preserve">Subcontractor (people / services)</t>
  </si>
  <si>
    <t xml:space="preserve">Difficult</t>
  </si>
  <si>
    <t xml:space="preserve">Assessed - no action</t>
  </si>
  <si>
    <t xml:space="preserve">Supplier failure / insolvency</t>
  </si>
  <si>
    <t xml:space="preserve">Complete</t>
  </si>
  <si>
    <t xml:space="preserve">Closed - approved</t>
  </si>
  <si>
    <t xml:space="preserve">Replacement supplier assessed</t>
  </si>
  <si>
    <t xml:space="preserve">On-premises at supplier</t>
  </si>
  <si>
    <t xml:space="preserve">Disputed</t>
  </si>
  <si>
    <t xml:space="preserve">Business continuity</t>
  </si>
  <si>
    <t xml:space="preserve">Vulnerability and patch management</t>
  </si>
  <si>
    <t xml:space="preserve">Not applicable</t>
  </si>
  <si>
    <t xml:space="preserve">Follow-up required</t>
  </si>
  <si>
    <t xml:space="preserve">Technical configuration evidence</t>
  </si>
  <si>
    <t xml:space="preserve">Rejected</t>
  </si>
  <si>
    <t xml:space="preserve">Confirmed weakness</t>
  </si>
  <si>
    <t xml:space="preserve">Contractual gap</t>
  </si>
  <si>
    <t xml:space="preserve">Risk accepted (see decision)</t>
  </si>
  <si>
    <t xml:space="preserve">Accept</t>
  </si>
  <si>
    <t xml:space="preserve">Delivered (self-reported)</t>
  </si>
  <si>
    <t xml:space="preserve">Failed</t>
  </si>
  <si>
    <t xml:space="preserve">Supplier rejection</t>
  </si>
  <si>
    <t xml:space="preserve">Reject</t>
  </si>
  <si>
    <t xml:space="preserve">Superseded</t>
  </si>
  <si>
    <t xml:space="preserve">Data protection</t>
  </si>
  <si>
    <t xml:space="preserve">Gap identified</t>
  </si>
  <si>
    <t xml:space="preserve">No action required</t>
  </si>
  <si>
    <t xml:space="preserve">Certification review</t>
  </si>
  <si>
    <t xml:space="preserve">Cancelled</t>
  </si>
  <si>
    <t xml:space="preserve">Monitoring</t>
  </si>
  <si>
    <t xml:space="preserve">Major</t>
  </si>
  <si>
    <t xml:space="preserve">Software component</t>
  </si>
  <si>
    <t xml:space="preserve">Assessed - action required</t>
  </si>
  <si>
    <t xml:space="preserve">Replacement</t>
  </si>
  <si>
    <t xml:space="preserve">Data exported</t>
  </si>
  <si>
    <t xml:space="preserve">Exiting</t>
  </si>
  <si>
    <t xml:space="preserve">Managed service</t>
  </si>
  <si>
    <t xml:space="preserve">Subcontractor / fourth party</t>
  </si>
  <si>
    <t xml:space="preserve">Secure development and change management</t>
  </si>
  <si>
    <t xml:space="preserve">Not answered</t>
  </si>
  <si>
    <t xml:space="preserve">Recovery test</t>
  </si>
  <si>
    <t xml:space="preserve">Exception identified</t>
  </si>
  <si>
    <t xml:space="preserve">Unresolved dependency</t>
  </si>
  <si>
    <t xml:space="preserve">Closed - verified</t>
  </si>
  <si>
    <t xml:space="preserve">Risk acceptance</t>
  </si>
  <si>
    <t xml:space="preserve">Accept risk</t>
  </si>
  <si>
    <t xml:space="preserve">Risk accepted</t>
  </si>
  <si>
    <t xml:space="preserve">Withdrawn</t>
  </si>
  <si>
    <t xml:space="preserve">Audit and assurance</t>
  </si>
  <si>
    <t xml:space="preserve">Operational disruption</t>
  </si>
  <si>
    <t xml:space="preserve">Closed</t>
  </si>
  <si>
    <t xml:space="preserve">Network / connectivity</t>
  </si>
  <si>
    <t xml:space="preserve">Regulatory or other</t>
  </si>
  <si>
    <t xml:space="preserve">Migration validated</t>
  </si>
  <si>
    <t xml:space="preserve">Exited</t>
  </si>
  <si>
    <t xml:space="preserve">Hybrid</t>
  </si>
  <si>
    <t xml:space="preserve">Compliance &amp; regulatory</t>
  </si>
  <si>
    <t xml:space="preserve">Logging, monitoring and incident response</t>
  </si>
  <si>
    <t xml:space="preserve">Vulnerability remediation evidence</t>
  </si>
  <si>
    <t xml:space="preserve">Improvement opportunity</t>
  </si>
  <si>
    <t xml:space="preserve">Temporary exception</t>
  </si>
  <si>
    <t xml:space="preserve">Grant temporary exception</t>
  </si>
  <si>
    <t xml:space="preserve">Temporary exception granted</t>
  </si>
  <si>
    <t xml:space="preserve">Resilience</t>
  </si>
  <si>
    <t xml:space="preserve">KRI breach</t>
  </si>
  <si>
    <t xml:space="preserve">Payment / financial service</t>
  </si>
  <si>
    <t xml:space="preserve">Access revoked</t>
  </si>
  <si>
    <t xml:space="preserve">Physical security</t>
  </si>
  <si>
    <t xml:space="preserve">Business continuity and disaster recovery</t>
  </si>
  <si>
    <t xml:space="preserve">Incident response exercise</t>
  </si>
  <si>
    <t xml:space="preserve">Pending review</t>
  </si>
  <si>
    <t xml:space="preserve">Not yet decided</t>
  </si>
  <si>
    <t xml:space="preserve">Subcontractors</t>
  </si>
  <si>
    <t xml:space="preserve">Supplier risk reassessment</t>
  </si>
  <si>
    <t xml:space="preserve">Other</t>
  </si>
  <si>
    <t xml:space="preserve">API credentials addressed</t>
  </si>
  <si>
    <t xml:space="preserve">Financial viability</t>
  </si>
  <si>
    <t xml:space="preserve">Privacy and information processing</t>
  </si>
  <si>
    <t xml:space="preserve">Supplier attestation</t>
  </si>
  <si>
    <t xml:space="preserve">Information retention and deletion</t>
  </si>
  <si>
    <t xml:space="preserve">Data return or deletion addressed</t>
  </si>
  <si>
    <t xml:space="preserve">Exit &amp; transition</t>
  </si>
  <si>
    <t xml:space="preserve">Subcontractor management</t>
  </si>
  <si>
    <t xml:space="preserve">Exit and transition</t>
  </si>
  <si>
    <t xml:space="preserve">Backup and retention exceptions addressed</t>
  </si>
  <si>
    <t xml:space="preserve">Reputational</t>
  </si>
  <si>
    <t xml:space="preserve">Independent assurance</t>
  </si>
  <si>
    <t xml:space="preserve">Contractual obligations reviewed</t>
  </si>
  <si>
    <t xml:space="preserve">Contractual security</t>
  </si>
  <si>
    <t xml:space="preserve">Concentration risk considered</t>
  </si>
  <si>
    <t xml:space="preserve">Exit and data retention</t>
  </si>
  <si>
    <t xml:space="preserve">Outstanding findings transferred or dispositioned</t>
  </si>
  <si>
    <t xml:space="preserve">Closure decision recorded</t>
  </si>
  <si>
    <t xml:space="preserve">Central record of supplier relationships. Supplier ID is the primary key linking every other register.</t>
  </si>
  <si>
    <t xml:space="preserve">Rules: Enter stable Supplier IDs by hand (do not renumber after sorting). Tier and approval fields are looked up, not typed. Calculated tier is a PROPOSAL until approved.</t>
  </si>
  <si>
    <t xml:space="preserve">CALCULATED - do not overwrite</t>
  </si>
  <si>
    <t xml:space="preserve">e.g. SUP-001</t>
  </si>
  <si>
    <t xml:space="preserve">e.g. Registered or trading name</t>
  </si>
  <si>
    <t xml:space="preserve">e.g. Cloud hosting for customer platform</t>
  </si>
  <si>
    <t xml:space="preserve">e.g. Head of Digital Platforms</t>
  </si>
  <si>
    <t xml:space="preserve">e.g. Platform Engineering Manager</t>
  </si>
  <si>
    <t xml:space="preserve">e.g. Online account servicing</t>
  </si>
  <si>
    <t xml:space="preserve">e.g. Active</t>
  </si>
  <si>
    <t xml:space="preserve">e.g. 2024-04-01</t>
  </si>
  <si>
    <t xml:space="preserve">e.g. 2027-03-31</t>
  </si>
  <si>
    <t xml:space="preserve">e.g. Customer personal data</t>
  </si>
  <si>
    <t xml:space="preserve">e.g. Privileged admin access; API</t>
  </si>
  <si>
    <t xml:space="preserve">e.g. SaaS (multi-tenant)</t>
  </si>
  <si>
    <t xml:space="preserve">e.g. Annual reassessment of hosting service</t>
  </si>
  <si>
    <t xml:space="preserve">Supplier ID</t>
  </si>
  <si>
    <t xml:space="preserve">Supplier legal or display name</t>
  </si>
  <si>
    <t xml:space="preserve">Service description</t>
  </si>
  <si>
    <t xml:space="preserve">Business owner</t>
  </si>
  <si>
    <t xml:space="preserve">Internal relationship owner</t>
  </si>
  <si>
    <t xml:space="preserve">Business process supported</t>
  </si>
  <si>
    <t xml:space="preserve">Supplier relationship status</t>
  </si>
  <si>
    <t xml:space="preserve">Contract start date</t>
  </si>
  <si>
    <t xml:space="preserve">Contract end date</t>
  </si>
  <si>
    <t xml:space="preserve">Information categories processed</t>
  </si>
  <si>
    <t xml:space="preserve">Systems and access types</t>
  </si>
  <si>
    <t xml:space="preserve">Hosting or delivery model</t>
  </si>
  <si>
    <t xml:space="preserve">Assessment scope statement (feeds report)</t>
  </si>
  <si>
    <t xml:space="preserve">Notes</t>
  </si>
  <si>
    <t xml:space="preserve">Criticality tier (from 04, proposed unless approved)</t>
  </si>
  <si>
    <t xml:space="preserve">Classification approval status</t>
  </si>
  <si>
    <t xml:space="preserve">Latest assessment date</t>
  </si>
  <si>
    <t xml:space="preserve">Latest approval status (authorised records only)</t>
  </si>
  <si>
    <t xml:space="preserve">Next scheduled review</t>
  </si>
  <si>
    <t xml:space="preserve">Review status</t>
  </si>
  <si>
    <t xml:space="preserve">ID check</t>
  </si>
  <si>
    <t xml:space="preserve">Record completeness</t>
  </si>
  <si>
    <t xml:space="preserve">Issues (helper)</t>
  </si>
  <si>
    <t xml:space="preserve">SUP-001</t>
  </si>
  <si>
    <t xml:space="preserve">Northwind Cloud Hosting Ltd</t>
  </si>
  <si>
    <t xml:space="preserve">Public cloud IaaS/PaaS hosting for the online account servicing platform</t>
  </si>
  <si>
    <t xml:space="preserve">Head of Digital Platforms (A. Patel)</t>
  </si>
  <si>
    <t xml:space="preserve">Platform Engineering Manager (J. Okafor)</t>
  </si>
  <si>
    <t xml:space="preserve">Online account servicing</t>
  </si>
  <si>
    <t xml:space="preserve">Customer personal and financial data</t>
  </si>
  <si>
    <t xml:space="preserve">Privileged cloud administration; API integrations to core systems</t>
  </si>
  <si>
    <t xml:space="preserve">Annual reassessment of hosting service for the online account servicing platform (all regions in contract scope).</t>
  </si>
  <si>
    <t xml:space="preserve">Critical cloud provider. Hosts customer-facing platform.</t>
  </si>
  <si>
    <t xml:space="preserve">SUP-002</t>
  </si>
  <si>
    <t xml:space="preserve">SupportLoop Ltd</t>
  </si>
  <si>
    <t xml:space="preserve">Customer-support ticketing and chat SaaS</t>
  </si>
  <si>
    <t xml:space="preserve">Head of Customer Operations (M. Reyes)</t>
  </si>
  <si>
    <t xml:space="preserve">Customer Ops Systems Lead (T. Walker)</t>
  </si>
  <si>
    <t xml:space="preserve">Customer queries and complaints handling</t>
  </si>
  <si>
    <t xml:space="preserve">Customer contact details and complaint narratives</t>
  </si>
  <si>
    <t xml:space="preserve">Single sign-on for agents; API connection to CRM</t>
  </si>
  <si>
    <t xml:space="preserve">Initial onboarding assessment of the SupportLoop SaaS service and its CRM integration.</t>
  </si>
  <si>
    <t xml:space="preserve">Customer-support SaaS provider.</t>
  </si>
  <si>
    <t xml:space="preserve">SUP-003</t>
  </si>
  <si>
    <t xml:space="preserve">BrightDesk Office Supplies</t>
  </si>
  <si>
    <t xml:space="preserve">Stationery and consumables</t>
  </si>
  <si>
    <t xml:space="preserve">Office Manager (L. Chen)</t>
  </si>
  <si>
    <t xml:space="preserve">Office administration</t>
  </si>
  <si>
    <t xml:space="preserve">Light-touch onboarding check for a low-impact supplier.</t>
  </si>
  <si>
    <t xml:space="preserve">Low-impact supplier.</t>
  </si>
  <si>
    <t xml:space="preserve">SUP-004</t>
  </si>
  <si>
    <t xml:space="preserve">Cleanwell Facilities Ltd</t>
  </si>
  <si>
    <t xml:space="preserve">Out-of-hours office cleaning with keyed building access</t>
  </si>
  <si>
    <t xml:space="preserve">Facilities Manager (D. Brooks)</t>
  </si>
  <si>
    <t xml:space="preserve">Premises management</t>
  </si>
  <si>
    <t xml:space="preserve">Incidental exposure to paper records</t>
  </si>
  <si>
    <t xml:space="preserve">Physical access to offices (keys and alarm codes)</t>
  </si>
  <si>
    <t xml:space="preserve">Annual assessment of premises access controls for the cleaning service.</t>
  </si>
  <si>
    <t xml:space="preserve">Contract end date approaching; renewal decision pending.</t>
  </si>
  <si>
    <t xml:space="preserve">SUP-005</t>
  </si>
  <si>
    <t xml:space="preserve">Datavault Backup Services Ltd</t>
  </si>
  <si>
    <t xml:space="preserve">Off-site encrypted backup of production databases</t>
  </si>
  <si>
    <t xml:space="preserve">Head of IT Infrastructure (S. Novak)</t>
  </si>
  <si>
    <t xml:space="preserve">Infrastructure Manager (P. Dunn)</t>
  </si>
  <si>
    <t xml:space="preserve">Technology resilience</t>
  </si>
  <si>
    <t xml:space="preserve">Encrypted backups containing customer data</t>
  </si>
  <si>
    <t xml:space="preserve">Backup agent; storage portal access</t>
  </si>
  <si>
    <t xml:space="preserve">Exit assessment: confirm secure migration, access revocation and deletion of retained backups.</t>
  </si>
  <si>
    <t xml:space="preserve">Exiting: backups migrating to Northwind (SUP-001).</t>
  </si>
  <si>
    <t xml:space="preserve">04 Supplier Criticality Assessment</t>
  </si>
  <si>
    <t xml:space="preserve">Five-dimension criticality rating (T02). Tier = highest-impact rule: any 3 = High; else any 2 = Medium; all 1 = Low; missing = Incomplete.</t>
  </si>
  <si>
    <t xml:space="preserve">Rules: A calculated tier is a PROPOSED result. Only the approval/confirmation field records agreement. Keep earlier records; the newest date per supplier is 'Current'.</t>
  </si>
  <si>
    <t xml:space="preserve">e.g. CR-001</t>
  </si>
  <si>
    <t xml:space="preserve">e.g. 2026-08-12</t>
  </si>
  <si>
    <t xml:space="preserve">e.g. 3</t>
  </si>
  <si>
    <t xml:space="preserve">e.g. 2</t>
  </si>
  <si>
    <t xml:space="preserve">e.g. Why this rating</t>
  </si>
  <si>
    <t xml:space="preserve">e.g. Validated</t>
  </si>
  <si>
    <t xml:space="preserve">e.g. GRC Analyst</t>
  </si>
  <si>
    <t xml:space="preserve">e.g. 2026-08-19</t>
  </si>
  <si>
    <t xml:space="preserve">e.g. Approved</t>
  </si>
  <si>
    <t xml:space="preserve">Assessment ID</t>
  </si>
  <si>
    <t xml:space="preserve">Supplier name</t>
  </si>
  <si>
    <t xml:space="preserve">Assessment date</t>
  </si>
  <si>
    <t xml:space="preserve">Business dependency (1-3)</t>
  </si>
  <si>
    <t xml:space="preserve">Information sensitivity (1-3)</t>
  </si>
  <si>
    <t xml:space="preserve">System access (1-3)</t>
  </si>
  <si>
    <t xml:space="preserve">Disruption impact (1-3)</t>
  </si>
  <si>
    <t xml:space="preserve">Replaceability &amp; recovery difficulty (1-3)</t>
  </si>
  <si>
    <t xml:space="preserve">Rationale: business dependency</t>
  </si>
  <si>
    <t xml:space="preserve">Rationale: information sensitivity</t>
  </si>
  <si>
    <t xml:space="preserve">Rationale: system access</t>
  </si>
  <si>
    <t xml:space="preserve">Rationale: disruption impact</t>
  </si>
  <si>
    <t xml:space="preserve">Rationale: replaceability</t>
  </si>
  <si>
    <t xml:space="preserve">Business owner validation status</t>
  </si>
  <si>
    <t xml:space="preserve">Reviewer</t>
  </si>
  <si>
    <t xml:space="preserve">Review date</t>
  </si>
  <si>
    <t xml:space="preserve">Approval or confirmation (blank = proposed only)</t>
  </si>
  <si>
    <t xml:space="preserve">Proposed supplier tier</t>
  </si>
  <si>
    <t xml:space="preserve">Due diligence profile</t>
  </si>
  <si>
    <t xml:space="preserve">Missing information</t>
  </si>
  <si>
    <t xml:space="preserve">Approval status shown</t>
  </si>
  <si>
    <t xml:space="preserve">Current record?</t>
  </si>
  <si>
    <t xml:space="preserve">Lookup key (helper)</t>
  </si>
  <si>
    <t xml:space="preserve">ID / link check</t>
  </si>
  <si>
    <t xml:space="preserve">CR-001</t>
  </si>
  <si>
    <t xml:space="preserve">Hosts the online account servicing platform; loss halts customer access.</t>
  </si>
  <si>
    <t xml:space="preserve">Stores customer personal and financial data.</t>
  </si>
  <si>
    <t xml:space="preserve">Privileged administrative access to production cloud accounts.</t>
  </si>
  <si>
    <t xml:space="preserve">Outage above 4 hours breaches internal impact tolerance.</t>
  </si>
  <si>
    <t xml:space="preserve">Migration would take well over six months because of embedded platform services.</t>
  </si>
  <si>
    <t xml:space="preserve">GRC Analyst (K. Mensah)</t>
  </si>
  <si>
    <t xml:space="preserve">CR-002</t>
  </si>
  <si>
    <t xml:space="preserve">Supports complaints handling; manual workaround possible for a few days.</t>
  </si>
  <si>
    <t xml:space="preserve">Holds complaint narratives and contact details for customers.</t>
  </si>
  <si>
    <t xml:space="preserve">Agents sign in through SSO; limited API access to CRM.</t>
  </si>
  <si>
    <t xml:space="preserve">Outage tolerable for 1-5 business days using backup channels.</t>
  </si>
  <si>
    <t xml:space="preserve">Replaceable within 3-6 months with moderate migration effort.</t>
  </si>
  <si>
    <t xml:space="preserve">CR-003</t>
  </si>
  <si>
    <t xml:space="preserve">Ancillary administrative supply.</t>
  </si>
  <si>
    <t xml:space="preserve">No confidential or personal information shared.</t>
  </si>
  <si>
    <t xml:space="preserve">No access to systems or premises.</t>
  </si>
  <si>
    <t xml:space="preserve">Delays tolerable for weeks.</t>
  </si>
  <si>
    <t xml:space="preserve">Many alternative suppliers available.</t>
  </si>
  <si>
    <t xml:space="preserve">CR-004</t>
  </si>
  <si>
    <t xml:space="preserve">Supports premises upkeep only.</t>
  </si>
  <si>
    <t xml:space="preserve">Incidental exposure to paper records only.</t>
  </si>
  <si>
    <t xml:space="preserve">Out-of-hours physical access with keys and alarm codes.</t>
  </si>
  <si>
    <t xml:space="preserve">Cleaning gaps tolerable for several weeks.</t>
  </si>
  <si>
    <t xml:space="preserve">Readily replaceable.</t>
  </si>
  <si>
    <t xml:space="preserve">CR-005</t>
  </si>
  <si>
    <t xml:space="preserve">Backups support recovery but not day-to-day operations.</t>
  </si>
  <si>
    <t xml:space="preserve">Backups contain customer data (encrypted).</t>
  </si>
  <si>
    <t xml:space="preserve">No direct access to production systems; backup agent only.</t>
  </si>
  <si>
    <t xml:space="preserve">Backup gaps tolerable for days but raise recovery risk.</t>
  </si>
  <si>
    <t xml:space="preserve">Replacement under way (migration to SUP-001).</t>
  </si>
  <si>
    <t xml:space="preserve">One row per credible supplier risk (T03). Likelihood and impact are ASSESSOR JUDGEMENTS with written rationale; the workbook only multiplies and bands them.</t>
  </si>
  <si>
    <t xml:space="preserve">Rules: Current residual is never derived from questionnaire scores, nor from planned remediation, nor from target. Acceptance never removes an appetite breach. Incomplete is never Low.</t>
  </si>
  <si>
    <t xml:space="preserve">e.g. TPR-001</t>
  </si>
  <si>
    <t xml:space="preserve">e.g. Operational resilience</t>
  </si>
  <si>
    <t xml:space="preserve">e.g. Outage of supplier disrupts service</t>
  </si>
  <si>
    <t xml:space="preserve">e.g. 4</t>
  </si>
  <si>
    <t xml:space="preserve">e.g. 5</t>
  </si>
  <si>
    <t xml:space="preserve">e.g. CAS-001</t>
  </si>
  <si>
    <t xml:space="preserve">e.g. Medium</t>
  </si>
  <si>
    <t xml:space="preserve">e.g. DEC-002</t>
  </si>
  <si>
    <t xml:space="preserve">e.g. 2026-09-10</t>
  </si>
  <si>
    <t xml:space="preserve">e.g. 2027-03-10</t>
  </si>
  <si>
    <t xml:space="preserve">Risk ID</t>
  </si>
  <si>
    <t xml:space="preserve">Risk category</t>
  </si>
  <si>
    <t xml:space="preserve">Risk statement</t>
  </si>
  <si>
    <t xml:space="preserve">Threat or event</t>
  </si>
  <si>
    <t xml:space="preserve">Relevant cause or exposure</t>
  </si>
  <si>
    <t xml:space="preserve">Potential business consequences</t>
  </si>
  <si>
    <t xml:space="preserve">Business risk owner</t>
  </si>
  <si>
    <t xml:space="preserve">Inherent likelihood (1-5)</t>
  </si>
  <si>
    <t xml:space="preserve">Inherent impact (1-5)</t>
  </si>
  <si>
    <t xml:space="preserve">Inherent score</t>
  </si>
  <si>
    <t xml:space="preserve">Inherent band</t>
  </si>
  <si>
    <t xml:space="preserve">Inherent assessment rationale</t>
  </si>
  <si>
    <t xml:space="preserve">Relevant control references</t>
  </si>
  <si>
    <t xml:space="preserve">Current residual likelihood (1-5)</t>
  </si>
  <si>
    <t xml:space="preserve">Current residual impact (1-5)</t>
  </si>
  <si>
    <t xml:space="preserve">Current residual score</t>
  </si>
  <si>
    <t xml:space="preserve">Current residual band</t>
  </si>
  <si>
    <t xml:space="preserve">Residual assessment rationale (current controls only)</t>
  </si>
  <si>
    <t xml:space="preserve">Assessment confidence</t>
  </si>
  <si>
    <t xml:space="preserve">Target likelihood (1-5)</t>
  </si>
  <si>
    <t xml:space="preserve">Target impact (1-5)</t>
  </si>
  <si>
    <t xml:space="preserve">Target score</t>
  </si>
  <si>
    <t xml:space="preserve">Target band</t>
  </si>
  <si>
    <t xml:space="preserve">Target assumptions (planned remediation)</t>
  </si>
  <si>
    <t xml:space="preserve">Risk appetite status</t>
  </si>
  <si>
    <t xml:space="preserve">Acceptance or decision reference (Decision ID)</t>
  </si>
  <si>
    <t xml:space="preserve">Decision status</t>
  </si>
  <si>
    <t xml:space="preserve">Treatment status</t>
  </si>
  <si>
    <t xml:space="preserve">Report key (helper)</t>
  </si>
  <si>
    <t xml:space="preserve">TPR-001</t>
  </si>
  <si>
    <t xml:space="preserve">Extended outage of Northwind hosting disrupts online account servicing.</t>
  </si>
  <si>
    <t xml:space="preserve">Regional platform failure or loss of availability zone</t>
  </si>
  <si>
    <t xml:space="preserve">Recovery testing covers only part of the hosted estate; failover partially implemented.</t>
  </si>
  <si>
    <t xml:space="preserve">Customers unable to access accounts; regulatory and reputational impact.</t>
  </si>
  <si>
    <t xml:space="preserve">Likely given dependency on a single hosting provider; severe impact because the platform serves all digital customers.</t>
  </si>
  <si>
    <t xml:space="preserve">CAS-002</t>
  </si>
  <si>
    <t xml:space="preserve">Contractual availability commitments and partial failover reduce likelihood, but recovery test covered 1 of 4 critical services (F-002).</t>
  </si>
  <si>
    <t xml:space="preserve">Assumes full recovery test passes and failover is completed (TR-002).</t>
  </si>
  <si>
    <t xml:space="preserve">DEC-002</t>
  </si>
  <si>
    <t xml:space="preserve">TPR-002</t>
  </si>
  <si>
    <t xml:space="preserve">Unauthorised access to customer data through weak privileged access control at the supplier.</t>
  </si>
  <si>
    <t xml:space="preserve">Compromise or misuse of privileged cloud accounts</t>
  </si>
  <si>
    <t xml:space="preserve">No evidence yet of regular privileged access review at the supplier (F-001).</t>
  </si>
  <si>
    <t xml:space="preserve">Disclosure of customer personal and financial data; regulatory and reputational harm.</t>
  </si>
  <si>
    <t xml:space="preserve">Privileged access is attractive to attackers; consequences severe given data held.</t>
  </si>
  <si>
    <t xml:space="preserve">CAS-001; CAS-003</t>
  </si>
  <si>
    <t xml:space="preserve">Strong design and ISO 27001 certification, but operating effectiveness of privileged access reviews is not evidenced; conservative likelihood retained.</t>
  </si>
  <si>
    <t xml:space="preserve">Assumes quarterly privileged access reviews are evidenced and verified (TR-001).</t>
  </si>
  <si>
    <t xml:space="preserve">TPR-003</t>
  </si>
  <si>
    <t xml:space="preserve">Failure at Atlas Data Centres, Northwind's underlying facility provider, affects hosted services.</t>
  </si>
  <si>
    <t xml:space="preserve">Facility outage or security incident at colocation provider</t>
  </si>
  <si>
    <t xml:space="preserve">Single facility provider shared across several of our suppliers (DEP-001, DEP-002, DEP-003).</t>
  </si>
  <si>
    <t xml:space="preserve">Simultaneous degradation of multiple services.</t>
  </si>
  <si>
    <t xml:space="preserve">Facility failures are uncommon but impact would be severe.</t>
  </si>
  <si>
    <t xml:space="preserve">CON-004</t>
  </si>
  <si>
    <t xml:space="preserve">Tier III facility and secondary region provide mitigation; subcontractor notification right missing (CON-004).</t>
  </si>
  <si>
    <t xml:space="preserve">Assumes contract amended to require notice of subcontractor changes.</t>
  </si>
  <si>
    <t xml:space="preserve">TPR-004</t>
  </si>
  <si>
    <t xml:space="preserve">Customer complaint data exposed through compromise of the SupportLoop tenant or platform.</t>
  </si>
  <si>
    <t xml:space="preserve">Exploitation of unremediated platform vulnerabilities; credential attacks on the support portal</t>
  </si>
  <si>
    <t xml:space="preserve">Independent penetration test reported three high-severity issues unremediated beyond target (F-004); credential attack notified (INC-001).</t>
  </si>
  <si>
    <t xml:space="preserve">Exposure of customer contact details and complaint narratives.</t>
  </si>
  <si>
    <t xml:space="preserve">Multi-tenant internet-facing platform holding customer data.</t>
  </si>
  <si>
    <t xml:space="preserve">CAS-004; CAS-006</t>
  </si>
  <si>
    <t xml:space="preserve">Confirmed weakness (open high vulnerabilities) offset by good tenant isolation evidence; credential attack raises near-term likelihood.</t>
  </si>
  <si>
    <t xml:space="preserve">Assumes high vulnerabilities remediated and retested (TR-004) and credential protections strengthened.</t>
  </si>
  <si>
    <t xml:space="preserve">TPR-005</t>
  </si>
  <si>
    <t xml:space="preserve">Customer personal data processed outside approved regions without adequate safeguards.</t>
  </si>
  <si>
    <t xml:space="preserve">Use of non-UK sub-processors or support access from other regions</t>
  </si>
  <si>
    <t xml:space="preserve">No evidence of data residency controls or transfer mechanism (F-003, CON-005).</t>
  </si>
  <si>
    <t xml:space="preserve">Regulatory exposure and loss of customer trust.</t>
  </si>
  <si>
    <t xml:space="preserve">Common SaaS practice; our data categories attract regulatory scrutiny.</t>
  </si>
  <si>
    <t xml:space="preserve">CAS-005</t>
  </si>
  <si>
    <t xml:space="preserve">Uncertainty retained conservatively because evidence is missing; no confirmed breach of requirements.</t>
  </si>
  <si>
    <t xml:space="preserve">Assumes supplier provides data location and transfer evidence (TR-007).</t>
  </si>
  <si>
    <t xml:space="preserve">TPR-006</t>
  </si>
  <si>
    <t xml:space="preserve">Outage of SupportLoop prevents customer query handling.</t>
  </si>
  <si>
    <t xml:space="preserve">Platform outage</t>
  </si>
  <si>
    <t xml:space="preserve">Awaiting supplier continuity evidence.</t>
  </si>
  <si>
    <t xml:space="preserve">Delayed customer responses; complaint handling deadlines at risk.</t>
  </si>
  <si>
    <t xml:space="preserve">Moderate impact because manual workarounds exist for a short period.</t>
  </si>
  <si>
    <t xml:space="preserve">TPR-007</t>
  </si>
  <si>
    <t xml:space="preserve">Late delivery of office supplies causes minor inconvenience.</t>
  </si>
  <si>
    <t xml:space="preserve">Supplier delivery delay</t>
  </si>
  <si>
    <t xml:space="preserve">Single regular supplier for stationery.</t>
  </si>
  <si>
    <t xml:space="preserve">Minor administrative delay.</t>
  </si>
  <si>
    <t xml:space="preserve">Alternative suppliers are easily available.</t>
  </si>
  <si>
    <t xml:space="preserve">No controls relied on; low impact.</t>
  </si>
  <si>
    <t xml:space="preserve">No further reduction planned.</t>
  </si>
  <si>
    <t xml:space="preserve">TPR-008</t>
  </si>
  <si>
    <t xml:space="preserve">Cleaning staff gain unauthorised access to restricted areas or records.</t>
  </si>
  <si>
    <t xml:space="preserve">Misuse of keys or alarm codes</t>
  </si>
  <si>
    <t xml:space="preserve">Staff vetting confirmation expired (F-005).</t>
  </si>
  <si>
    <t xml:space="preserve">Loss or exposure of paper records or equipment.</t>
  </si>
  <si>
    <t xml:space="preserve">Out-of-hours access with limited supervision.</t>
  </si>
  <si>
    <t xml:space="preserve">CAS-007</t>
  </si>
  <si>
    <t xml:space="preserve">Keys are logged and restricted areas locked; vetting evidence lapsed but no incident known.</t>
  </si>
  <si>
    <t xml:space="preserve">Assumes vetting renewed and evidenced (TR-005).</t>
  </si>
  <si>
    <t xml:space="preserve">TPR-009</t>
  </si>
  <si>
    <t xml:space="preserve">Backups containing customer data remain at Datavault after contract end.</t>
  </si>
  <si>
    <t xml:space="preserve">Failure to delete retained backups or return data securely</t>
  </si>
  <si>
    <t xml:space="preserve">No contractual requirement for deletion certification (CON-008); no deletion evidence yet (F-006, F-007).</t>
  </si>
  <si>
    <t xml:space="preserve">Customer data held by a supplier without a contract; exposure if the supplier is later compromised.</t>
  </si>
  <si>
    <t xml:space="preserve">Backup retention exceptions are common at exit; data volume is large.</t>
  </si>
  <si>
    <t xml:space="preserve">CAS-008</t>
  </si>
  <si>
    <t xml:space="preserve">Deletion not yet evidenced and contract lacks certification clause; conservative rating retained.</t>
  </si>
  <si>
    <t xml:space="preserve">Assumes deletion certified for all systems and backups (TR-006).</t>
  </si>
  <si>
    <t xml:space="preserve">Master reference library of supplier security questions (T04). Supplier answers are NOT recorded here - use 07.</t>
  </si>
  <si>
    <t xml:space="preserve">Rules: 72 starter questions are provided. Edit, retire or add questions here (unprotect the sheet - no password). Not every supplier answers every question.</t>
  </si>
  <si>
    <t xml:space="preserve">e.g. Q-IAM-01</t>
  </si>
  <si>
    <t xml:space="preserve">e.g. ISO/IEC 27001:2022 A.8.5</t>
  </si>
  <si>
    <t xml:space="preserve">e.g. 1.0</t>
  </si>
  <si>
    <t xml:space="preserve">Question ID</t>
  </si>
  <si>
    <t xml:space="preserve">Security domain</t>
  </si>
  <si>
    <t xml:space="preserve">Risk or requirement reference</t>
  </si>
  <si>
    <t xml:space="preserve">Question wording</t>
  </si>
  <si>
    <t xml:space="preserve">Why the question is needed</t>
  </si>
  <si>
    <t xml:space="preserve">Applicability condition</t>
  </si>
  <si>
    <t xml:space="preserve">Minimum suggested tier</t>
  </si>
  <si>
    <t xml:space="preserve">Suggested supporting evidence</t>
  </si>
  <si>
    <t xml:space="preserve">Evidence acceptance considerations</t>
  </si>
  <si>
    <t xml:space="preserve">Specialist reviewer</t>
  </si>
  <si>
    <t xml:space="preserve">Question status</t>
  </si>
  <si>
    <t xml:space="preserve">Version</t>
  </si>
  <si>
    <t xml:space="preserve">Times selected in assessments</t>
  </si>
  <si>
    <t xml:space="preserve">Q-GOV-01</t>
  </si>
  <si>
    <t xml:space="preserve">ISO/IEC 27001:2022 A.5.1</t>
  </si>
  <si>
    <t xml:space="preserve">Does the supplier maintain an approved information security policy that covers the service provided to us, and when was it last reviewed?</t>
  </si>
  <si>
    <t xml:space="preserve">Establishes management intent and accountability for security.</t>
  </si>
  <si>
    <t xml:space="preserve">All suppliers handling our information or systems</t>
  </si>
  <si>
    <t xml:space="preserve">Approved policy with version, owner, approval and review date</t>
  </si>
  <si>
    <t xml:space="preserve">Check the document is approved, dated, current and scoped to the service we receive; a template or draft is not sufficient.</t>
  </si>
  <si>
    <t xml:space="preserve">Information Security / GRC</t>
  </si>
  <si>
    <t xml:space="preserve">1.0</t>
  </si>
  <si>
    <t xml:space="preserve">Q-GOV-02</t>
  </si>
  <si>
    <t xml:space="preserve">ISO/IEC 27001:2022 A.5.2</t>
  </si>
  <si>
    <t xml:space="preserve">Who is accountable for information security at the supplier, and does that person report to senior management?</t>
  </si>
  <si>
    <t xml:space="preserve">Shows that security has named ownership and escalation routes.</t>
  </si>
  <si>
    <t xml:space="preserve">All suppliers</t>
  </si>
  <si>
    <t xml:space="preserve">Organisation chart or role description naming the accountable individual</t>
  </si>
  <si>
    <t xml:space="preserve">Q-GOV-03</t>
  </si>
  <si>
    <t xml:space="preserve">ISO/IEC 27001:2022 Clause 6.1</t>
  </si>
  <si>
    <t xml:space="preserve">Does the supplier run a documented risk assessment for the service, and when was the latest assessment completed?</t>
  </si>
  <si>
    <t xml:space="preserve">Shows the supplier identifies and treats risks to the service it delivers.</t>
  </si>
  <si>
    <t xml:space="preserve">Medium and High suppliers</t>
  </si>
  <si>
    <t xml:space="preserve">Risk assessment summary or register extract with date and scope</t>
  </si>
  <si>
    <t xml:space="preserve">Q-GOV-04</t>
  </si>
  <si>
    <t xml:space="preserve">ISO/IEC 27001:2022 A.6.3</t>
  </si>
  <si>
    <t xml:space="preserve">Do supplier personnel with access to our information complete security awareness training at least annually?</t>
  </si>
  <si>
    <t xml:space="preserve">People are a common source of supplier-related incidents.</t>
  </si>
  <si>
    <t xml:space="preserve">Suppliers whose staff access our data or systems</t>
  </si>
  <si>
    <t xml:space="preserve">Training policy and completion records for the last 12 months</t>
  </si>
  <si>
    <t xml:space="preserve">Q-GOV-05</t>
  </si>
  <si>
    <t xml:space="preserve">ISO/IEC 27001:2022 A.6.1</t>
  </si>
  <si>
    <t xml:space="preserve">Does the supplier screen staff with access to our data or systems before employment, in proportion to their role?</t>
  </si>
  <si>
    <t xml:space="preserve">Reduces insider and identity-related risk.</t>
  </si>
  <si>
    <t xml:space="preserve">Screening policy and confirmation of completion for in-scope staff</t>
  </si>
  <si>
    <t xml:space="preserve">Q-GOV-06</t>
  </si>
  <si>
    <t xml:space="preserve">ISO/IEC 27001:2022 A.5.36</t>
  </si>
  <si>
    <t xml:space="preserve">Does the supplier have a documented process for approving and tracking exceptions to its security policies?</t>
  </si>
  <si>
    <t xml:space="preserve">Uncontrolled exceptions weaken the control environment unnoticed.</t>
  </si>
  <si>
    <t xml:space="preserve">Exception procedure and a sample of recent approved exceptions</t>
  </si>
  <si>
    <t xml:space="preserve">Q-IAM-01</t>
  </si>
  <si>
    <t xml:space="preserve">ISO/IEC 27001:2022 A.8.5</t>
  </si>
  <si>
    <t xml:space="preserve">Is multi-factor authentication enforced for all administrative and remote access to systems that store or process our data?</t>
  </si>
  <si>
    <t xml:space="preserve">Compromised credentials are a leading cause of supplier breaches.</t>
  </si>
  <si>
    <t xml:space="preserve">All suppliers with administrative or remote access</t>
  </si>
  <si>
    <t xml:space="preserve">Identity provider configuration or policy export showing MFA enforcement</t>
  </si>
  <si>
    <t xml:space="preserve">Prefer dated system exports or review records over statements; confirm the review covers the in-scope systems.</t>
  </si>
  <si>
    <t xml:space="preserve">Information Security (IAM)</t>
  </si>
  <si>
    <t xml:space="preserve">Q-IAM-02</t>
  </si>
  <si>
    <t xml:space="preserve">ISO/IEC 27001:2022 A.8.2</t>
  </si>
  <si>
    <t xml:space="preserve">Are privileged accounts limited to named individuals and reviewed at least quarterly?</t>
  </si>
  <si>
    <t xml:space="preserve">Limits the number of people able to bypass normal controls.</t>
  </si>
  <si>
    <t xml:space="preserve">Suppliers with privileged access to our data or systems</t>
  </si>
  <si>
    <t xml:space="preserve">Most recent privileged access review record with reviewer and actions</t>
  </si>
  <si>
    <t xml:space="preserve">Q-IAM-03</t>
  </si>
  <si>
    <t xml:space="preserve">ISO/IEC 27001:2022 A.5.18</t>
  </si>
  <si>
    <t xml:space="preserve">How does the supplier handle joiners, movers and leavers, and how quickly is access removed after someone leaves?</t>
  </si>
  <si>
    <t xml:space="preserve">Stale accounts are a common route to unauthorised access.</t>
  </si>
  <si>
    <t xml:space="preserve">Joiner-mover-leaver procedure and sample of leaver tickets showing timings</t>
  </si>
  <si>
    <t xml:space="preserve">Q-IAM-04</t>
  </si>
  <si>
    <t xml:space="preserve">ISO/IEC 27001:2022 A.5.15</t>
  </si>
  <si>
    <t xml:space="preserve">Does the service support single sign-on and role-based access control for our own users?</t>
  </si>
  <si>
    <t xml:space="preserve">Lets us manage our users centrally and apply least privilege.</t>
  </si>
  <si>
    <t xml:space="preserve">SaaS and hosted services with customer user access</t>
  </si>
  <si>
    <t xml:space="preserve">Product documentation or demonstration of SSO and role configuration</t>
  </si>
  <si>
    <t xml:space="preserve">Q-IAM-05</t>
  </si>
  <si>
    <t xml:space="preserve">ISO/IEC 27001:2022 A.5.17</t>
  </si>
  <si>
    <t xml:space="preserve">Are service accounts and API credentials inventoried, rotated and stored in a secrets management solution?</t>
  </si>
  <si>
    <t xml:space="preserve">Hard-coded or unrotated secrets are a frequent cause of compromise.</t>
  </si>
  <si>
    <t xml:space="preserve">Suppliers with integrations or automated access</t>
  </si>
  <si>
    <t xml:space="preserve">Secrets management configuration and rotation records</t>
  </si>
  <si>
    <t xml:space="preserve">Q-IAM-06</t>
  </si>
  <si>
    <t xml:space="preserve">ISO/IEC 27001:2022 A.8.3</t>
  </si>
  <si>
    <t xml:space="preserve">Is access by supplier staff to our production data restricted to need-to-know and logged?</t>
  </si>
  <si>
    <t xml:space="preserve">Confirms our data is not widely accessible inside the supplier.</t>
  </si>
  <si>
    <t xml:space="preserve">Suppliers that host or process our data</t>
  </si>
  <si>
    <t xml:space="preserve">Access control matrix and sample access logs for in-scope systems</t>
  </si>
  <si>
    <t xml:space="preserve">Q-INF-01</t>
  </si>
  <si>
    <t xml:space="preserve">ISO/IEC 27001:2022 A.8.24</t>
  </si>
  <si>
    <t xml:space="preserve">Is our data encrypted in transit using current protocols (for example TLS 1.2 or higher)?</t>
  </si>
  <si>
    <t xml:space="preserve">Protects data from interception between us, the supplier and sub-processors.</t>
  </si>
  <si>
    <t xml:space="preserve">Suppliers that receive or transmit our data</t>
  </si>
  <si>
    <t xml:space="preserve">TLS configuration scan or architecture description</t>
  </si>
  <si>
    <t xml:space="preserve">Prefer configuration evidence or an independent report; confirm key management and storage locations match the service in scope.</t>
  </si>
  <si>
    <t xml:space="preserve">Information Security / Architecture</t>
  </si>
  <si>
    <t xml:space="preserve">Q-INF-02</t>
  </si>
  <si>
    <t xml:space="preserve">Is our data encrypted at rest, and who manages the encryption keys?</t>
  </si>
  <si>
    <t xml:space="preserve">Limits exposure if storage media or backups are accessed improperly.</t>
  </si>
  <si>
    <t xml:space="preserve">Suppliers that store our data</t>
  </si>
  <si>
    <t xml:space="preserve">Encryption standard or configuration evidence and key management description</t>
  </si>
  <si>
    <t xml:space="preserve">Q-INF-03</t>
  </si>
  <si>
    <t xml:space="preserve">ISO/IEC 27001:2022 A.8.22</t>
  </si>
  <si>
    <t xml:space="preserve">Is our data logically separated from other customers' data, and how is that separation tested?</t>
  </si>
  <si>
    <t xml:space="preserve">Multi-tenant platforms rely on separation to prevent cross-customer exposure.</t>
  </si>
  <si>
    <t xml:space="preserve">Multi-tenant SaaS or shared hosting</t>
  </si>
  <si>
    <t xml:space="preserve">Architecture description and independent test or assurance covering tenant isolation</t>
  </si>
  <si>
    <t xml:space="preserve">Q-INF-04</t>
  </si>
  <si>
    <t xml:space="preserve">ISO/IEC 27001:2022 A.5.23</t>
  </si>
  <si>
    <t xml:space="preserve">In which countries or regions is our data stored, processed and accessed, and can the supplier commit to restricting locations?</t>
  </si>
  <si>
    <t xml:space="preserve">Location affects legal exposure, access by third parties and resilience.</t>
  </si>
  <si>
    <t xml:space="preserve">Suppliers that store or process our data</t>
  </si>
  <si>
    <t xml:space="preserve">Data location statement, contract clause or hosting region configuration</t>
  </si>
  <si>
    <t xml:space="preserve">Q-INF-05</t>
  </si>
  <si>
    <t xml:space="preserve">ISO/IEC 27001:2022 A.5.12</t>
  </si>
  <si>
    <t xml:space="preserve">Does the supplier classify information and apply handling controls aligned to the sensitivity of our data?</t>
  </si>
  <si>
    <t xml:space="preserve">Ensures handling controls are proportionate to sensitivity.</t>
  </si>
  <si>
    <t xml:space="preserve">Suppliers handling sensitive or regulated data</t>
  </si>
  <si>
    <t xml:space="preserve">Classification scheme and handling rules</t>
  </si>
  <si>
    <t xml:space="preserve">Q-INF-06</t>
  </si>
  <si>
    <t xml:space="preserve">ISO/IEC 27001:2022 A.8.13</t>
  </si>
  <si>
    <t xml:space="preserve">Are backups of our data encrypted, access-controlled and restoration-tested at least annually?</t>
  </si>
  <si>
    <t xml:space="preserve">Backups are often less protected than production and are a recovery dependency.</t>
  </si>
  <si>
    <t xml:space="preserve">Suppliers that store or back up our data</t>
  </si>
  <si>
    <t xml:space="preserve">Backup policy and last restoration test report</t>
  </si>
  <si>
    <t xml:space="preserve">Q-VUL-01</t>
  </si>
  <si>
    <t xml:space="preserve">ISO/IEC 27001:2022 A.8.8</t>
  </si>
  <si>
    <t xml:space="preserve">Does the supplier scan systems supporting our service for vulnerabilities at least monthly?</t>
  </si>
  <si>
    <t xml:space="preserve">Regular scanning is the basis for finding and fixing weaknesses.</t>
  </si>
  <si>
    <t xml:space="preserve">Suppliers hosting or operating systems for us</t>
  </si>
  <si>
    <t xml:space="preserve">Scan schedule and a recent scan summary showing scope</t>
  </si>
  <si>
    <t xml:space="preserve">Check dates, scope and retest status; a pen test summary without remediation evidence is only partial assurance.</t>
  </si>
  <si>
    <t xml:space="preserve">Information Security (Vulnerability Mgmt)</t>
  </si>
  <si>
    <t xml:space="preserve">Q-VUL-02</t>
  </si>
  <si>
    <t xml:space="preserve">What are the supplier's remediation timeframes for critical and high vulnerabilities, and how did it perform over the last 12 months?</t>
  </si>
  <si>
    <t xml:space="preserve">Timeliness of fixes matters more than scanning alone.</t>
  </si>
  <si>
    <t xml:space="preserve">Remediation SLA and metrics showing performance against it</t>
  </si>
  <si>
    <t xml:space="preserve">Q-VUL-03</t>
  </si>
  <si>
    <t xml:space="preserve">ISO/IEC 27001:2022 A.8.29</t>
  </si>
  <si>
    <t xml:space="preserve">Has an independent penetration test of the service been performed in the last 12 months, and have findings been remediated?</t>
  </si>
  <si>
    <t xml:space="preserve">Independent testing finds issues that internal scanning misses.</t>
  </si>
  <si>
    <t xml:space="preserve">Suppliers delivering internet-facing or data-holding services</t>
  </si>
  <si>
    <t xml:space="preserve">Penetration test executive summary and remediation or retest evidence</t>
  </si>
  <si>
    <t xml:space="preserve">Q-VUL-04</t>
  </si>
  <si>
    <t xml:space="preserve">Are operating systems and key software patched in line with a documented patch management policy?</t>
  </si>
  <si>
    <t xml:space="preserve">Unpatched software is a common entry point for attackers.</t>
  </si>
  <si>
    <t xml:space="preserve">Suppliers operating systems on our behalf</t>
  </si>
  <si>
    <t xml:space="preserve">Patch policy and compliance report for in-scope systems</t>
  </si>
  <si>
    <t xml:space="preserve">Q-VUL-05</t>
  </si>
  <si>
    <t xml:space="preserve">ISO/IEC 27001:2022 A.8.7</t>
  </si>
  <si>
    <t xml:space="preserve">Is anti-malware or endpoint detection and response deployed and monitored on systems supporting our service?</t>
  </si>
  <si>
    <t xml:space="preserve">Reduces the chance malware reaches or persists on in-scope systems.</t>
  </si>
  <si>
    <t xml:space="preserve">Suppliers operating systems or endpoints for us</t>
  </si>
  <si>
    <t xml:space="preserve">Endpoint protection coverage report</t>
  </si>
  <si>
    <t xml:space="preserve">Q-VUL-06</t>
  </si>
  <si>
    <t xml:space="preserve">ISO/IEC 27001:2022 A.5.5 / A.8.8</t>
  </si>
  <si>
    <t xml:space="preserve">Does the supplier have a process to receive and handle vulnerability reports from third parties?</t>
  </si>
  <si>
    <t xml:space="preserve">Shows the supplier can act on externally discovered weaknesses.</t>
  </si>
  <si>
    <t xml:space="preserve">Suppliers delivering internet-facing services</t>
  </si>
  <si>
    <t xml:space="preserve">Vulnerability disclosure policy or security.txt and handling procedure</t>
  </si>
  <si>
    <t xml:space="preserve">Q-SDC-01</t>
  </si>
  <si>
    <t xml:space="preserve">ISO/IEC 27001:2022 A.8.25</t>
  </si>
  <si>
    <t xml:space="preserve">Does the supplier follow a documented secure development lifecycle for the service?</t>
  </si>
  <si>
    <t xml:space="preserve">Embeds security into how the service is built and changed.</t>
  </si>
  <si>
    <t xml:space="preserve">Suppliers that develop software delivered to us</t>
  </si>
  <si>
    <t xml:space="preserve">SDLC policy and process description</t>
  </si>
  <si>
    <t xml:space="preserve">Look for process documents plus samples of operation (e.g. change tickets, scan outputs) from the last 12 months.</t>
  </si>
  <si>
    <t xml:space="preserve">Application Security / Engineering</t>
  </si>
  <si>
    <t xml:space="preserve">Q-SDC-02</t>
  </si>
  <si>
    <t xml:space="preserve">ISO/IEC 27001:2022 A.8.28</t>
  </si>
  <si>
    <t xml:space="preserve">Are code changes peer-reviewed and security-tested (for example static, dynamic or dependency scanning) before release?</t>
  </si>
  <si>
    <t xml:space="preserve">Catches vulnerabilities before they reach production.</t>
  </si>
  <si>
    <t xml:space="preserve">Pipeline configuration and a sample of recent release records</t>
  </si>
  <si>
    <t xml:space="preserve">Q-SDC-03</t>
  </si>
  <si>
    <t xml:space="preserve">ISO/IEC 27001:2022 A.8.31</t>
  </si>
  <si>
    <t xml:space="preserve">Are development, test and production environments separated, and is production data kept out of test environments?</t>
  </si>
  <si>
    <t xml:space="preserve">Prevents unmanaged copies of our data and accidental changes to production.</t>
  </si>
  <si>
    <t xml:space="preserve">Suppliers that develop or test software for us</t>
  </si>
  <si>
    <t xml:space="preserve">Environment architecture description and test data policy</t>
  </si>
  <si>
    <t xml:space="preserve">Q-SDC-04</t>
  </si>
  <si>
    <t xml:space="preserve">ISO/IEC 27001:2022 A.8.32</t>
  </si>
  <si>
    <t xml:space="preserve">Is there a documented change management process, including emergency changes and rollback?</t>
  </si>
  <si>
    <t xml:space="preserve">Uncontrolled change is a common cause of outages and security regressions.</t>
  </si>
  <si>
    <t xml:space="preserve">Suppliers operating the service for us</t>
  </si>
  <si>
    <t xml:space="preserve">Change policy and sample change records including an emergency change</t>
  </si>
  <si>
    <t xml:space="preserve">Q-SDC-05</t>
  </si>
  <si>
    <t xml:space="preserve">ISO/IEC 27001:2022 A.5.22</t>
  </si>
  <si>
    <t xml:space="preserve">Will the supplier give advance notice of material changes that could affect our use or risk?</t>
  </si>
  <si>
    <t xml:space="preserve">Lets us reassess when the service materially changes.</t>
  </si>
  <si>
    <t xml:space="preserve">Contract clause or documented customer-notification process</t>
  </si>
  <si>
    <t xml:space="preserve">Q-SDC-06</t>
  </si>
  <si>
    <t xml:space="preserve">ISO/IEC 27001:2022 A.8.30</t>
  </si>
  <si>
    <t xml:space="preserve">Are third-party and open-source components inventoried and monitored for vulnerabilities?</t>
  </si>
  <si>
    <t xml:space="preserve">Software supply chain weaknesses can affect the supplier's service directly.</t>
  </si>
  <si>
    <t xml:space="preserve">Software component inventory or dependency scan summary</t>
  </si>
  <si>
    <t xml:space="preserve">Q-LOG-01</t>
  </si>
  <si>
    <t xml:space="preserve">ISO/IEC 27001:2022 A.8.15</t>
  </si>
  <si>
    <t xml:space="preserve">Are security-relevant events (authentication, privileged actions, data access) logged for systems supporting our service?</t>
  </si>
  <si>
    <t xml:space="preserve">Logging is needed to detect misuse and investigate incidents.</t>
  </si>
  <si>
    <t xml:space="preserve">Suppliers operating systems that hold or process our data</t>
  </si>
  <si>
    <t xml:space="preserve">Logging standard and examples of log sources for in-scope systems</t>
  </si>
  <si>
    <t xml:space="preserve">Confirm exercise or monitoring evidence is recent and covers the service; policies alone do not show operation.</t>
  </si>
  <si>
    <t xml:space="preserve">Security Operations / Incident Response</t>
  </si>
  <si>
    <t xml:space="preserve">Q-LOG-02</t>
  </si>
  <si>
    <t xml:space="preserve">How long are logs retained, and are they protected from alteration or deletion?</t>
  </si>
  <si>
    <t xml:space="preserve">Logs must remain available and trustworthy for investigations.</t>
  </si>
  <si>
    <t xml:space="preserve">Log retention policy and technical protection description</t>
  </si>
  <si>
    <t xml:space="preserve">Q-LOG-03</t>
  </si>
  <si>
    <t xml:space="preserve">ISO/IEC 27001:2022 A.8.16</t>
  </si>
  <si>
    <t xml:space="preserve">Is there continuous or defined-hours monitoring and alerting for security events, and who responds?</t>
  </si>
  <si>
    <t xml:space="preserve">Prompt detection limits the impact of compromise.</t>
  </si>
  <si>
    <t xml:space="preserve">Monitoring coverage description and on-call or SOC arrangement</t>
  </si>
  <si>
    <t xml:space="preserve">Q-LOG-04</t>
  </si>
  <si>
    <t xml:space="preserve">ISO/IEC 27001:2022 A.5.24 / A.5.27</t>
  </si>
  <si>
    <t xml:space="preserve">Does the supplier have an incident response plan that has been exercised in the last 12 months?</t>
  </si>
  <si>
    <t xml:space="preserve">An exercised plan is more likely to work under pressure.</t>
  </si>
  <si>
    <t xml:space="preserve">Incident response plan and exercise report with lessons learned</t>
  </si>
  <si>
    <t xml:space="preserve">Q-LOG-05</t>
  </si>
  <si>
    <t xml:space="preserve">ISO/IEC 27001:2022 A.5.26</t>
  </si>
  <si>
    <t xml:space="preserve">Will the supplier notify us of security incidents affecting our data or service within a defined time, and through what channel?</t>
  </si>
  <si>
    <t xml:space="preserve">We need timely notice to meet our own obligations and respond.</t>
  </si>
  <si>
    <t xml:space="preserve">All suppliers holding our data or supporting our services</t>
  </si>
  <si>
    <t xml:space="preserve">Contract clause and documented notification procedure with contacts</t>
  </si>
  <si>
    <t xml:space="preserve">Q-LOG-06</t>
  </si>
  <si>
    <t xml:space="preserve">ISO/IEC 27001:2022 A.5.28</t>
  </si>
  <si>
    <t xml:space="preserve">Can the supplier provide relevant logs or incident evidence to support our investigations on request?</t>
  </si>
  <si>
    <t xml:space="preserve">Supports our ability to investigate incidents involving the service.</t>
  </si>
  <si>
    <t xml:space="preserve">Suppliers holding our data or hosting our systems</t>
  </si>
  <si>
    <t xml:space="preserve">Contract clause or documented procedure for evidence requests</t>
  </si>
  <si>
    <t xml:space="preserve">Q-BCP-01</t>
  </si>
  <si>
    <t xml:space="preserve">ISO/IEC 27001:2022 A.5.29 / A.5.30</t>
  </si>
  <si>
    <t xml:space="preserve">Does the supplier maintain a continuity plan for the service, with defined recovery time and recovery point objectives?</t>
  </si>
  <si>
    <t xml:space="preserve">Defines what recovery we can realistically expect.</t>
  </si>
  <si>
    <t xml:space="preserve">Suppliers supporting important business services</t>
  </si>
  <si>
    <t xml:space="preserve">Continuity plan extract with RTO and RPO and approval date</t>
  </si>
  <si>
    <t xml:space="preserve">Compare test scope and results with the stated RTO/RPO; partial tests should be recorded as scope limitations.</t>
  </si>
  <si>
    <t xml:space="preserve">Business Continuity / Technology Resilience</t>
  </si>
  <si>
    <t xml:space="preserve">Q-BCP-02</t>
  </si>
  <si>
    <t xml:space="preserve">ISO/IEC 27001:2022 A.5.30</t>
  </si>
  <si>
    <t xml:space="preserve">Has recovery of the service been tested in the last 12 months, and what were the results against the stated objectives?</t>
  </si>
  <si>
    <t xml:space="preserve">A plan that is not tested cannot be relied on.</t>
  </si>
  <si>
    <t xml:space="preserve">Recovery test report showing scope, results and follow-up actions</t>
  </si>
  <si>
    <t xml:space="preserve">Q-BCP-03</t>
  </si>
  <si>
    <t xml:space="preserve">ISO/IEC 27001:2022 A.8.14</t>
  </si>
  <si>
    <t xml:space="preserve">Is the service deployed with redundancy across failure domains (for example availability zones or sites)?</t>
  </si>
  <si>
    <t xml:space="preserve">Reduces the chance of a single failure causing a full outage.</t>
  </si>
  <si>
    <t xml:space="preserve">Suppliers hosting or delivering critical services</t>
  </si>
  <si>
    <t xml:space="preserve">Architecture diagram or hosting configuration showing redundancy</t>
  </si>
  <si>
    <t xml:space="preserve">Q-BCP-04</t>
  </si>
  <si>
    <t xml:space="preserve">What service availability was achieved over the last 12 months compared with the contractual commitment?</t>
  </si>
  <si>
    <t xml:space="preserve">Historic performance indicates actual reliability.</t>
  </si>
  <si>
    <t xml:space="preserve">Suppliers with an availability commitment</t>
  </si>
  <si>
    <t xml:space="preserve">Service level reports for the last 12 months</t>
  </si>
  <si>
    <t xml:space="preserve">Q-BCP-05</t>
  </si>
  <si>
    <t xml:space="preserve">Are backups taken regularly and restoration tested, with backups stored separately from primary systems?</t>
  </si>
  <si>
    <t xml:space="preserve">Protects against data loss and ransomware.</t>
  </si>
  <si>
    <t xml:space="preserve">Suppliers storing our data</t>
  </si>
  <si>
    <t xml:space="preserve">Backup schedule and restoration test evidence</t>
  </si>
  <si>
    <t xml:space="preserve">Q-BCP-06</t>
  </si>
  <si>
    <t xml:space="preserve">ISO/IEC 27001:2022 A.5.29</t>
  </si>
  <si>
    <t xml:space="preserve">Has the supplier identified critical dependencies and alternative arrangements for loss of key staff, sites or providers?</t>
  </si>
  <si>
    <t xml:space="preserve">Shows continuity planning extends beyond the supplier's own systems.</t>
  </si>
  <si>
    <t xml:space="preserve">Dependency analysis or continuity plan section on key dependencies</t>
  </si>
  <si>
    <t xml:space="preserve">Q-PRV-01</t>
  </si>
  <si>
    <t xml:space="preserve">UK GDPR Article 28</t>
  </si>
  <si>
    <t xml:space="preserve">Does the supplier act only on our documented instructions when processing personal data, and is a data processing agreement in place?</t>
  </si>
  <si>
    <t xml:space="preserve">Required where the supplier processes personal data on our behalf.</t>
  </si>
  <si>
    <t xml:space="preserve">Suppliers processing personal data for us</t>
  </si>
  <si>
    <t xml:space="preserve">Executed data processing agreement or contract data protection schedule</t>
  </si>
  <si>
    <t xml:space="preserve">Specialist privacy or legal review is required before concluding; do not infer compliance from a supplier statement.</t>
  </si>
  <si>
    <t xml:space="preserve">Privacy / Legal</t>
  </si>
  <si>
    <t xml:space="preserve">Q-PRV-02</t>
  </si>
  <si>
    <t xml:space="preserve">UK GDPR Article 30</t>
  </si>
  <si>
    <t xml:space="preserve">Can the supplier describe the categories of personal data and data subjects it handles for us, and does it keep a record of processing?</t>
  </si>
  <si>
    <t xml:space="preserve">Confirms the supplier understands what it holds for us.</t>
  </si>
  <si>
    <t xml:space="preserve">Record of processing extract or data inventory for our service</t>
  </si>
  <si>
    <t xml:space="preserve">Q-PRV-03</t>
  </si>
  <si>
    <t xml:space="preserve">UK GDPR Articles 12-22</t>
  </si>
  <si>
    <t xml:space="preserve">Can the supplier support data subject requests (for example access or deletion) within the timescales we need?</t>
  </si>
  <si>
    <t xml:space="preserve">Our obligations to individuals depend on the supplier's cooperation.</t>
  </si>
  <si>
    <t xml:space="preserve">Suppliers holding personal data for us</t>
  </si>
  <si>
    <t xml:space="preserve">Documented process and contact route for data subject requests</t>
  </si>
  <si>
    <t xml:space="preserve">Q-PRV-04</t>
  </si>
  <si>
    <t xml:space="preserve">UK GDPR Chapter V</t>
  </si>
  <si>
    <t xml:space="preserve">Are international transfers of personal data identified and covered by an approved transfer mechanism?</t>
  </si>
  <si>
    <t xml:space="preserve">Transfers outside permitted regions need lawful safeguards.</t>
  </si>
  <si>
    <t xml:space="preserve">Suppliers or sub-processors outside the UK or EEA</t>
  </si>
  <si>
    <t xml:space="preserve">Transfer inventory and documented transfer mechanism</t>
  </si>
  <si>
    <t xml:space="preserve">Q-PRV-05</t>
  </si>
  <si>
    <t xml:space="preserve">UK GDPR Article 33</t>
  </si>
  <si>
    <t xml:space="preserve">Does the supplier notify us of personal data breaches without undue delay, and by what process?</t>
  </si>
  <si>
    <t xml:space="preserve">Supports our own notification duties.</t>
  </si>
  <si>
    <t xml:space="preserve">Breach notification procedure and contract clause</t>
  </si>
  <si>
    <t xml:space="preserve">Q-PRV-06</t>
  </si>
  <si>
    <t xml:space="preserve">UK GDPR Article 35</t>
  </si>
  <si>
    <t xml:space="preserve">Does the supplier assess privacy impact when making changes that affect our data?</t>
  </si>
  <si>
    <t xml:space="preserve">Helps ensure changes do not introduce unmanaged privacy risk.</t>
  </si>
  <si>
    <t xml:space="preserve">Suppliers processing sensitive or high-volume personal data</t>
  </si>
  <si>
    <t xml:space="preserve">Change process showing privacy review step, or sample assessment</t>
  </si>
  <si>
    <t xml:space="preserve">Q-SUB-01</t>
  </si>
  <si>
    <t xml:space="preserve">ISO/IEC 27001:2022 A.5.19 / A.5.21</t>
  </si>
  <si>
    <t xml:space="preserve">Does the supplier list all subcontractors and fourth parties that process our data or support delivery of the service?</t>
  </si>
  <si>
    <t xml:space="preserve">We cannot assess what we cannot see.</t>
  </si>
  <si>
    <t xml:space="preserve">All suppliers using subcontractors</t>
  </si>
  <si>
    <t xml:space="preserve">Current subcontractor list with service and location</t>
  </si>
  <si>
    <t xml:space="preserve">Check the list is complete, current and names locations; undeclared subcontractors are an assurance limitation.</t>
  </si>
  <si>
    <t xml:space="preserve">Procurement / Third-Party Risk</t>
  </si>
  <si>
    <t xml:space="preserve">Q-SUB-02</t>
  </si>
  <si>
    <t xml:space="preserve">ISO/IEC 27001:2022 A.5.21</t>
  </si>
  <si>
    <t xml:space="preserve">Does the supplier assess its subcontractors' security and flow down equivalent obligations?</t>
  </si>
  <si>
    <t xml:space="preserve">Weak links in the chain can expose our data.</t>
  </si>
  <si>
    <t xml:space="preserve">Suppliers using subcontractors to process our data</t>
  </si>
  <si>
    <t xml:space="preserve">Subcontractor assessment procedure and sample outputs</t>
  </si>
  <si>
    <t xml:space="preserve">Q-SUB-03</t>
  </si>
  <si>
    <t xml:space="preserve">Will the supplier notify us before adding or replacing material subcontractors, and may we object?</t>
  </si>
  <si>
    <t xml:space="preserve">Lets us reassess before new parties gain access.</t>
  </si>
  <si>
    <t xml:space="preserve">Suppliers using subcontractors</t>
  </si>
  <si>
    <t xml:space="preserve">Contract clause or documented notification process</t>
  </si>
  <si>
    <t xml:space="preserve">Q-SUB-04</t>
  </si>
  <si>
    <t xml:space="preserve">NCSC supply chain security guidance</t>
  </si>
  <si>
    <t xml:space="preserve">Does the service rely on a single infrastructure or hosting provider, and what is the supplier's contingency if that provider fails?</t>
  </si>
  <si>
    <t xml:space="preserve">Identifies concentration that may not be visible from the direct contract.</t>
  </si>
  <si>
    <t xml:space="preserve">Suppliers delivering critical or hosted services</t>
  </si>
  <si>
    <t xml:space="preserve">Description of underlying providers and failover or exit arrangements</t>
  </si>
  <si>
    <t xml:space="preserve">Q-SUB-05</t>
  </si>
  <si>
    <t xml:space="preserve">Does the supplier monitor subcontractor performance and security incidents?</t>
  </si>
  <si>
    <t xml:space="preserve">Shows ongoing oversight rather than one-off onboarding checks.</t>
  </si>
  <si>
    <t xml:space="preserve">Subcontractor review records or reporting</t>
  </si>
  <si>
    <t xml:space="preserve">Q-SUB-06</t>
  </si>
  <si>
    <t xml:space="preserve">Are the locations where subcontractors store or access our data disclosed?</t>
  </si>
  <si>
    <t xml:space="preserve">Location affects legal exposure and resilience.</t>
  </si>
  <si>
    <t xml:space="preserve">Suppliers using subcontractors to store or access our data</t>
  </si>
  <si>
    <t xml:space="preserve">Subcontractor location list</t>
  </si>
  <si>
    <t xml:space="preserve">Q-ASR-01</t>
  </si>
  <si>
    <t xml:space="preserve">ISO/IEC 27001:2022 Clause 4.3</t>
  </si>
  <si>
    <t xml:space="preserve">Does the supplier hold a current ISO/IEC 27001 certificate, and does its scope include the service provided to us?</t>
  </si>
  <si>
    <t xml:space="preserve">Independent certification is useful only if it covers the relevant service and sites.</t>
  </si>
  <si>
    <t xml:space="preserve">Certificate and statement of applicability showing scope and validity dates</t>
  </si>
  <si>
    <t xml:space="preserve">Check certificate scope, issuing body, validity dates; for SOC 2 review the reporting period, scope and exceptions.</t>
  </si>
  <si>
    <t xml:space="preserve">GRC / Third-Party Risk</t>
  </si>
  <si>
    <t xml:space="preserve">Q-ASR-02</t>
  </si>
  <si>
    <t xml:space="preserve">AICPA SOC 2</t>
  </si>
  <si>
    <t xml:space="preserve">Does the supplier provide a SOC 2 Type II (or equivalent) report covering the service, and were any exceptions reported?</t>
  </si>
  <si>
    <t xml:space="preserve">Provides independent evidence of control operation over a period.</t>
  </si>
  <si>
    <t xml:space="preserve">Suppliers delivering hosted or SaaS services</t>
  </si>
  <si>
    <t xml:space="preserve">Full SOC 2 report including reporting period, scope, exceptions and complementary user entity controls</t>
  </si>
  <si>
    <t xml:space="preserve">Q-ASR-03</t>
  </si>
  <si>
    <t xml:space="preserve">ISO/IEC 27001:2022 A.5.35</t>
  </si>
  <si>
    <t xml:space="preserve">Is the supplier subject to independent audit or regulatory supervision relevant to the service?</t>
  </si>
  <si>
    <t xml:space="preserve">External oversight adds assurance beyond self-reporting.</t>
  </si>
  <si>
    <t xml:space="preserve">Regulatory registration or audit statement</t>
  </si>
  <si>
    <t xml:space="preserve">Q-ASR-04</t>
  </si>
  <si>
    <t xml:space="preserve">Will the supplier share summaries of relevant independent assessments (for example penetration tests) on request?</t>
  </si>
  <si>
    <t xml:space="preserve">Allows us to consider findings relevant to our service.</t>
  </si>
  <si>
    <t xml:space="preserve">Assessment summaries or confirmation of sharing arrangement</t>
  </si>
  <si>
    <t xml:space="preserve">Q-ASR-05</t>
  </si>
  <si>
    <t xml:space="preserve">ISO/IEC 27001:2022 A.5.35 / A.5.36</t>
  </si>
  <si>
    <t xml:space="preserve">Does the supplier run an internal audit or assurance programme covering security controls, and what were the latest findings?</t>
  </si>
  <si>
    <t xml:space="preserve">Shows the supplier tests its own controls and acts on results.</t>
  </si>
  <si>
    <t xml:space="preserve">Internal audit plan and summary of recent findings and actions</t>
  </si>
  <si>
    <t xml:space="preserve">Q-ASR-06</t>
  </si>
  <si>
    <t xml:space="preserve">ISO/IEC 27001:2022 A.5.20</t>
  </si>
  <si>
    <t xml:space="preserve">Will the supplier permit us or our appointed assessors to audit the service within agreed limits?</t>
  </si>
  <si>
    <t xml:space="preserve">Preserves our ability to verify assurance when evidence is insufficient.</t>
  </si>
  <si>
    <t xml:space="preserve">High suppliers</t>
  </si>
  <si>
    <t xml:space="preserve">Contract audit clause and any prior audit arrangements</t>
  </si>
  <si>
    <t xml:space="preserve">Q-CTR-01</t>
  </si>
  <si>
    <t xml:space="preserve">Does the contract include security requirements proportionate to the service (for example a security schedule)?</t>
  </si>
  <si>
    <t xml:space="preserve">Contract terms make security expectations enforceable.</t>
  </si>
  <si>
    <t xml:space="preserve">Contract security schedule or clause reference</t>
  </si>
  <si>
    <t xml:space="preserve">Clause presence is not legal sufficiency; route to legal for conclusions on enforceability and adequacy.</t>
  </si>
  <si>
    <t xml:space="preserve">Legal / Procurement</t>
  </si>
  <si>
    <t xml:space="preserve">Q-CTR-02</t>
  </si>
  <si>
    <t xml:space="preserve">Does the contract set an incident notification timeframe and contact process?</t>
  </si>
  <si>
    <t xml:space="preserve">Gives certainty about when we will be told of incidents.</t>
  </si>
  <si>
    <t xml:space="preserve">Suppliers holding our data or supporting our services</t>
  </si>
  <si>
    <t xml:space="preserve">Clause reference and notification contact details</t>
  </si>
  <si>
    <t xml:space="preserve">Q-CTR-03</t>
  </si>
  <si>
    <t xml:space="preserve">Does the contract include audit and assurance rights?</t>
  </si>
  <si>
    <t xml:space="preserve">Needed to verify claims and follow up on findings.</t>
  </si>
  <si>
    <t xml:space="preserve">Audit and assurance clause reference</t>
  </si>
  <si>
    <t xml:space="preserve">Q-CTR-04</t>
  </si>
  <si>
    <t xml:space="preserve">Does the contract require flow-down of security and data protection obligations to subcontractors?</t>
  </si>
  <si>
    <t xml:space="preserve">Extends our requirements to fourth parties.</t>
  </si>
  <si>
    <t xml:space="preserve">Subcontractor clause reference</t>
  </si>
  <si>
    <t xml:space="preserve">Q-CTR-05</t>
  </si>
  <si>
    <t xml:space="preserve">Does the contract define service levels, resilience commitments and remedies for failure?</t>
  </si>
  <si>
    <t xml:space="preserve">Aligns supplier commitments with our continuity needs.</t>
  </si>
  <si>
    <t xml:space="preserve">SLA schedule with availability and recovery commitments</t>
  </si>
  <si>
    <t xml:space="preserve">Q-CTR-06</t>
  </si>
  <si>
    <t xml:space="preserve">Does the contract address liability and insurance appropriate to the data and service risk?</t>
  </si>
  <si>
    <t xml:space="preserve">Determines recovery options if the supplier causes a loss.</t>
  </si>
  <si>
    <t xml:space="preserve">Liability clause and insurance certificate (legal review required)</t>
  </si>
  <si>
    <t xml:space="preserve">Q-EXT-01</t>
  </si>
  <si>
    <t xml:space="preserve">On termination, how and when will our data be returned to us, and in what format?</t>
  </si>
  <si>
    <t xml:space="preserve">Avoids data lock-in and supports a controlled transition.</t>
  </si>
  <si>
    <t xml:space="preserve">Suppliers holding our data</t>
  </si>
  <si>
    <t xml:space="preserve">Exit clause and data return procedure</t>
  </si>
  <si>
    <t xml:space="preserve">Look for documented exit plans and deletion procedures; certificates of deletion should name systems and backups.</t>
  </si>
  <si>
    <t xml:space="preserve">Business Owner / Information Security / Legal</t>
  </si>
  <si>
    <t xml:space="preserve">Q-EXT-02</t>
  </si>
  <si>
    <t xml:space="preserve">ISO/IEC 27001:2022 A.8.10</t>
  </si>
  <si>
    <t xml:space="preserve">Will the supplier securely delete our data after return and provide written confirmation, including from backups?</t>
  </si>
  <si>
    <t xml:space="preserve">Prevents our data persisting after the relationship ends.</t>
  </si>
  <si>
    <t xml:space="preserve">Deletion procedure and template certificate of deletion naming systems and backups</t>
  </si>
  <si>
    <t xml:space="preserve">Q-EXT-03</t>
  </si>
  <si>
    <t xml:space="preserve">ISO/IEC 27001:2022 A.5.33</t>
  </si>
  <si>
    <t xml:space="preserve">What is the retention period for our data after contract end, and are there legal or technical retention exceptions?</t>
  </si>
  <si>
    <t xml:space="preserve">Backups and legal holds can keep data beyond the contract.</t>
  </si>
  <si>
    <t xml:space="preserve">Retention schedule and documented exceptions</t>
  </si>
  <si>
    <t xml:space="preserve">Q-EXT-04</t>
  </si>
  <si>
    <t xml:space="preserve">Does the supplier have a documented exit or transition plan, including support for migration to a replacement provider?</t>
  </si>
  <si>
    <t xml:space="preserve">Reduces disruption when moving services.</t>
  </si>
  <si>
    <t xml:space="preserve">Exit plan or transition assistance clause</t>
  </si>
  <si>
    <t xml:space="preserve">Q-EXT-05</t>
  </si>
  <si>
    <t xml:space="preserve">How will access, credentials and API keys be revoked at exit, and who confirms completion?</t>
  </si>
  <si>
    <t xml:space="preserve">Leftover access is a common post-exit exposure.</t>
  </si>
  <si>
    <t xml:space="preserve">Suppliers with access to our systems or integrations</t>
  </si>
  <si>
    <t xml:space="preserve">Access revocation checklist and sign-off arrangement</t>
  </si>
  <si>
    <t xml:space="preserve">Q-EXT-06</t>
  </si>
  <si>
    <t xml:space="preserve">Will the supplier continue to meet confidentiality and security obligations for any data it retains after contract end?</t>
  </si>
  <si>
    <t xml:space="preserve">Retained data remains at risk until deleted.</t>
  </si>
  <si>
    <t xml:space="preserve">Contract survival clause for confidentiality and security</t>
  </si>
  <si>
    <t xml:space="preserve">Select questions for a supplier and record responses and review (T04/T05). Supplier response is NOT a security effectiveness rating.</t>
  </si>
  <si>
    <t xml:space="preserve">Rules: The bank recommends questions; the analyst confirms. No questionnaire score drives approval or residual risk. Completion % (report sheet) is administrative only.</t>
  </si>
  <si>
    <t xml:space="preserve">e.g. QA-001</t>
  </si>
  <si>
    <t xml:space="preserve">e.g. Applicable</t>
  </si>
  <si>
    <t xml:space="preserve">e.g. Yes</t>
  </si>
  <si>
    <t xml:space="preserve">e.g. EV-001, EV-002</t>
  </si>
  <si>
    <t xml:space="preserve">e.g. Reviewed</t>
  </si>
  <si>
    <t xml:space="preserve">e.g. 2026-10-15</t>
  </si>
  <si>
    <t xml:space="preserve">e.g. 2026-09-05</t>
  </si>
  <si>
    <t xml:space="preserve">Supplier tier</t>
  </si>
  <si>
    <t xml:space="preserve">Bank recommendation for this tier</t>
  </si>
  <si>
    <t xml:space="preserve">Applicability status (analyst confirms)</t>
  </si>
  <si>
    <t xml:space="preserve">Supplier response</t>
  </si>
  <si>
    <t xml:space="preserve">Supplier explanation</t>
  </si>
  <si>
    <t xml:space="preserve">Evidence reference(s) (Evidence IDs, comma separated)</t>
  </si>
  <si>
    <t xml:space="preserve">Evidence IDs found in register</t>
  </si>
  <si>
    <t xml:space="preserve">Evidence status (not a security rating)</t>
  </si>
  <si>
    <t xml:space="preserve">Analyst review status</t>
  </si>
  <si>
    <t xml:space="preserve">Reviewer comments</t>
  </si>
  <si>
    <t xml:space="preserve">Follow-up action</t>
  </si>
  <si>
    <t xml:space="preserve">Follow-up owner</t>
  </si>
  <si>
    <t xml:space="preserve">Due date</t>
  </si>
  <si>
    <t xml:space="preserve">Follow-up overdue?</t>
  </si>
  <si>
    <t xml:space="preserve">QA-001</t>
  </si>
  <si>
    <t xml:space="preserve">MFA enforced for all admin and remote access.</t>
  </si>
  <si>
    <t xml:space="preserve">EV-001</t>
  </si>
  <si>
    <t xml:space="preserve">Consistent with certified scope.</t>
  </si>
  <si>
    <t xml:space="preserve">QA-002</t>
  </si>
  <si>
    <t xml:space="preserve">Quarterly review of privileged accounts performed.</t>
  </si>
  <si>
    <t xml:space="preserve">EV-004</t>
  </si>
  <si>
    <t xml:space="preserve">Attestation only; no review record supplied.</t>
  </si>
  <si>
    <t xml:space="preserve">Obtain latest quarterly review records</t>
  </si>
  <si>
    <t xml:space="preserve">J. Okafor</t>
  </si>
  <si>
    <t xml:space="preserve">QA-003</t>
  </si>
  <si>
    <t xml:space="preserve">Encryption at rest with customer-managed keys available.</t>
  </si>
  <si>
    <t xml:space="preserve">EV-001, EV-002</t>
  </si>
  <si>
    <t xml:space="preserve">Supported by certificate and SOC 2 control descriptions.</t>
  </si>
  <si>
    <t xml:space="preserve">QA-004</t>
  </si>
  <si>
    <t xml:space="preserve">BCP in place with RTO of 4 hours.</t>
  </si>
  <si>
    <t xml:space="preserve">EV-003</t>
  </si>
  <si>
    <t xml:space="preserve">Plan seen.</t>
  </si>
  <si>
    <t xml:space="preserve">QA-005</t>
  </si>
  <si>
    <t xml:space="preserve">Recovery tested in November 2025.</t>
  </si>
  <si>
    <t xml:space="preserve">Test covered one of four critical services only.</t>
  </si>
  <si>
    <t xml:space="preserve">Run full recovery test of all critical services</t>
  </si>
  <si>
    <t xml:space="preserve">QA-006</t>
  </si>
  <si>
    <t xml:space="preserve">Primary facility provider is Atlas Data Centres; secondary region used for some services.</t>
  </si>
  <si>
    <t xml:space="preserve">No supporting evidence of failover coverage.</t>
  </si>
  <si>
    <t xml:space="preserve">Request failover architecture evidence</t>
  </si>
  <si>
    <t xml:space="preserve">QA-007</t>
  </si>
  <si>
    <t xml:space="preserve">SOC 2 Type II provided.</t>
  </si>
  <si>
    <t xml:space="preserve">EV-002</t>
  </si>
  <si>
    <t xml:space="preserve">Reporting period ended 2025-09-30; updated report needed.</t>
  </si>
  <si>
    <t xml:space="preserve">Request next SOC 2 report</t>
  </si>
  <si>
    <t xml:space="preserve">K. Mensah</t>
  </si>
  <si>
    <t xml:space="preserve">QA-008</t>
  </si>
  <si>
    <t xml:space="preserve">QA-009</t>
  </si>
  <si>
    <t xml:space="preserve">SSO via SAML and role-based access.</t>
  </si>
  <si>
    <t xml:space="preserve">EV-007</t>
  </si>
  <si>
    <t xml:space="preserve">Demonstrated in sandbox.</t>
  </si>
  <si>
    <t xml:space="preserve">QA-010</t>
  </si>
  <si>
    <t xml:space="preserve">Tenant isolation tested in annual penetration test.</t>
  </si>
  <si>
    <t xml:space="preserve">EV-006</t>
  </si>
  <si>
    <t xml:space="preserve">Penetration test covers isolation.</t>
  </si>
  <si>
    <t xml:space="preserve">QA-011</t>
  </si>
  <si>
    <t xml:space="preserve">Annual penetration test performed December 2025.</t>
  </si>
  <si>
    <t xml:space="preserve">Three high findings still open.</t>
  </si>
  <si>
    <t xml:space="preserve">Verify remediation of high findings</t>
  </si>
  <si>
    <t xml:space="preserve">T. Walker</t>
  </si>
  <si>
    <t xml:space="preserve">QA-012</t>
  </si>
  <si>
    <t xml:space="preserve">DPA in contract schedule 4.</t>
  </si>
  <si>
    <t xml:space="preserve">Legal review pending on adequacy.</t>
  </si>
  <si>
    <t xml:space="preserve">QA-013</t>
  </si>
  <si>
    <t xml:space="preserve">Some support staff located outside the UK.</t>
  </si>
  <si>
    <t xml:space="preserve">No transfer mechanism evidence.</t>
  </si>
  <si>
    <t xml:space="preserve">Request transfer mechanism and data location evidence</t>
  </si>
  <si>
    <t xml:space="preserve">QA-014</t>
  </si>
  <si>
    <t xml:space="preserve">ISO 27001 certified.</t>
  </si>
  <si>
    <t xml:space="preserve">EV-005</t>
  </si>
  <si>
    <t xml:space="preserve">Certificate expires 2026-11-30; renewal evidence needed.</t>
  </si>
  <si>
    <t xml:space="preserve">Request renewal certificate</t>
  </si>
  <si>
    <t xml:space="preserve">QA-015</t>
  </si>
  <si>
    <t xml:space="preserve">All cleaners vetted before start.</t>
  </si>
  <si>
    <t xml:space="preserve">EV-008, EV-010</t>
  </si>
  <si>
    <t xml:space="preserve">Vetting certificate expired 2026-09-30.</t>
  </si>
  <si>
    <t xml:space="preserve">Obtain renewed vetting confirmation</t>
  </si>
  <si>
    <t xml:space="preserve">D. Brooks</t>
  </si>
  <si>
    <t xml:space="preserve">QA-016</t>
  </si>
  <si>
    <t xml:space="preserve">Deletion within 60 days after return.</t>
  </si>
  <si>
    <t xml:space="preserve">EV-009</t>
  </si>
  <si>
    <t xml:space="preserve">Procedure only; no certification template.</t>
  </si>
  <si>
    <t xml:space="preserve">Request certificate of deletion naming systems and backups</t>
  </si>
  <si>
    <t xml:space="preserve">S. Novak</t>
  </si>
  <si>
    <t xml:space="preserve">References to documents and assurance information used in assessments. Store the documents elsewhere; record references only.</t>
  </si>
  <si>
    <t xml:space="preserve">Rules: A SOC 2 reporting period ending is NOT expiry: it is flagged for relevance review, never as invalid. Certificates use the expiry date field.</t>
  </si>
  <si>
    <t xml:space="preserve">e.g. EV-001</t>
  </si>
  <si>
    <t xml:space="preserve">e.g. Q-IAM-01; CAS-001</t>
  </si>
  <si>
    <t xml:space="preserve">e.g. SOC 2 report</t>
  </si>
  <si>
    <t xml:space="preserve">e.g. 2025-11-10</t>
  </si>
  <si>
    <t xml:space="preserve">e.g. 2028-03-14</t>
  </si>
  <si>
    <t xml:space="preserve">e.g. 2024-10-01</t>
  </si>
  <si>
    <t xml:space="preserve">e.g. 2025-09-30</t>
  </si>
  <si>
    <t xml:space="preserve">e.g. Verified</t>
  </si>
  <si>
    <t xml:space="preserve">e.g. Partially sufficient</t>
  </si>
  <si>
    <t xml:space="preserve">e.g. No</t>
  </si>
  <si>
    <t xml:space="preserve">e.g. 2026-11-30</t>
  </si>
  <si>
    <t xml:space="preserve">Evidence ID</t>
  </si>
  <si>
    <t xml:space="preserve">Related question, control or finding reference</t>
  </si>
  <si>
    <t xml:space="preserve">Evidence type</t>
  </si>
  <si>
    <t xml:space="preserve">Document title or description</t>
  </si>
  <si>
    <t xml:space="preserve">Issuing organisation</t>
  </si>
  <si>
    <t xml:space="preserve">Document date</t>
  </si>
  <si>
    <t xml:space="preserve">Expiry date (certificates and similar only)</t>
  </si>
  <si>
    <t xml:space="preserve">Reporting period start (e.g. SOC 2)</t>
  </si>
  <si>
    <t xml:space="preserve">Reporting period end</t>
  </si>
  <si>
    <t xml:space="preserve">Relevant service or scope</t>
  </si>
  <si>
    <t xml:space="preserve">Evidence location or reference (store the document elsewhere)</t>
  </si>
  <si>
    <t xml:space="preserve">Verification status</t>
  </si>
  <si>
    <t xml:space="preserve">Evidence sufficiency status</t>
  </si>
  <si>
    <t xml:space="preserve">Review conclusion</t>
  </si>
  <si>
    <t xml:space="preserve">Limitations</t>
  </si>
  <si>
    <t xml:space="preserve">Important scope limitation?</t>
  </si>
  <si>
    <t xml:space="preserve">Next action</t>
  </si>
  <si>
    <t xml:space="preserve">Next action due</t>
  </si>
  <si>
    <t xml:space="preserve">Currency indicator</t>
  </si>
  <si>
    <t xml:space="preserve">Verification flag</t>
  </si>
  <si>
    <t xml:space="preserve">Scope limitation flag</t>
  </si>
  <si>
    <t xml:space="preserve">Follow-up flag</t>
  </si>
  <si>
    <t xml:space="preserve">Q-IAM-01; Q-INF-02; Q-ASR-01</t>
  </si>
  <si>
    <t xml:space="preserve">ISO/IEC 27001:2022 certificate - Northwind Cloud Hosting</t>
  </si>
  <si>
    <t xml:space="preserve">CertAssure UK (fictional)</t>
  </si>
  <si>
    <t xml:space="preserve">Data centre operations and cloud services excluding EU-West region</t>
  </si>
  <si>
    <t xml:space="preserve">Evidence store /SUP-001/EV-001.pdf</t>
  </si>
  <si>
    <t xml:space="preserve">Certification current; EU-West excluded from scope.</t>
  </si>
  <si>
    <t xml:space="preserve">EU-West region not covered by certificate.</t>
  </si>
  <si>
    <t xml:space="preserve">Confirm service regions used by us are within scope</t>
  </si>
  <si>
    <t xml:space="preserve">Q-INF-02; Q-ASR-02</t>
  </si>
  <si>
    <t xml:space="preserve">SOC 2 Type II report, 1 Oct 2024 - 30 Sep 2025</t>
  </si>
  <si>
    <t xml:space="preserve">Independent auditor (fictional)</t>
  </si>
  <si>
    <t xml:space="preserve">Hosting platform security, availability and confidentiality</t>
  </si>
  <si>
    <t xml:space="preserve">Evidence store /SUP-001/EV-002.pdf</t>
  </si>
  <si>
    <t xml:space="preserve">Report covers prior period; two exceptions in access reviews reported.</t>
  </si>
  <si>
    <t xml:space="preserve">Reporting period ended; does not cover recent changes.</t>
  </si>
  <si>
    <t xml:space="preserve">Q-BCP-01; Q-BCP-02; CAS-002</t>
  </si>
  <si>
    <t xml:space="preserve">Recovery test summary November 2025</t>
  </si>
  <si>
    <t xml:space="preserve">Recovery of 1 of 4 critical services</t>
  </si>
  <si>
    <t xml:space="preserve">Evidence store /SUP-001/EV-003.pdf</t>
  </si>
  <si>
    <t xml:space="preserve">Test passed for tested service; other critical services not tested.</t>
  </si>
  <si>
    <t xml:space="preserve">Partial test scope.</t>
  </si>
  <si>
    <t xml:space="preserve">Obtain full recovery test results</t>
  </si>
  <si>
    <t xml:space="preserve">Q-IAM-02; CAS-001</t>
  </si>
  <si>
    <t xml:space="preserve">Attestation of quarterly privileged access reviews</t>
  </si>
  <si>
    <t xml:space="preserve">Privileged access to platform accounts</t>
  </si>
  <si>
    <t xml:space="preserve">Evidence store /SUP-001/EV-004.pdf</t>
  </si>
  <si>
    <t xml:space="preserve">Statement only; no review records.</t>
  </si>
  <si>
    <t xml:space="preserve">Self-attestation without underlying records.</t>
  </si>
  <si>
    <t xml:space="preserve">Request review records or screenshots</t>
  </si>
  <si>
    <t xml:space="preserve">ISO/IEC 27001:2022 certificate - SupportLoop</t>
  </si>
  <si>
    <t xml:space="preserve">SupportLoop SaaS platform and supporting operations</t>
  </si>
  <si>
    <t xml:space="preserve">Evidence store /SUP-002/EV-005.pdf</t>
  </si>
  <si>
    <t xml:space="preserve">Valid for service; expiring shortly.</t>
  </si>
  <si>
    <t xml:space="preserve">Obtain renewed certificate</t>
  </si>
  <si>
    <t xml:space="preserve">Q-INF-03; Q-VUL-03; CAS-004</t>
  </si>
  <si>
    <t xml:space="preserve">Penetration test summary December 2025</t>
  </si>
  <si>
    <t xml:space="preserve">Independent testing firm (fictional)</t>
  </si>
  <si>
    <t xml:space="preserve">Web application and API</t>
  </si>
  <si>
    <t xml:space="preserve">Evidence store /SUP-002/EV-006.pdf</t>
  </si>
  <si>
    <t xml:space="preserve">Test shows 3 high findings; no retest evidence.</t>
  </si>
  <si>
    <t xml:space="preserve">No retest evidence supplied.</t>
  </si>
  <si>
    <t xml:space="preserve">Obtain retest report</t>
  </si>
  <si>
    <t xml:space="preserve">Q-IAM-04; Q-PRV-01</t>
  </si>
  <si>
    <t xml:space="preserve">Security schedule and data processing agreement</t>
  </si>
  <si>
    <t xml:space="preserve">Contract schedule 4</t>
  </si>
  <si>
    <t xml:space="preserve">Evidence store /SUP-002/EV-007.pdf</t>
  </si>
  <si>
    <t xml:space="preserve">DPA and SSO controls documented; legal review pending.</t>
  </si>
  <si>
    <t xml:space="preserve">EV-008</t>
  </si>
  <si>
    <t xml:space="preserve">Q-GOV-05; CAS-007</t>
  </si>
  <si>
    <t xml:space="preserve">Cleaner vetting policy and key control procedure</t>
  </si>
  <si>
    <t xml:space="preserve">Premises access staff</t>
  </si>
  <si>
    <t xml:space="preserve">Evidence store /SUP-004/EV-008.pdf</t>
  </si>
  <si>
    <t xml:space="preserve">Policy exists; operation evidenced only by expired certificate.</t>
  </si>
  <si>
    <t xml:space="preserve">Q-EXT-02; CAS-008</t>
  </si>
  <si>
    <t xml:space="preserve">Data deletion procedure</t>
  </si>
  <si>
    <t xml:space="preserve">Backup storage</t>
  </si>
  <si>
    <t xml:space="preserve">Evidence store /SUP-005/EV-009.pdf</t>
  </si>
  <si>
    <t xml:space="preserve">Procedure does not require certificate naming backups.</t>
  </si>
  <si>
    <t xml:space="preserve">No certification template.</t>
  </si>
  <si>
    <t xml:space="preserve">Request certificate of deletion template</t>
  </si>
  <si>
    <t xml:space="preserve">EV-010</t>
  </si>
  <si>
    <t xml:space="preserve">Staff vetting confirmation certificate</t>
  </si>
  <si>
    <t xml:space="preserve">Named cleaning staff</t>
  </si>
  <si>
    <t xml:space="preserve">Evidence store /SUP-004/EV-010.pdf</t>
  </si>
  <si>
    <t xml:space="preserve">Certificate expired 2026-09-30; renewal outstanding.</t>
  </si>
  <si>
    <t xml:space="preserve">Evaluate supplier controls independently of questionnaire answers (T06). Design, implementation and operation are assessed separately.</t>
  </si>
  <si>
    <t xml:space="preserve">Rules: Insufficient evidence must NOT silently become 'Ineffective'. Keep the real evidence status; treat uncertainty conservatively in the risk register with a written rationale.</t>
  </si>
  <si>
    <t xml:space="preserve">e.g. Privileged access reviews</t>
  </si>
  <si>
    <t xml:space="preserve">e.g. TPR-002</t>
  </si>
  <si>
    <t xml:space="preserve">e.g. Adequate</t>
  </si>
  <si>
    <t xml:space="preserve">e.g. Implemented</t>
  </si>
  <si>
    <t xml:space="preserve">e.g. Not assessed</t>
  </si>
  <si>
    <t xml:space="preserve">e.g. Insufficient</t>
  </si>
  <si>
    <t xml:space="preserve">e.g. Evidence insufficient</t>
  </si>
  <si>
    <t xml:space="preserve">e.g. F-001</t>
  </si>
  <si>
    <t xml:space="preserve">e.g. 2026-09-12</t>
  </si>
  <si>
    <t xml:space="preserve">Control Assessment ID</t>
  </si>
  <si>
    <t xml:space="preserve">Control ID or requirement</t>
  </si>
  <si>
    <t xml:space="preserve">Related risk ID</t>
  </si>
  <si>
    <t xml:space="preserve">Assessment objective</t>
  </si>
  <si>
    <t xml:space="preserve">Design assessment</t>
  </si>
  <si>
    <t xml:space="preserve">Implementation assessment</t>
  </si>
  <si>
    <t xml:space="preserve">Operating effectiveness assessment</t>
  </si>
  <si>
    <t xml:space="preserve">Evidence IDs (comma separated)</t>
  </si>
  <si>
    <t xml:space="preserve">Evidence sufficiency</t>
  </si>
  <si>
    <t xml:space="preserve">Overall assessment status</t>
  </si>
  <si>
    <t xml:space="preserve">Control effectiveness (recorded separately)</t>
  </si>
  <si>
    <t xml:space="preserve">Finding reference</t>
  </si>
  <si>
    <t xml:space="preserve">Assessor</t>
  </si>
  <si>
    <t xml:space="preserve">Rationale</t>
  </si>
  <si>
    <t xml:space="preserve">Assurance position</t>
  </si>
  <si>
    <t xml:space="preserve">Methodology consistency check</t>
  </si>
  <si>
    <t xml:space="preserve">CAS-001</t>
  </si>
  <si>
    <t xml:space="preserve">Privileged access management and review</t>
  </si>
  <si>
    <t xml:space="preserve">Confirm privileged access is restricted and reviewed regularly.</t>
  </si>
  <si>
    <t xml:space="preserve">F-001</t>
  </si>
  <si>
    <t xml:space="preserve">Design and MFA enforcement look sound; operation of quarterly reviews is not evidenced. Not rated ineffective because no weakness is confirmed.</t>
  </si>
  <si>
    <t xml:space="preserve">Resilience testing and failover</t>
  </si>
  <si>
    <t xml:space="preserve">Confirm recovery objectives are achievable for all critical services.</t>
  </si>
  <si>
    <t xml:space="preserve">F-002</t>
  </si>
  <si>
    <t xml:space="preserve">Test covered 1 of 4 critical services; failover partly implemented. The testing gap is confirmed.</t>
  </si>
  <si>
    <t xml:space="preserve">CAS-003</t>
  </si>
  <si>
    <t xml:space="preserve">Cloud storage configuration hardening</t>
  </si>
  <si>
    <t xml:space="preserve">Confirm customer data stores are encrypted and not publicly exposed.</t>
  </si>
  <si>
    <t xml:space="preserve">Certificate and SOC 2 control descriptions support the control.</t>
  </si>
  <si>
    <t xml:space="preserve">CAS-004</t>
  </si>
  <si>
    <t xml:space="preserve">Vulnerability remediation</t>
  </si>
  <si>
    <t xml:space="preserve">Confirm high vulnerabilities are remediated within target timeframes.</t>
  </si>
  <si>
    <t xml:space="preserve">F-004</t>
  </si>
  <si>
    <t xml:space="preserve">Penetration test shows three high findings open beyond policy timeframe; weakness confirmed by independent evidence.</t>
  </si>
  <si>
    <t xml:space="preserve">Data residency and transfer controls</t>
  </si>
  <si>
    <t xml:space="preserve">Confirm personal data stays in approved regions or is protected by transfer mechanism.</t>
  </si>
  <si>
    <t xml:space="preserve">F-003</t>
  </si>
  <si>
    <t xml:space="preserve">No evidence provided; not treated as a confirmed failure.</t>
  </si>
  <si>
    <t xml:space="preserve">CAS-006</t>
  </si>
  <si>
    <t xml:space="preserve">Tenant isolation and SSO access control</t>
  </si>
  <si>
    <t xml:space="preserve">Confirm customer data separation and access control.</t>
  </si>
  <si>
    <t xml:space="preserve">EV-006, EV-007</t>
  </si>
  <si>
    <t xml:space="preserve">Penetration test covered isolation; SSO and RBAC demonstrated.</t>
  </si>
  <si>
    <t xml:space="preserve">Staff vetting and key control</t>
  </si>
  <si>
    <t xml:space="preserve">Confirm cleaning staff are vetted and keys controlled.</t>
  </si>
  <si>
    <t xml:space="preserve">F-005</t>
  </si>
  <si>
    <t xml:space="preserve">Vetting certificate expired; no evidence of lapse in practice.</t>
  </si>
  <si>
    <t xml:space="preserve">Data retention and deletion at exit</t>
  </si>
  <si>
    <t xml:space="preserve">Confirm data is returned and deleted, including backups, after exit.</t>
  </si>
  <si>
    <t xml:space="preserve">F-006</t>
  </si>
  <si>
    <t xml:space="preserve">Procedure does not require certification for backups; review incomplete.</t>
  </si>
  <si>
    <t xml:space="preserve">Material observations from supplier assessments. Evidence gaps stay distinguishable from confirmed weaknesses everywhere.</t>
  </si>
  <si>
    <t xml:space="preserve">Rules: Severity is an assessor judgement - it is NOT inferred from finding type. 'Risk accepted' findings stay Active (the exposure remains). Closure needs a verification reference.</t>
  </si>
  <si>
    <t xml:space="preserve">e.g. EV-004</t>
  </si>
  <si>
    <t xml:space="preserve">e.g. Evidence gap</t>
  </si>
  <si>
    <t xml:space="preserve">e.g. High</t>
  </si>
  <si>
    <t xml:space="preserve">e.g. Open</t>
  </si>
  <si>
    <t xml:space="preserve">Finding ID</t>
  </si>
  <si>
    <t xml:space="preserve">Related control assessment ID</t>
  </si>
  <si>
    <t xml:space="preserve">Source assessment or evidence ID</t>
  </si>
  <si>
    <t xml:space="preserve">Finding type</t>
  </si>
  <si>
    <t xml:space="preserve">Requirement</t>
  </si>
  <si>
    <t xml:space="preserve">Observation</t>
  </si>
  <si>
    <t xml:space="preserve">Supporting evidence</t>
  </si>
  <si>
    <t xml:space="preserve">Potential business consequence</t>
  </si>
  <si>
    <t xml:space="preserve">Severity (assessor judgement)</t>
  </si>
  <si>
    <t xml:space="preserve">Remediation requirement</t>
  </si>
  <si>
    <t xml:space="preserve">Responsible owner</t>
  </si>
  <si>
    <t xml:space="preserve">Status</t>
  </si>
  <si>
    <t xml:space="preserve">Opened date</t>
  </si>
  <si>
    <t xml:space="preserve">Target date</t>
  </si>
  <si>
    <t xml:space="preserve">Closure date</t>
  </si>
  <si>
    <t xml:space="preserve">Verification reference</t>
  </si>
  <si>
    <t xml:space="preserve">Lifecycle state</t>
  </si>
  <si>
    <t xml:space="preserve">Overdue flag</t>
  </si>
  <si>
    <t xml:space="preserve">Linked treatment actions</t>
  </si>
  <si>
    <t xml:space="preserve">Quarterly privileged access reviews performed and evidenced.</t>
  </si>
  <si>
    <t xml:space="preserve">Supplier attests reviews occur but provided no review records.</t>
  </si>
  <si>
    <t xml:space="preserve">Excess privileged access may persist undetected.</t>
  </si>
  <si>
    <t xml:space="preserve">Provide review records for the last two quarters.</t>
  </si>
  <si>
    <t xml:space="preserve">Overdue; escalated to business owner.</t>
  </si>
  <si>
    <t xml:space="preserve">Recovery tested for all critical services against stated objectives.</t>
  </si>
  <si>
    <t xml:space="preserve">Test covered 1 of 4 critical services; RTO not demonstrated for others.</t>
  </si>
  <si>
    <t xml:space="preserve">Recovery may exceed tolerance in a real outage.</t>
  </si>
  <si>
    <t xml:space="preserve">Run full recovery test and provide results.</t>
  </si>
  <si>
    <t xml:space="preserve">Data location and transfer mechanism evidenced.</t>
  </si>
  <si>
    <t xml:space="preserve">No evidence provided on data residency or international transfer safeguards.</t>
  </si>
  <si>
    <t xml:space="preserve">Unable to confirm lawful handling of customer data.</t>
  </si>
  <si>
    <t xml:space="preserve">Provide data location statement and transfer mechanism.</t>
  </si>
  <si>
    <t xml:space="preserve">Not rated as a failure; evidence missing.</t>
  </si>
  <si>
    <t xml:space="preserve">High vulnerabilities remediated within policy timeframe.</t>
  </si>
  <si>
    <t xml:space="preserve">Three high findings from December 2025 test remain open.</t>
  </si>
  <si>
    <t xml:space="preserve">Increased likelihood of platform compromise.</t>
  </si>
  <si>
    <t xml:space="preserve">Remediate and provide retest evidence.</t>
  </si>
  <si>
    <t xml:space="preserve">Supplier says fixed; retest pending.</t>
  </si>
  <si>
    <t xml:space="preserve">Valid vetting confirmation for all cleaning staff.</t>
  </si>
  <si>
    <t xml:space="preserve">Vetting confirmation certificate expired 2026-09-30.</t>
  </si>
  <si>
    <t xml:space="preserve">Unvetted staff may have unsupervised access.</t>
  </si>
  <si>
    <t xml:space="preserve">Provide renewed vetting confirmation.</t>
  </si>
  <si>
    <t xml:space="preserve">Certified deletion of data and backups after exit.</t>
  </si>
  <si>
    <t xml:space="preserve">No deletion certification evidence available.</t>
  </si>
  <si>
    <t xml:space="preserve">Cannot confirm customer data deleted from Datavault systems.</t>
  </si>
  <si>
    <t xml:space="preserve">Obtain certificate of deletion naming systems and backups.</t>
  </si>
  <si>
    <t xml:space="preserve">F-007</t>
  </si>
  <si>
    <t xml:space="preserve">CON-008</t>
  </si>
  <si>
    <t xml:space="preserve">Contract requires certified deletion on exit.</t>
  </si>
  <si>
    <t xml:space="preserve">Contract has no requirement for deletion certification.</t>
  </si>
  <si>
    <t xml:space="preserve">No enforceable right to deletion evidence.</t>
  </si>
  <si>
    <t xml:space="preserve">Agree contract amendment or side letter.</t>
  </si>
  <si>
    <t xml:space="preserve">Legal (R. Adams)</t>
  </si>
  <si>
    <t xml:space="preserve">Actions to manage supplier risk and findings (T07). Delivery and verification are recorded separately.</t>
  </si>
  <si>
    <t xml:space="preserve">Rules: 'Delivered' is the owner's claim; only Verification = Verified closes an action. Planned remediation does NOT change current residual risk in the register.</t>
  </si>
  <si>
    <t xml:space="preserve">e.g. TR-001</t>
  </si>
  <si>
    <t xml:space="preserve">e.g. Reduce</t>
  </si>
  <si>
    <t xml:space="preserve">e.g. In progress</t>
  </si>
  <si>
    <t xml:space="preserve">e.g. Pending</t>
  </si>
  <si>
    <t xml:space="preserve">e.g. None</t>
  </si>
  <si>
    <t xml:space="preserve">Treatment ID</t>
  </si>
  <si>
    <t xml:space="preserve">Related finding ID</t>
  </si>
  <si>
    <t xml:space="preserve">Treatment approach</t>
  </si>
  <si>
    <t xml:space="preserve">Required action</t>
  </si>
  <si>
    <t xml:space="preserve">Delivery owner (supplier or internal)</t>
  </si>
  <si>
    <t xml:space="preserve">Internal accountable owner</t>
  </si>
  <si>
    <t xml:space="preserve">Agreed due date</t>
  </si>
  <si>
    <t xml:space="preserve">Delivery status (self-reported)</t>
  </si>
  <si>
    <t xml:space="preserve">Completion criteria</t>
  </si>
  <si>
    <t xml:space="preserve">Required verification evidence</t>
  </si>
  <si>
    <t xml:space="preserve">Verification status (separate from delivery)</t>
  </si>
  <si>
    <t xml:space="preserve">Actual completion date</t>
  </si>
  <si>
    <t xml:space="preserve">Escalation status</t>
  </si>
  <si>
    <t xml:space="preserve">Decision ID (required if approach = Accept)</t>
  </si>
  <si>
    <t xml:space="preserve">Action state</t>
  </si>
  <si>
    <t xml:space="preserve">Open / closed</t>
  </si>
  <si>
    <t xml:space="preserve">Acceptance decision check</t>
  </si>
  <si>
    <t xml:space="preserve">TR-001</t>
  </si>
  <si>
    <t xml:space="preserve">Obtain evidence of quarterly privileged access reviews.</t>
  </si>
  <si>
    <t xml:space="preserve">Northwind Security Manager</t>
  </si>
  <si>
    <t xml:space="preserve">Review records for last two quarters received and reviewed.</t>
  </si>
  <si>
    <t xml:space="preserve">Review records stored under EV-004</t>
  </si>
  <si>
    <t xml:space="preserve">Escalated to business owner.</t>
  </si>
  <si>
    <t xml:space="preserve">TR-002</t>
  </si>
  <si>
    <t xml:space="preserve">Run full recovery test of all critical services and share results.</t>
  </si>
  <si>
    <t xml:space="preserve">Northwind Resilience Lead</t>
  </si>
  <si>
    <t xml:space="preserve">Test covers all four services and meets RTO.</t>
  </si>
  <si>
    <t xml:space="preserve">Test report</t>
  </si>
  <si>
    <t xml:space="preserve">Test scheduled for November.</t>
  </si>
  <si>
    <t xml:space="preserve">TR-003</t>
  </si>
  <si>
    <t xml:space="preserve">Record executive risk acceptance of TPR-001 pending TR-002.</t>
  </si>
  <si>
    <t xml:space="preserve">GRC</t>
  </si>
  <si>
    <t xml:space="preserve">A. Patel</t>
  </si>
  <si>
    <t xml:space="preserve">Decision recorded with approval reference.</t>
  </si>
  <si>
    <t xml:space="preserve">DEC-002 approval reference</t>
  </si>
  <si>
    <t xml:space="preserve">Residual risk remains High and above appetite.</t>
  </si>
  <si>
    <t xml:space="preserve">TR-004</t>
  </si>
  <si>
    <t xml:space="preserve">Remediate three high vulnerabilities and provide retest report.</t>
  </si>
  <si>
    <t xml:space="preserve">SupportLoop Security Team</t>
  </si>
  <si>
    <t xml:space="preserve">Independent retest shows no open high findings.</t>
  </si>
  <si>
    <t xml:space="preserve">Retest report</t>
  </si>
  <si>
    <t xml:space="preserve">Delivered per supplier; not yet verified.</t>
  </si>
  <si>
    <t xml:space="preserve">TR-005</t>
  </si>
  <si>
    <t xml:space="preserve">Obtain renewed staff vetting confirmation.</t>
  </si>
  <si>
    <t xml:space="preserve">Cleanwell Operations Manager</t>
  </si>
  <si>
    <t xml:space="preserve">Valid vetting certificate covering all named staff.</t>
  </si>
  <si>
    <t xml:space="preserve">Certificate</t>
  </si>
  <si>
    <t xml:space="preserve">TR-006</t>
  </si>
  <si>
    <t xml:space="preserve">Agree deletion certificate template and obtain certificate after migration.</t>
  </si>
  <si>
    <t xml:space="preserve">Datavault Account Manager</t>
  </si>
  <si>
    <t xml:space="preserve">Certificate names all systems and backup sets.</t>
  </si>
  <si>
    <t xml:space="preserve">Certificate of deletion</t>
  </si>
  <si>
    <t xml:space="preserve">TR-007</t>
  </si>
  <si>
    <t xml:space="preserve">Obtain data location statement and international transfer mechanism.</t>
  </si>
  <si>
    <t xml:space="preserve">SupportLoop Compliance Lead</t>
  </si>
  <si>
    <t xml:space="preserve">Evidence reviewed by Privacy.</t>
  </si>
  <si>
    <t xml:space="preserve">Data location statement</t>
  </si>
  <si>
    <t xml:space="preserve">12 Acceptance &amp; Decisions Register</t>
  </si>
  <si>
    <t xml:space="preserve">Authorised supplier and risk decisions (T08). The GRC recommendation and the final decision are separate fields.</t>
  </si>
  <si>
    <t xml:space="preserve">Rules: Excel cannot verify authority or signatures: every record here is USER-ENTERED. An approver name alone is not proof - an independently retained evidence reference, approver and decision date are all required. Acceptance never removes an appetite breach.</t>
  </si>
  <si>
    <t xml:space="preserve">e.g. DEC-001</t>
  </si>
  <si>
    <t xml:space="preserve">e.g. Conditional approval</t>
  </si>
  <si>
    <t xml:space="preserve">e.g. 2026-09-24</t>
  </si>
  <si>
    <t xml:space="preserve">e.g. Chief Risk Officer</t>
  </si>
  <si>
    <t xml:space="preserve">e.g. Conditionally approve</t>
  </si>
  <si>
    <t xml:space="preserve">e.g. Conditionally approved</t>
  </si>
  <si>
    <t xml:space="preserve">e.g. 2026-09-30</t>
  </si>
  <si>
    <t xml:space="preserve">e.g. Committee minute ref</t>
  </si>
  <si>
    <t xml:space="preserve">e.g. Decided</t>
  </si>
  <si>
    <t xml:space="preserve">Decision ID</t>
  </si>
  <si>
    <t xml:space="preserve">Related risk ID (risk-level decisions)</t>
  </si>
  <si>
    <t xml:space="preserve">Decision type</t>
  </si>
  <si>
    <t xml:space="preserve">Supplier-level decision?</t>
  </si>
  <si>
    <t xml:space="preserve">Current residual band (from risk register)</t>
  </si>
  <si>
    <t xml:space="preserve">Risk appetite status (from risk register)</t>
  </si>
  <si>
    <t xml:space="preserve">Record created / recommendation date</t>
  </si>
  <si>
    <t xml:space="preserve">GRC recommendation (analyst-entered, separate from decision)</t>
  </si>
  <si>
    <t xml:space="preserve">Decision rationale</t>
  </si>
  <si>
    <t xml:space="preserve">Designated approving authority</t>
  </si>
  <si>
    <t xml:space="preserve">Requested decision</t>
  </si>
  <si>
    <t xml:space="preserve">Final decision (authorised)</t>
  </si>
  <si>
    <t xml:space="preserve">Conditions</t>
  </si>
  <si>
    <t xml:space="preserve">Decision date</t>
  </si>
  <si>
    <t xml:space="preserve">Expiry or review date</t>
  </si>
  <si>
    <t xml:space="preserve">Evidence or approval reference (independently retained)</t>
  </si>
  <si>
    <t xml:space="preserve">Monitoring requirements</t>
  </si>
  <si>
    <t xml:space="preserve">Decision currency / authorisation</t>
  </si>
  <si>
    <t xml:space="preserve">Appetite note</t>
  </si>
  <si>
    <t xml:space="preserve">Latest supplier-level key (helper)</t>
  </si>
  <si>
    <t xml:space="preserve">DEC-001</t>
  </si>
  <si>
    <t xml:space="preserve">Recommend conditional approval subject to completion and verification of TR-001 and TR-002 and receipt of updated SOC 2 report.</t>
  </si>
  <si>
    <t xml:space="preserve">Strong design and certified controls, but two High findings open and recovery not fully evidenced.</t>
  </si>
  <si>
    <t xml:space="preserve">Chief Risk Officer (R. Hale)</t>
  </si>
  <si>
    <t xml:space="preserve">Close F-001 and F-002; provide updated SOC 2 by 2026-11-30.</t>
  </si>
  <si>
    <t xml:space="preserve">MFS-RC-2026-044 (Risk Committee minutes, 30 Sep 2026)</t>
  </si>
  <si>
    <t xml:space="preserve">Monthly KRI review; remediation review in December.</t>
  </si>
  <si>
    <t xml:space="preserve">Recommend time-limited acceptance of High residual outage risk until full recovery test completes.</t>
  </si>
  <si>
    <t xml:space="preserve">Replacement of provider is not feasible in the near term; mitigation plan in progress.</t>
  </si>
  <si>
    <t xml:space="preserve">Review at expiry or on completion of TR-002.</t>
  </si>
  <si>
    <t xml:space="preserve">MFS-RC-2026-047 (Risk Committee minutes, 5 Oct 2026)</t>
  </si>
  <si>
    <t xml:space="preserve">Report KRI breaches immediately.</t>
  </si>
  <si>
    <t xml:space="preserve">DEC-003</t>
  </si>
  <si>
    <t xml:space="preserve">Recommend deferral until high vulnerabilities are retested and ISO renewal evidence is received.</t>
  </si>
  <si>
    <t xml:space="preserve">Confirmed weakness (F-004) and evidence gap (F-003); open credential incident (INC-001).</t>
  </si>
  <si>
    <t xml:space="preserve">Re-present with verified TR-004 and TR-007 evidence.</t>
  </si>
  <si>
    <t xml:space="preserve">MFS-RC-2026-051 (Risk Committee minutes, 12 Oct 2026)</t>
  </si>
  <si>
    <t xml:space="preserve">Weekly update on INC-001.</t>
  </si>
  <si>
    <t xml:space="preserve">DEC-004</t>
  </si>
  <si>
    <t xml:space="preserve">Recommend approval; low impact and no data or system access.</t>
  </si>
  <si>
    <t xml:space="preserve">All five criticality dimensions rated Low.</t>
  </si>
  <si>
    <t xml:space="preserve">Procurement Manager (G. Ellis)</t>
  </si>
  <si>
    <t xml:space="preserve">MFS-PROC-2026-118</t>
  </si>
  <si>
    <t xml:space="preserve">Review at contract renewal.</t>
  </si>
  <si>
    <t xml:space="preserve">DEC-005</t>
  </si>
  <si>
    <t xml:space="preserve">Recommend conditional approval subject to renewed vetting confirmation (TR-005).</t>
  </si>
  <si>
    <t xml:space="preserve">Medium-impact supplier with an exception on vetting evidence.</t>
  </si>
  <si>
    <t xml:space="preserve">13 Contractual Security Requirements</t>
  </si>
  <si>
    <t xml:space="preserve">Links supplier risks to requirements in the applicable contract (T09).</t>
  </si>
  <si>
    <t xml:space="preserve">Rules: Marking a clause as present does NOT mean it is legally compliant. Mandatory legal requirements need specialist legal assessment.</t>
  </si>
  <si>
    <t xml:space="preserve">e.g. CON-001</t>
  </si>
  <si>
    <t xml:space="preserve">e.g. MSA-2024-01</t>
  </si>
  <si>
    <t xml:space="preserve">e.g. Incident notification</t>
  </si>
  <si>
    <t xml:space="preserve">e.g. Schedule 3 s4.2</t>
  </si>
  <si>
    <t xml:space="preserve">e.g. Gap identified</t>
  </si>
  <si>
    <t xml:space="preserve">e.g. 2026-09-20</t>
  </si>
  <si>
    <t xml:space="preserve">Requirement ID</t>
  </si>
  <si>
    <t xml:space="preserve">Contract reference</t>
  </si>
  <si>
    <t xml:space="preserve">Contract clause or schedule</t>
  </si>
  <si>
    <t xml:space="preserve">Gap description</t>
  </si>
  <si>
    <t xml:space="preserve">Legal or technical reviewer</t>
  </si>
  <si>
    <t xml:space="preserve">Required amendment or clarification</t>
  </si>
  <si>
    <t xml:space="preserve">Negotiation outcome</t>
  </si>
  <si>
    <t xml:space="preserve">Final disposition</t>
  </si>
  <si>
    <t xml:space="preserve">Approval or exception reference</t>
  </si>
  <si>
    <t xml:space="preserve">Gap status</t>
  </si>
  <si>
    <t xml:space="preserve">CON-001</t>
  </si>
  <si>
    <t xml:space="preserve">MFS-NW-MSA-2024</t>
  </si>
  <si>
    <t xml:space="preserve">Notify security incidents affecting our data within 24 hours.</t>
  </si>
  <si>
    <t xml:space="preserve">Schedule 3 s4.2</t>
  </si>
  <si>
    <t xml:space="preserve">CON-002</t>
  </si>
  <si>
    <t xml:space="preserve">Right to audit security controls and facilities.</t>
  </si>
  <si>
    <t xml:space="preserve">Schedule 5 s2.1</t>
  </si>
  <si>
    <t xml:space="preserve">Audit rights limited to annual desk-based review.</t>
  </si>
  <si>
    <t xml:space="preserve">Add on-site audit right once per year</t>
  </si>
  <si>
    <t xml:space="preserve">Supplier in principle agrees; draft wording awaited</t>
  </si>
  <si>
    <t xml:space="preserve">CON-003</t>
  </si>
  <si>
    <t xml:space="preserve">Availability and recovery commitments.</t>
  </si>
  <si>
    <t xml:space="preserve">Schedule 2 s3</t>
  </si>
  <si>
    <t xml:space="preserve">Notice of changes to material subcontractors including data centre provider.</t>
  </si>
  <si>
    <t xml:space="preserve">Not found</t>
  </si>
  <si>
    <t xml:space="preserve">No obligation to notify changes to facility provider.</t>
  </si>
  <si>
    <t xml:space="preserve">Add notification and objection right</t>
  </si>
  <si>
    <t xml:space="preserve">Not yet discussed</t>
  </si>
  <si>
    <t xml:space="preserve">CON-005</t>
  </si>
  <si>
    <t xml:space="preserve">MFS-SL-SAAS-2025</t>
  </si>
  <si>
    <t xml:space="preserve">International transfer safeguards for personal data.</t>
  </si>
  <si>
    <t xml:space="preserve">Schedule 4 s6</t>
  </si>
  <si>
    <t xml:space="preserve">Schedule does not name transfer mechanism or approved regions.</t>
  </si>
  <si>
    <t xml:space="preserve">Name approved regions and mechanism</t>
  </si>
  <si>
    <t xml:space="preserve">Supplier reviewing</t>
  </si>
  <si>
    <t xml:space="preserve">CON-006</t>
  </si>
  <si>
    <t xml:space="preserve">Incident notification within 72 hours.</t>
  </si>
  <si>
    <t xml:space="preserve">Schedule 4 s5</t>
  </si>
  <si>
    <t xml:space="preserve">Original wording said 'without undue delay' only.</t>
  </si>
  <si>
    <t xml:space="preserve">Insert 72-hour timeframe</t>
  </si>
  <si>
    <t xml:space="preserve">Amendment signed 2026-10-02</t>
  </si>
  <si>
    <t xml:space="preserve">CON-007</t>
  </si>
  <si>
    <t xml:space="preserve">Data return and deletion on exit.</t>
  </si>
  <si>
    <t xml:space="preserve">Schedule 6</t>
  </si>
  <si>
    <t xml:space="preserve">MFS-DV-2021</t>
  </si>
  <si>
    <t xml:space="preserve">Certified deletion of data and backups within 30 days of exit.</t>
  </si>
  <si>
    <t xml:space="preserve">Contract requires deletion but not certification of deletion.</t>
  </si>
  <si>
    <t xml:space="preserve">Side letter requiring certificate naming systems and backups</t>
  </si>
  <si>
    <t xml:space="preserve">Awaiting supplier response</t>
  </si>
  <si>
    <t xml:space="preserve">CON-009</t>
  </si>
  <si>
    <t xml:space="preserve">MFS-CW-2024</t>
  </si>
  <si>
    <t xml:space="preserve">Confidentiality and key control obligations.</t>
  </si>
  <si>
    <t xml:space="preserve">Clause 9</t>
  </si>
  <si>
    <t xml:space="preserve">Scheduled and event-driven oversight (T10). Flags distinguish a LATE review from a CONFIRMED finding.</t>
  </si>
  <si>
    <t xml:space="preserve">Rules: The latest completed review's next-review date drives the Inventory 'next scheduled review'; otherwise the tier interval from Settings is used. Intervals are teaching defaults.</t>
  </si>
  <si>
    <t xml:space="preserve">e.g. MON-001</t>
  </si>
  <si>
    <t xml:space="preserve">e.g. Scheduled assurance review</t>
  </si>
  <si>
    <t xml:space="preserve">e.g. 2026-09-15</t>
  </si>
  <si>
    <t xml:space="preserve">e.g. 2027-03-15</t>
  </si>
  <si>
    <t xml:space="preserve">e.g. Platform availability %</t>
  </si>
  <si>
    <t xml:space="preserve">e.g. 99.82</t>
  </si>
  <si>
    <t xml:space="preserve">e.g. 99.9</t>
  </si>
  <si>
    <t xml:space="preserve">e.g. Lower is worse</t>
  </si>
  <si>
    <t xml:space="preserve">e.g. Completed</t>
  </si>
  <si>
    <t xml:space="preserve">Monitoring event ID</t>
  </si>
  <si>
    <t xml:space="preserve">Monitoring type</t>
  </si>
  <si>
    <t xml:space="preserve">Review date (planned or actual)</t>
  </si>
  <si>
    <t xml:space="preserve">Next review date</t>
  </si>
  <si>
    <t xml:space="preserve">Evidence reference</t>
  </si>
  <si>
    <t xml:space="preserve">Findings</t>
  </si>
  <si>
    <t xml:space="preserve">KRI name</t>
  </si>
  <si>
    <t xml:space="preserve">KRI value</t>
  </si>
  <si>
    <t xml:space="preserve">Threshold</t>
  </si>
  <si>
    <t xml:space="preserve">Threshold direction</t>
  </si>
  <si>
    <t xml:space="preserve">Escalation action</t>
  </si>
  <si>
    <t xml:space="preserve">Completion status</t>
  </si>
  <si>
    <t xml:space="preserve">KRI status</t>
  </si>
  <si>
    <t xml:space="preserve">Review timing</t>
  </si>
  <si>
    <t xml:space="preserve">Latest completed review key (helper)</t>
  </si>
  <si>
    <t xml:space="preserve">MON-001</t>
  </si>
  <si>
    <t xml:space="preserve">EV-001, EV-002, EV-003</t>
  </si>
  <si>
    <t xml:space="preserve">F-001, F-002</t>
  </si>
  <si>
    <t xml:space="preserve">Open High findings</t>
  </si>
  <si>
    <t xml:space="preserve">Reported to Risk Committee</t>
  </si>
  <si>
    <t xml:space="preserve">MON-002</t>
  </si>
  <si>
    <t xml:space="preserve">Platform availability % (rolling 90 days)</t>
  </si>
  <si>
    <t xml:space="preserve">Raised in supplier service review</t>
  </si>
  <si>
    <t xml:space="preserve">MON-003</t>
  </si>
  <si>
    <t xml:space="preserve">EV-005, EV-006, EV-007</t>
  </si>
  <si>
    <t xml:space="preserve">F-003, F-004</t>
  </si>
  <si>
    <t xml:space="preserve">Critical or high vulnerabilities open &gt; 30 days</t>
  </si>
  <si>
    <t xml:space="preserve">Approval deferred (DEC-003)</t>
  </si>
  <si>
    <t xml:space="preserve">MON-004</t>
  </si>
  <si>
    <t xml:space="preserve">MON-005</t>
  </si>
  <si>
    <t xml:space="preserve">L. Chen</t>
  </si>
  <si>
    <t xml:space="preserve">MON-006</t>
  </si>
  <si>
    <t xml:space="preserve">MON-007</t>
  </si>
  <si>
    <t xml:space="preserve">15 Supplier Incident Log</t>
  </si>
  <si>
    <t xml:space="preserve">GRC oversight record of supplier incidents (T10). NOT a replacement for the organisation's incident response system.</t>
  </si>
  <si>
    <t xml:space="preserve">Rules: The workbook never infers that an incident is a reportable personal data breach. Record the Privacy/Legal status as determined by those teams.</t>
  </si>
  <si>
    <t xml:space="preserve">e.g. INC-001</t>
  </si>
  <si>
    <t xml:space="preserve">e.g. SUP-002</t>
  </si>
  <si>
    <t xml:space="preserve">e.g. 2026-09-22 14:30</t>
  </si>
  <si>
    <t xml:space="preserve">e.g. Moderate</t>
  </si>
  <si>
    <t xml:space="preserve">Incident ID</t>
  </si>
  <si>
    <t xml:space="preserve">Date and time notified</t>
  </si>
  <si>
    <t xml:space="preserve">Incident description</t>
  </si>
  <si>
    <t xml:space="preserve">Known affected services</t>
  </si>
  <si>
    <t xml:space="preserve">Confirmed facts</t>
  </si>
  <si>
    <t xml:space="preserve">Suspected exposure</t>
  </si>
  <si>
    <t xml:space="preserve">Unresolved questions</t>
  </si>
  <si>
    <t xml:space="preserve">Business impact</t>
  </si>
  <si>
    <t xml:space="preserve">Materiality (assessor judgement)</t>
  </si>
  <si>
    <t xml:space="preserve">Technical response owner</t>
  </si>
  <si>
    <t xml:space="preserve">Supplier contact or reference</t>
  </si>
  <si>
    <t xml:space="preserve">Relevant contractual notification requirement</t>
  </si>
  <si>
    <t xml:space="preserve">Privacy / Legal review status (user-entered)</t>
  </si>
  <si>
    <t xml:space="preserve">Required actions</t>
  </si>
  <si>
    <t xml:space="preserve">Related findings and risks</t>
  </si>
  <si>
    <t xml:space="preserve">Closure reference</t>
  </si>
  <si>
    <t xml:space="preserve">Within recent-incident window?</t>
  </si>
  <si>
    <t xml:space="preserve">Supplier risk reassessment indicator</t>
  </si>
  <si>
    <t xml:space="preserve">INC-001</t>
  </si>
  <si>
    <t xml:space="preserve">Supplier notified a credential-stuffing attempt against the support portal.</t>
  </si>
  <si>
    <t xml:space="preserve">Support ticket portal</t>
  </si>
  <si>
    <t xml:space="preserve">Automated login attempts from multiple IPs blocked by supplier controls; no confirmed account compromise.</t>
  </si>
  <si>
    <t xml:space="preserve">Possible exposure of up to 40 customer contact records (unconfirmed).</t>
  </si>
  <si>
    <t xml:space="preserve">Whether any agent accounts were accessed; sources and timing of attempts.</t>
  </si>
  <si>
    <t xml:space="preserve">Limited so far; potential customer contact data exposure.</t>
  </si>
  <si>
    <t xml:space="preserve">SL-INC-2026-0912</t>
  </si>
  <si>
    <t xml:space="preserve">72 hours (Schedule 4 s5, amended)</t>
  </si>
  <si>
    <t xml:space="preserve">Obtain supplier incident report; confirm no agent accounts accessed.</t>
  </si>
  <si>
    <t xml:space="preserve">TPR-004; F-004</t>
  </si>
  <si>
    <t xml:space="preserve">INC-002</t>
  </si>
  <si>
    <t xml:space="preserve">Regional network degradation affecting hosted services for 2 hours 40 minutes.</t>
  </si>
  <si>
    <t xml:space="preserve">Online account servicing platform</t>
  </si>
  <si>
    <t xml:space="preserve">Degradation caused by upstream network provider fault; services recovered after traffic rerouting.</t>
  </si>
  <si>
    <t xml:space="preserve">Customer logins slow or failing for about 2h40m.</t>
  </si>
  <si>
    <t xml:space="preserve">NW-PIR-2026-0815</t>
  </si>
  <si>
    <t xml:space="preserve">Within 24 hours - met</t>
  </si>
  <si>
    <t xml:space="preserve">Supplier post-incident review received.</t>
  </si>
  <si>
    <t xml:space="preserve">Supplier PIR NW-PIR-2026-0815 reviewed 2026-08-20</t>
  </si>
  <si>
    <t xml:space="preserve">16 Dependency &amp; Concentration Register</t>
  </si>
  <si>
    <t xml:space="preserve">Direct and indirect supplier dependencies (T11). Shows how many registered suppliers share the same declared underlying provider.</t>
  </si>
  <si>
    <t xml:space="preserve">Rules: A supplier count is an INDICATOR of concentration, not a determination of concentration risk, and never labels a provider unacceptable on its own. Provider names must match exactly.</t>
  </si>
  <si>
    <t xml:space="preserve">e.g. DEP-001</t>
  </si>
  <si>
    <t xml:space="preserve">e.g. Atlas Data Centres Ltd</t>
  </si>
  <si>
    <t xml:space="preserve">e.g. Data centre / colocation</t>
  </si>
  <si>
    <t xml:space="preserve">e.g. Difficult</t>
  </si>
  <si>
    <t xml:space="preserve">e.g. TPR-003</t>
  </si>
  <si>
    <t xml:space="preserve">e.g. Under review</t>
  </si>
  <si>
    <t xml:space="preserve">Dependency ID</t>
  </si>
  <si>
    <t xml:space="preserve">Direct supplier ID</t>
  </si>
  <si>
    <t xml:space="preserve">Related business service</t>
  </si>
  <si>
    <t xml:space="preserve">Fourth-party or underlying provider (use identical spelling)</t>
  </si>
  <si>
    <t xml:space="preserve">Shared technology or infrastructure</t>
  </si>
  <si>
    <t xml:space="preserve">Geographic location or region</t>
  </si>
  <si>
    <t xml:space="preserve">Dependency type</t>
  </si>
  <si>
    <t xml:space="preserve">Substitutability</t>
  </si>
  <si>
    <t xml:space="preserve">Known alternative or continuity arrangement</t>
  </si>
  <si>
    <t xml:space="preserve">Risk reference</t>
  </si>
  <si>
    <t xml:space="preserve">Assessment status</t>
  </si>
  <si>
    <t xml:space="preserve">Reviewer notes</t>
  </si>
  <si>
    <t xml:space="preserve">First supplier-provider pair (helper)</t>
  </si>
  <si>
    <t xml:space="preserve">First row for provider (helper)</t>
  </si>
  <si>
    <t xml:space="preserve">Registered suppliers declaring this provider</t>
  </si>
  <si>
    <t xml:space="preserve">Concentration indicator</t>
  </si>
  <si>
    <t xml:space="preserve">DEP-001</t>
  </si>
  <si>
    <t xml:space="preserve">Online account servicing hosting</t>
  </si>
  <si>
    <t xml:space="preserve">Atlas Data Centres Ltd</t>
  </si>
  <si>
    <t xml:space="preserve">Colocation facility, UK South</t>
  </si>
  <si>
    <t xml:space="preserve">United Kingdom</t>
  </si>
  <si>
    <t xml:space="preserve">Facility outage would affect primary hosting region.</t>
  </si>
  <si>
    <t xml:space="preserve">Secondary region failover for some services</t>
  </si>
  <si>
    <t xml:space="preserve">Facility declared by supplier.</t>
  </si>
  <si>
    <t xml:space="preserve">DEP-002</t>
  </si>
  <si>
    <t xml:space="preserve">Support platform hosting</t>
  </si>
  <si>
    <t xml:space="preserve">Outage would take down ticketing platform.</t>
  </si>
  <si>
    <t xml:space="preserve">None declared</t>
  </si>
  <si>
    <t xml:space="preserve">Declared in questionnaire.</t>
  </si>
  <si>
    <t xml:space="preserve">DEP-003</t>
  </si>
  <si>
    <t xml:space="preserve">Loss of backup storage would affect recovery capability.</t>
  </si>
  <si>
    <t xml:space="preserve">Migration to Northwind under way</t>
  </si>
  <si>
    <t xml:space="preserve">Shared with SUP-001 and SUP-002.</t>
  </si>
  <si>
    <t xml:space="preserve">DEP-004</t>
  </si>
  <si>
    <t xml:space="preserve">Network connectivity</t>
  </si>
  <si>
    <t xml:space="preserve">TransitCore Networks</t>
  </si>
  <si>
    <t xml:space="preserve">IP transit</t>
  </si>
  <si>
    <t xml:space="preserve">Upstream fault caused INC-002.</t>
  </si>
  <si>
    <t xml:space="preserve">Multiple carriers</t>
  </si>
  <si>
    <t xml:space="preserve">DEP-005</t>
  </si>
  <si>
    <t xml:space="preserve">Ticket notification emails</t>
  </si>
  <si>
    <t xml:space="preserve">MailRelay Global Inc.</t>
  </si>
  <si>
    <t xml:space="preserve">Email delivery API</t>
  </si>
  <si>
    <t xml:space="preserve">United States</t>
  </si>
  <si>
    <t xml:space="preserve">Notification delays only.</t>
  </si>
  <si>
    <t xml:space="preserve">Alternative relay providers available</t>
  </si>
  <si>
    <t xml:space="preserve">Possible non-UK processing; linked to F-003.</t>
  </si>
  <si>
    <t xml:space="preserve">DEP-006</t>
  </si>
  <si>
    <t xml:space="preserve">Access control system</t>
  </si>
  <si>
    <t xml:space="preserve">KeyGuard Systems Ltd</t>
  </si>
  <si>
    <t xml:space="preserve">Key management platform</t>
  </si>
  <si>
    <t xml:space="preserve">Limited.</t>
  </si>
  <si>
    <t xml:space="preserve">Manual key log</t>
  </si>
  <si>
    <t xml:space="preserve">DEP-007</t>
  </si>
  <si>
    <t xml:space="preserve">Backup software</t>
  </si>
  <si>
    <t xml:space="preserve">VaultSoft Inc.</t>
  </si>
  <si>
    <t xml:space="preserve">Backup agent</t>
  </si>
  <si>
    <t xml:space="preserve">Backup software failure affects restore.</t>
  </si>
  <si>
    <t xml:space="preserve">Security and risk-related exit activities (T11). One row per action; each checklist item must be covered for the supplier.</t>
  </si>
  <si>
    <t xml:space="preserve">Rules: 'Ready for closure review' is a calculation, NOT a formal approval. The final approval reference is a separate user-entered record. Open mandatory actions always block readiness.</t>
  </si>
  <si>
    <t xml:space="preserve">e.g. EXT-001</t>
  </si>
  <si>
    <t xml:space="preserve">e.g. SUP-005</t>
  </si>
  <si>
    <t xml:space="preserve">e.g. Replacement</t>
  </si>
  <si>
    <t xml:space="preserve">e.g. 2026-12-31</t>
  </si>
  <si>
    <t xml:space="preserve">e.g. Access revoked</t>
  </si>
  <si>
    <t xml:space="preserve">e.g. 2026-12-10</t>
  </si>
  <si>
    <t xml:space="preserve">e.g. TPR-009</t>
  </si>
  <si>
    <t xml:space="preserve">Exit ID</t>
  </si>
  <si>
    <t xml:space="preserve">Reason for exit</t>
  </si>
  <si>
    <t xml:space="preserve">Exit type</t>
  </si>
  <si>
    <t xml:space="preserve">Planned exit date</t>
  </si>
  <si>
    <t xml:space="preserve">Replacement supplier ID (if any)</t>
  </si>
  <si>
    <t xml:space="preserve">Checklist item covered</t>
  </si>
  <si>
    <t xml:space="preserve">Mandatory?</t>
  </si>
  <si>
    <t xml:space="preserve">Exit action</t>
  </si>
  <si>
    <t xml:space="preserve">Action owner</t>
  </si>
  <si>
    <t xml:space="preserve">Verification evidence (or justification if not applicable)</t>
  </si>
  <si>
    <t xml:space="preserve">Open risk reference</t>
  </si>
  <si>
    <t xml:space="preserve">Closure status</t>
  </si>
  <si>
    <t xml:space="preserve">Final approval or decision reference</t>
  </si>
  <si>
    <t xml:space="preserve">Counts as done?</t>
  </si>
  <si>
    <t xml:space="preserve">Supplier closure-readiness</t>
  </si>
  <si>
    <t xml:space="preserve">EXT-001</t>
  </si>
  <si>
    <t xml:space="preserve">Contract end and consolidation of backups with Northwind</t>
  </si>
  <si>
    <t xml:space="preserve">Confirm exit scope with business owner and Datavault</t>
  </si>
  <si>
    <t xml:space="preserve">P. Dunn</t>
  </si>
  <si>
    <t xml:space="preserve">Exit scope memo EXIT-SCOPE-001</t>
  </si>
  <si>
    <t xml:space="preserve">EXT-002</t>
  </si>
  <si>
    <t xml:space="preserve">Identify direct and fourth-party dependencies of the backup service</t>
  </si>
  <si>
    <t xml:space="preserve">Dependency register DEP-003, DEP-007</t>
  </si>
  <si>
    <t xml:space="preserve">EXT-003</t>
  </si>
  <si>
    <t xml:space="preserve">Assess Northwind as replacement for backup service</t>
  </si>
  <si>
    <t xml:space="preserve">EXT-004</t>
  </si>
  <si>
    <t xml:space="preserve">Export final backup catalogue and data per contract</t>
  </si>
  <si>
    <t xml:space="preserve">EXT-005</t>
  </si>
  <si>
    <t xml:space="preserve">Validate migration by restore test from new provider</t>
  </si>
  <si>
    <t xml:space="preserve">EXT-006</t>
  </si>
  <si>
    <t xml:space="preserve">Revoke portal and agent access for Datavault</t>
  </si>
  <si>
    <t xml:space="preserve">EXT-007</t>
  </si>
  <si>
    <t xml:space="preserve">Rotate or revoke API keys and backup agent credentials</t>
  </si>
  <si>
    <t xml:space="preserve">EXT-008</t>
  </si>
  <si>
    <t xml:space="preserve">Obtain certified deletion of data retained by Datavault</t>
  </si>
  <si>
    <t xml:space="preserve">EXT-009</t>
  </si>
  <si>
    <t xml:space="preserve">Document retention exceptions in backups and agree deletion dates</t>
  </si>
  <si>
    <t xml:space="preserve">EXT-010</t>
  </si>
  <si>
    <t xml:space="preserve">Review contract exit and survival obligations</t>
  </si>
  <si>
    <t xml:space="preserve">Legal review note MFS-LEG-2026-077</t>
  </si>
  <si>
    <t xml:space="preserve">EXT-011</t>
  </si>
  <si>
    <t xml:space="preserve">Consider concentration impact of migration to SUP-001</t>
  </si>
  <si>
    <t xml:space="preserve">Concentration noted: Atlas shared by SUP-001, SUP-002, SUP-005 (DEP-001..003)</t>
  </si>
  <si>
    <t xml:space="preserve">EXT-012</t>
  </si>
  <si>
    <t xml:space="preserve">Transfer or disposition F-006 and F-007</t>
  </si>
  <si>
    <t xml:space="preserve">EXT-013</t>
  </si>
  <si>
    <t xml:space="preserve">Record closure decision with approval reference</t>
  </si>
  <si>
    <t xml:space="preserve">Supplier Assessment Report</t>
  </si>
  <si>
    <t xml:space="preserve">Collects recorded facts from the registers. It does NOT generate an approval recommendation: the analyst's recommendation and the authorised decision come from sheet 12.</t>
  </si>
  <si>
    <t xml:space="preserve">Select Supplier ID:</t>
  </si>
  <si>
    <t xml:space="preserve">1. Supplier profile</t>
  </si>
  <si>
    <t xml:space="preserve">Relationship owner</t>
  </si>
  <si>
    <t xml:space="preserve">Relationship status</t>
  </si>
  <si>
    <t xml:space="preserve">Contract period</t>
  </si>
  <si>
    <t xml:space="preserve">2. Assessment date and scope</t>
  </si>
  <si>
    <t xml:space="preserve">Scope statement</t>
  </si>
  <si>
    <t xml:space="preserve">3. Supplier criticality (proposed tier unless approved)</t>
  </si>
  <si>
    <t xml:space="preserve">Rating (1-3)</t>
  </si>
  <si>
    <t xml:space="preserve">Replaceability</t>
  </si>
  <si>
    <t xml:space="preserve">Proposed tier</t>
  </si>
  <si>
    <t xml:space="preserve">4. Key inherent risks</t>
  </si>
  <si>
    <t xml:space="preserve">Category</t>
  </si>
  <si>
    <t xml:space="preserve">Assessed on</t>
  </si>
  <si>
    <t xml:space="preserve">5. Due diligence and evidence status</t>
  </si>
  <si>
    <t xml:space="preserve">Questions selected / applicable / answered</t>
  </si>
  <si>
    <t xml:space="preserve">Questionnaire administrative completion</t>
  </si>
  <si>
    <t xml:space="preserve">Evidence items / flags</t>
  </si>
  <si>
    <t xml:space="preserve">Control assessments</t>
  </si>
  <si>
    <t xml:space="preserve">Type</t>
  </si>
  <si>
    <t xml:space="preserve">Title / description</t>
  </si>
  <si>
    <t xml:space="preserve">Verification</t>
  </si>
  <si>
    <t xml:space="preserve">Sufficiency</t>
  </si>
  <si>
    <t xml:space="preserve">Scope limited?</t>
  </si>
  <si>
    <t xml:space="preserve">Currency</t>
  </si>
  <si>
    <t xml:space="preserve">6. Material control findings (active; evidence gaps shown separately from confirmed weaknesses)</t>
  </si>
  <si>
    <t xml:space="preserve">Active findings by type</t>
  </si>
  <si>
    <t xml:space="preserve">Overdue?</t>
  </si>
  <si>
    <t xml:space="preserve">Related risk</t>
  </si>
  <si>
    <t xml:space="preserve">7-8. Current residual risk and risk appetite position (current residual only; target shown separately)</t>
  </si>
  <si>
    <t xml:space="preserve">Highest current residual score</t>
  </si>
  <si>
    <t xml:space="preserve">Risks with incomplete residual assessment</t>
  </si>
  <si>
    <t xml:space="preserve">Appetite position</t>
  </si>
  <si>
    <t xml:space="preserve">Residual band</t>
  </si>
  <si>
    <t xml:space="preserve">Residual rationale</t>
  </si>
  <si>
    <t xml:space="preserve">Residual score</t>
  </si>
  <si>
    <t xml:space="preserve">9. Open treatment actions</t>
  </si>
  <si>
    <t xml:space="preserve">Action counts</t>
  </si>
  <si>
    <t xml:space="preserve">Action ID</t>
  </si>
  <si>
    <t xml:space="preserve">Approach</t>
  </si>
  <si>
    <t xml:space="preserve">Due</t>
  </si>
  <si>
    <t xml:space="preserve">State</t>
  </si>
  <si>
    <t xml:space="preserve">Accountable owner</t>
  </si>
  <si>
    <t xml:space="preserve">10. Open contractual gaps</t>
  </si>
  <si>
    <t xml:space="preserve">Disposition</t>
  </si>
  <si>
    <t xml:space="preserve">Required amendment</t>
  </si>
  <si>
    <t xml:space="preserve">11. GRC analyst recommendation (entered in sheet 12; never generated from scores)</t>
  </si>
  <si>
    <t xml:space="preserve">Analyst recommendation</t>
  </si>
  <si>
    <t xml:space="preserve">Recommendation rationale</t>
  </si>
  <si>
    <t xml:space="preserve">12. Pending or completed decision (user-entered record)</t>
  </si>
  <si>
    <t xml:space="preserve">Final decision</t>
  </si>
  <si>
    <t xml:space="preserve">Authorisation status</t>
  </si>
  <si>
    <t xml:space="preserve">Decision date / expiry or review</t>
  </si>
  <si>
    <t xml:space="preserve">13. Decision records and approval references</t>
  </si>
  <si>
    <t xml:space="preserve">Evidence / approval reference</t>
  </si>
  <si>
    <t xml:space="preserve">Expiry / review</t>
  </si>
  <si>
    <t xml:space="preserve">Authorisation</t>
  </si>
  <si>
    <t xml:space="preserve">This report is an educational summary of user-entered records. It is not an independent audit, a regulatory certification or a legally binding approval. Approval records must be backed by independently retained authorisation evidence.</t>
  </si>
  <si>
    <t xml:space="preserve">Portfolio Dashboard</t>
  </si>
  <si>
    <t xml:space="preserve">Every value is a live formula over the registers (no manual totals). Decision-support summary - not an automated certification of supplier security.</t>
  </si>
  <si>
    <t xml:space="preserve">1. Supplier portfolio</t>
  </si>
  <si>
    <t xml:space="preserve">Total registered suppliers</t>
  </si>
  <si>
    <t xml:space="preserve">High-impact suppliers</t>
  </si>
  <si>
    <t xml:space="preserve">Medium-impact suppliers</t>
  </si>
  <si>
    <t xml:space="preserve">Low-impact suppliers</t>
  </si>
  <si>
    <t xml:space="preserve">Suppliers with incomplete or missing criticality assessment</t>
  </si>
  <si>
    <t xml:space="preserve">Tier counts reconcile to total?</t>
  </si>
  <si>
    <t xml:space="preserve">Suppliers with overdue scheduled review (late - not a finding)</t>
  </si>
  <si>
    <t xml:space="preserve">Suppliers with review due soon</t>
  </si>
  <si>
    <t xml:space="preserve">Suppliers with no authorised decision (none or pending)</t>
  </si>
  <si>
    <t xml:space="preserve">Suppliers in exit</t>
  </si>
  <si>
    <t xml:space="preserve">Supplier records incomplete</t>
  </si>
  <si>
    <t xml:space="preserve">2. Risk exposure (current residual risk)</t>
  </si>
  <si>
    <t xml:space="preserve">Risks recorded</t>
  </si>
  <si>
    <t xml:space="preserve">Residual Critical</t>
  </si>
  <si>
    <t xml:space="preserve">Residual High</t>
  </si>
  <si>
    <t xml:space="preserve">Residual Moderate</t>
  </si>
  <si>
    <t xml:space="preserve">Residual Low</t>
  </si>
  <si>
    <t xml:space="preserve">Residual assessment incomplete (never counted as Low)</t>
  </si>
  <si>
    <t xml:space="preserve">Open High and Critical residual risks (accepted risks included)</t>
  </si>
  <si>
    <t xml:space="preserve">Risks above risk appetite</t>
  </si>
  <si>
    <t xml:space="preserve">Risks above appetite WITH an acceptance or exception recorded</t>
  </si>
  <si>
    <t xml:space="preserve">3. Active findings by type and severity (evidence gaps kept separate from confirmed weaknesses)</t>
  </si>
  <si>
    <t xml:space="preserve">Severity not set</t>
  </si>
  <si>
    <t xml:space="preserve">Total</t>
  </si>
  <si>
    <t xml:space="preserve">Total active findings</t>
  </si>
  <si>
    <t xml:space="preserve">Active findings reconcile to register?</t>
  </si>
  <si>
    <t xml:space="preserve">Overdue findings</t>
  </si>
  <si>
    <t xml:space="preserve">4. Treatment and remediation</t>
  </si>
  <si>
    <t xml:space="preserve">Open treatment actions</t>
  </si>
  <si>
    <t xml:space="preserve">Overdue remediation actions (includes delivered but unverified past due)</t>
  </si>
  <si>
    <t xml:space="preserve">Delivered (self-reported) awaiting verification</t>
  </si>
  <si>
    <t xml:space="preserve">5. Evidence and control assurance</t>
  </si>
  <si>
    <t xml:space="preserve">Evidence expired (where an expiry date applies)</t>
  </si>
  <si>
    <t xml:space="preserve">Evidence approaching expiry</t>
  </si>
  <si>
    <t xml:space="preserve">Evidence with historical reporting period (relevance review, not invalid)</t>
  </si>
  <si>
    <t xml:space="preserve">Evidence verification pending</t>
  </si>
  <si>
    <t xml:space="preserve">Evidence with important scope limitation</t>
  </si>
  <si>
    <t xml:space="preserve">Evidence follow-ups overdue</t>
  </si>
  <si>
    <t xml:space="preserve">Control assessments: confirmed weakness</t>
  </si>
  <si>
    <t xml:space="preserve">Control assessments: evidence insufficient (assurance limitation, NOT a confirmed failure)</t>
  </si>
  <si>
    <t xml:space="preserve">Control assessments: exception identified</t>
  </si>
  <si>
    <t xml:space="preserve">6. Decisions and approvals (user-entered records)</t>
  </si>
  <si>
    <t xml:space="preserve">Pending decisions (no authorised decision yet)</t>
  </si>
  <si>
    <t xml:space="preserve">Records with incomplete authorisation (not treated as authorised)</t>
  </si>
  <si>
    <t xml:space="preserve">Decisions with review/expiry due soon</t>
  </si>
  <si>
    <t xml:space="preserve">Decisions expired - re-approval required</t>
  </si>
  <si>
    <t xml:space="preserve">7. Incidents, contracts, dependencies</t>
  </si>
  <si>
    <t xml:space="preserve">Open supplier incidents</t>
  </si>
  <si>
    <t xml:space="preserve">Recent incidents (within configured window)</t>
  </si>
  <si>
    <t xml:space="preserve">Open contractual gaps</t>
  </si>
  <si>
    <t xml:space="preserve">Shared fourth-party providers (declared by 2+ registered suppliers - indicator only)</t>
  </si>
  <si>
    <t xml:space="preserve">8. Workbook integrity checks (count of cells starting CHECK)</t>
  </si>
  <si>
    <t xml:space="preserve">Issues: 03 Supplier Inventory</t>
  </si>
  <si>
    <t xml:space="preserve">Issues: 04 Criticality</t>
  </si>
  <si>
    <t xml:space="preserve">Issues: 05 Risk Register</t>
  </si>
  <si>
    <t xml:space="preserve">Issues: 06 Question Bank</t>
  </si>
  <si>
    <t xml:space="preserve">Issues: 07 Questionnaire</t>
  </si>
  <si>
    <t xml:space="preserve">Issues: 08 Evidence</t>
  </si>
  <si>
    <t xml:space="preserve">Issues: 09 Control Assessment</t>
  </si>
  <si>
    <t xml:space="preserve">Issues: 09 Control methodology consistency</t>
  </si>
  <si>
    <t xml:space="preserve">Issues: 10 Findings</t>
  </si>
  <si>
    <t xml:space="preserve">Issues: 11 Treatment</t>
  </si>
  <si>
    <t xml:space="preserve">Issues: 11 Acceptance decision links</t>
  </si>
  <si>
    <t xml:space="preserve">Issues: 12 Decisions</t>
  </si>
  <si>
    <t xml:space="preserve">Issues: 05 Risk decision references</t>
  </si>
  <si>
    <t xml:space="preserve">Issues: 13 Contracts</t>
  </si>
  <si>
    <t xml:space="preserve">Issues: 14 Monitoring</t>
  </si>
  <si>
    <t xml:space="preserve">Issues: 15 Incidents</t>
  </si>
  <si>
    <t xml:space="preserve">Issues: 16 Dependencies</t>
  </si>
  <si>
    <t xml:space="preserve">Issues: 17 Exit tracker</t>
  </si>
  <si>
    <t xml:space="preserve">Dashboard reconciliations failing</t>
  </si>
  <si>
    <t xml:space="preserve">Total integrity issues</t>
  </si>
  <si>
    <t xml:space="preserve">Overall integrity status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</si>
</sst>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yyyy\-mm\-dd"/>
    <numFmt numFmtId="166" formatCode="General"/>
    <numFmt numFmtId="167" formatCode="0;\-0;;@"/>
    <numFmt numFmtId="168" formatCode="yyyy\-mm\-dd\ hh:mm"/>
  </numFmts>
  <fonts count="3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8"/>
      <color rgb="FF1F3864"/>
      <name val="Arial"/>
      <family val="0"/>
      <charset val="1"/>
    </font>
    <font>
      <i val="true"/>
      <sz val="10"/>
      <color rgb="FF404040"/>
      <name val="Arial"/>
      <family val="0"/>
      <charset val="1"/>
    </font>
    <font>
      <b val="true"/>
      <sz val="10"/>
      <color rgb="FF9C0006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b val="true"/>
      <sz val="10"/>
      <name val="Arial"/>
      <family val="0"/>
      <charset val="1"/>
    </font>
    <font>
      <sz val="10"/>
      <name val="Arial"/>
      <family val="0"/>
      <charset val="1"/>
    </font>
    <font>
      <u val="single"/>
      <sz val="10"/>
      <color rgb="FF0563C1"/>
      <name val="Arial"/>
      <family val="0"/>
      <charset val="1"/>
    </font>
    <font>
      <sz val="10"/>
      <color rgb="FF595959"/>
      <name val="Arial"/>
      <family val="0"/>
      <charset val="1"/>
    </font>
    <font>
      <b val="true"/>
      <sz val="10"/>
      <color rgb="FF0000FF"/>
      <name val="Arial"/>
      <family val="0"/>
      <charset val="1"/>
    </font>
    <font>
      <b val="true"/>
      <sz val="10"/>
      <color rgb="FF000000"/>
      <name val="Arial"/>
      <family val="0"/>
      <charset val="1"/>
    </font>
    <font>
      <b val="true"/>
      <sz val="11"/>
      <color rgb="FF7F6000"/>
      <name val="Arial"/>
      <family val="0"/>
      <charset val="1"/>
    </font>
    <font>
      <b val="true"/>
      <sz val="11"/>
      <color rgb="FF9C0006"/>
      <name val="Arial"/>
      <family val="0"/>
      <charset val="1"/>
    </font>
    <font>
      <b val="true"/>
      <sz val="11"/>
      <color rgb="FF006100"/>
      <name val="Arial"/>
      <family val="0"/>
      <charset val="1"/>
    </font>
    <font>
      <b val="true"/>
      <sz val="14"/>
      <color rgb="FF1F3864"/>
      <name val="Arial"/>
      <family val="0"/>
      <charset val="1"/>
    </font>
    <font>
      <sz val="10"/>
      <color rgb="FF0000FF"/>
      <name val="Arial"/>
      <family val="0"/>
      <charset val="1"/>
    </font>
    <font>
      <i val="true"/>
      <sz val="9"/>
      <color rgb="FF595959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i val="true"/>
      <sz val="10"/>
      <color rgb="FF595959"/>
      <name val="Arial"/>
      <family val="0"/>
      <charset val="1"/>
    </font>
    <font>
      <b val="true"/>
      <sz val="8"/>
      <color rgb="FFFFFFFF"/>
      <name val="Arial"/>
      <family val="0"/>
      <charset val="1"/>
    </font>
    <font>
      <i val="true"/>
      <sz val="8"/>
      <color rgb="FF7F7F7F"/>
      <name val="Arial"/>
      <family val="0"/>
      <charset val="1"/>
    </font>
    <font>
      <sz val="10"/>
      <color rgb="FF000000"/>
      <name val="Arial"/>
      <family val="0"/>
      <charset val="1"/>
    </font>
    <font>
      <b val="true"/>
      <sz val="16"/>
      <color rgb="FF1F3864"/>
      <name val="Arial"/>
      <family val="0"/>
      <charset val="1"/>
    </font>
    <font>
      <b val="true"/>
      <sz val="12"/>
      <color rgb="FF0000FF"/>
      <name val="Arial"/>
      <family val="0"/>
      <charset val="1"/>
    </font>
    <font>
      <b val="true"/>
      <sz val="12"/>
      <name val="Arial"/>
      <family val="0"/>
      <charset val="1"/>
    </font>
    <font>
      <b val="true"/>
      <sz val="9"/>
      <color rgb="FFFFFFFF"/>
      <name val="Arial"/>
      <family val="0"/>
      <charset val="1"/>
    </font>
    <font>
      <b val="true"/>
      <sz val="9"/>
      <name val="Arial"/>
      <family val="0"/>
      <charset val="1"/>
    </font>
    <font>
      <sz val="9"/>
      <name val="Arial"/>
      <family val="0"/>
      <charset val="1"/>
    </font>
    <font>
      <i val="true"/>
      <sz val="8"/>
      <color rgb="FF595959"/>
      <name val="Arial"/>
      <family val="0"/>
      <charset val="1"/>
    </font>
    <font>
      <b val="true"/>
      <sz val="10"/>
      <color rgb="FF7F6000"/>
      <name val="Arial"/>
      <family val="0"/>
      <charset val="1"/>
    </font>
    <font>
      <b val="true"/>
      <sz val="18"/>
      <color rgb="FF000000"/>
      <name val="Calibri"/>
      <family val="2"/>
    </font>
    <font>
      <sz val="10"/>
      <color rgb="FF000000"/>
      <name val="Calibri"/>
      <family val="2"/>
    </font>
  </fonts>
  <fills count="16">
    <fill>
      <patternFill patternType="none"/>
    </fill>
    <fill>
      <patternFill patternType="gray125"/>
    </fill>
    <fill>
      <patternFill patternType="solid">
        <fgColor rgb="FF1F3864"/>
        <bgColor rgb="FF404040"/>
      </patternFill>
    </fill>
    <fill>
      <patternFill patternType="solid">
        <fgColor rgb="FFDDEBF7"/>
        <bgColor rgb="FFEDEDED"/>
      </patternFill>
    </fill>
    <fill>
      <patternFill patternType="solid">
        <fgColor rgb="FFE2EFDA"/>
        <bgColor rgb="FFEDEDED"/>
      </patternFill>
    </fill>
    <fill>
      <patternFill patternType="solid">
        <fgColor rgb="FFEDEDED"/>
        <bgColor rgb="FFF2F2F2"/>
      </patternFill>
    </fill>
    <fill>
      <patternFill patternType="solid">
        <fgColor rgb="FFE4DFEC"/>
        <bgColor rgb="FFD9D9D9"/>
      </patternFill>
    </fill>
    <fill>
      <patternFill patternType="solid">
        <fgColor rgb="FFFFEB9C"/>
        <bgColor rgb="FFFFE699"/>
      </patternFill>
    </fill>
    <fill>
      <patternFill patternType="solid">
        <fgColor rgb="FFFFC7CE"/>
        <bgColor rgb="FFD9D9D9"/>
      </patternFill>
    </fill>
    <fill>
      <patternFill patternType="solid">
        <fgColor rgb="FFC6EFCE"/>
        <bgColor rgb="FFC6E0B4"/>
      </patternFill>
    </fill>
    <fill>
      <patternFill patternType="solid">
        <fgColor rgb="FF2F5597"/>
        <bgColor rgb="FF0563C1"/>
      </patternFill>
    </fill>
    <fill>
      <patternFill patternType="solid">
        <fgColor rgb="FF548235"/>
        <bgColor rgb="FF595959"/>
      </patternFill>
    </fill>
    <fill>
      <patternFill patternType="solid">
        <fgColor rgb="FF595959"/>
        <bgColor rgb="FF404040"/>
      </patternFill>
    </fill>
    <fill>
      <patternFill patternType="solid">
        <fgColor rgb="FF7F7F7F"/>
        <bgColor rgb="FF878787"/>
      </patternFill>
    </fill>
    <fill>
      <patternFill patternType="solid">
        <fgColor rgb="FF7030A0"/>
        <bgColor rgb="FF993366"/>
      </patternFill>
    </fill>
    <fill>
      <patternFill patternType="solid">
        <fgColor rgb="FFF2F2F2"/>
        <bgColor rgb="FFEDEDED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 diagonalUp="false" diagonalDown="false">
      <left/>
      <right/>
      <top/>
      <bottom style="thin">
        <color rgb="FFBFBFB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8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7" fillId="2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5" fontId="9" fillId="0" borderId="0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1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2" fillId="3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3" fillId="4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3" fillId="5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2" fillId="6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4" fillId="7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5" fillId="8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6" fillId="9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4" fontId="9" fillId="0" borderId="0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4" fontId="17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9" fillId="4" borderId="1" xfId="0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4" fontId="18" fillId="3" borderId="1" xfId="0" applyFont="true" applyBorder="true" applyAlignment="true" applyProtection="true">
      <alignment horizontal="left" vertical="bottom" textRotation="0" wrapText="true" indent="0" shrinkToFit="false"/>
      <protection locked="false" hidden="false"/>
    </xf>
    <xf numFmtId="165" fontId="18" fillId="3" borderId="1" xfId="0" applyFont="true" applyBorder="true" applyAlignment="true" applyProtection="true">
      <alignment horizontal="left" vertical="bottom" textRotation="0" wrapText="true" indent="0" shrinkToFit="false"/>
      <protection locked="false" hidden="false"/>
    </xf>
    <xf numFmtId="164" fontId="19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9" fillId="4" borderId="1" xfId="0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4" fontId="8" fillId="0" borderId="0" xfId="0" applyFont="true" applyBorder="false" applyAlignment="true" applyProtection="true">
      <alignment horizontal="general" vertical="bottom" textRotation="0" wrapText="true" indent="0" shrinkToFit="false"/>
      <protection locked="true" hidden="false"/>
    </xf>
    <xf numFmtId="164" fontId="18" fillId="3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18" fillId="3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8" fillId="4" borderId="1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20" fillId="1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8" fillId="0" borderId="1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4" fontId="18" fillId="3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20" fillId="10" borderId="1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4" fontId="21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20" fillId="11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9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8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6" fontId="9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20" fillId="12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2" fillId="1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22" fillId="11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23" fillId="0" borderId="0" xfId="0" applyFont="true" applyBorder="false" applyAlignment="true" applyProtection="true">
      <alignment horizontal="general" vertical="top" textRotation="0" wrapText="true" indent="0" shrinkToFit="false"/>
      <protection locked="true" hidden="false"/>
    </xf>
    <xf numFmtId="164" fontId="20" fillId="1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20" fillId="11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8" fillId="3" borderId="1" xfId="0" applyFont="true" applyBorder="true" applyAlignment="true" applyProtection="true">
      <alignment horizontal="general" vertical="top" textRotation="0" wrapText="false" indent="0" shrinkToFit="false"/>
      <protection locked="false" hidden="false"/>
    </xf>
    <xf numFmtId="165" fontId="18" fillId="3" borderId="1" xfId="0" applyFont="true" applyBorder="true" applyAlignment="true" applyProtection="true">
      <alignment horizontal="general" vertical="top" textRotation="0" wrapText="false" indent="0" shrinkToFit="false"/>
      <protection locked="false" hidden="false"/>
    </xf>
    <xf numFmtId="164" fontId="24" fillId="4" borderId="1" xfId="0" applyFont="true" applyBorder="true" applyAlignment="true" applyProtection="true">
      <alignment horizontal="general" vertical="top" textRotation="0" wrapText="false" indent="0" shrinkToFit="false"/>
      <protection locked="true" hidden="false"/>
    </xf>
    <xf numFmtId="165" fontId="24" fillId="4" borderId="1" xfId="0" applyFont="true" applyBorder="true" applyAlignment="true" applyProtection="true">
      <alignment horizontal="general" vertical="top" textRotation="0" wrapText="false" indent="0" shrinkToFit="false"/>
      <protection locked="true" hidden="false"/>
    </xf>
    <xf numFmtId="164" fontId="24" fillId="4" borderId="1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4" fontId="22" fillId="13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22" fillId="14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20" fillId="13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20" fillId="14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24" fillId="5" borderId="1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4" fontId="18" fillId="6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6" fontId="24" fillId="4" borderId="1" xfId="0" applyFont="true" applyBorder="true" applyAlignment="true" applyProtection="true">
      <alignment horizontal="general" vertical="top" textRotation="0" wrapText="false" indent="0" shrinkToFit="false"/>
      <protection locked="true" hidden="false"/>
    </xf>
    <xf numFmtId="167" fontId="24" fillId="4" borderId="1" xfId="0" applyFont="true" applyBorder="true" applyAlignment="true" applyProtection="true">
      <alignment horizontal="general" vertical="top" textRotation="0" wrapText="false" indent="0" shrinkToFit="false"/>
      <protection locked="true" hidden="false"/>
    </xf>
    <xf numFmtId="164" fontId="24" fillId="5" borderId="1" xfId="0" applyFont="true" applyBorder="true" applyAlignment="true" applyProtection="true">
      <alignment horizontal="general" vertical="top" textRotation="0" wrapText="false" indent="0" shrinkToFit="false"/>
      <protection locked="true" hidden="false"/>
    </xf>
    <xf numFmtId="165" fontId="18" fillId="6" borderId="1" xfId="0" applyFont="true" applyBorder="true" applyAlignment="true" applyProtection="true">
      <alignment horizontal="general" vertical="top" textRotation="0" wrapText="false" indent="0" shrinkToFit="false"/>
      <protection locked="false" hidden="false"/>
    </xf>
    <xf numFmtId="168" fontId="18" fillId="3" borderId="1" xfId="0" applyFont="true" applyBorder="true" applyAlignment="true" applyProtection="true">
      <alignment horizontal="general" vertical="top" textRotation="0" wrapText="false" indent="0" shrinkToFit="false"/>
      <protection locked="false" hidden="false"/>
    </xf>
    <xf numFmtId="164" fontId="2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26" fillId="3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27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4" fontId="28" fillId="13" borderId="0" xfId="0" applyFont="true" applyBorder="false" applyAlignment="true" applyProtection="true">
      <alignment horizontal="general" vertical="center" textRotation="0" wrapText="true" indent="0" shrinkToFit="false"/>
      <protection locked="true" hidden="false"/>
    </xf>
    <xf numFmtId="164" fontId="0" fillId="13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29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30" fillId="0" borderId="0" xfId="0" applyFont="true" applyBorder="false" applyAlignment="true" applyProtection="true">
      <alignment horizontal="general" vertical="top" textRotation="0" wrapText="true" indent="0" shrinkToFit="false"/>
      <protection locked="true" hidden="false"/>
    </xf>
    <xf numFmtId="166" fontId="29" fillId="0" borderId="0" xfId="0" applyFont="true" applyBorder="false" applyAlignment="true" applyProtection="true">
      <alignment horizontal="center" vertical="top" textRotation="0" wrapText="false" indent="0" shrinkToFit="false"/>
      <protection locked="true" hidden="false"/>
    </xf>
    <xf numFmtId="164" fontId="30" fillId="0" borderId="2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5" fontId="30" fillId="0" borderId="2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31" fillId="0" borderId="0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32" fillId="0" borderId="0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6" fontId="8" fillId="15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9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8" fillId="15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28" fillId="13" borderId="0" xfId="0" applyFont="true" applyBorder="false" applyAlignment="true" applyProtection="true">
      <alignment horizontal="center" vertical="bottom" textRotation="0" wrapText="true" indent="0" shrinkToFit="false"/>
      <protection locked="true" hidden="false"/>
    </xf>
    <xf numFmtId="166" fontId="8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32">
    <dxf>
      <font>
        <name val="Arial"/>
        <charset val="1"/>
        <family val="0"/>
        <b val="1"/>
        <color rgb="FF9C0006"/>
      </font>
      <fill>
        <patternFill>
          <bgColor rgb="FFFFC7CE"/>
        </patternFill>
      </fill>
    </dxf>
    <dxf>
      <font>
        <name val="Arial"/>
        <charset val="1"/>
        <family val="0"/>
        <b val="1"/>
        <color rgb="FF006100"/>
      </font>
      <fill>
        <patternFill>
          <bgColor rgb="FFC6EFCE"/>
        </patternFill>
      </fill>
    </dxf>
    <dxf>
      <font>
        <name val="Arial"/>
        <charset val="1"/>
        <family val="0"/>
        <b val="1"/>
        <color rgb="FF7F6000"/>
      </font>
      <fill>
        <patternFill>
          <bgColor rgb="FFFFEB9C"/>
        </patternFill>
      </fill>
    </dxf>
    <dxf>
      <font>
        <name val="Arial"/>
        <charset val="1"/>
        <family val="0"/>
        <b val="1"/>
        <color rgb="FFFFFFFF"/>
      </font>
      <fill>
        <patternFill>
          <bgColor rgb="FFC00000"/>
        </patternFill>
      </fill>
    </dxf>
    <dxf>
      <font>
        <name val="Arial"/>
        <charset val="1"/>
        <family val="0"/>
        <b val="1"/>
        <color rgb="FF000000"/>
      </font>
      <fill>
        <patternFill>
          <bgColor rgb="FFF4B084"/>
        </patternFill>
      </fill>
    </dxf>
    <dxf>
      <font>
        <name val="Arial"/>
        <charset val="1"/>
        <family val="0"/>
        <b val="1"/>
        <color rgb="FF000000"/>
      </font>
      <fill>
        <patternFill>
          <bgColor rgb="FFFFE699"/>
        </patternFill>
      </fill>
    </dxf>
    <dxf>
      <font>
        <name val="Arial"/>
        <charset val="1"/>
        <family val="0"/>
        <b val="1"/>
        <color rgb="FF000000"/>
      </font>
      <fill>
        <patternFill>
          <bgColor rgb="FFC6E0B4"/>
        </patternFill>
      </fill>
    </dxf>
    <dxf>
      <font>
        <name val="Arial"/>
        <charset val="1"/>
        <family val="0"/>
        <b val="1"/>
        <color rgb="FF000000"/>
      </font>
      <fill>
        <patternFill>
          <bgColor rgb="FFFFD966"/>
        </patternFill>
      </fill>
    </dxf>
    <dxf>
      <fill>
        <patternFill patternType="solid">
          <fgColor rgb="FF2F5597"/>
          <bgColor rgb="FF000000"/>
        </patternFill>
      </fill>
    </dxf>
    <dxf>
      <fill>
        <patternFill patternType="solid">
          <fgColor rgb="FFDDEBF7"/>
          <bgColor rgb="FF000000"/>
        </patternFill>
      </fill>
    </dxf>
    <dxf>
      <fill>
        <patternFill patternType="solid">
          <fgColor rgb="FF0000FF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fgColor rgb="FF548235"/>
          <bgColor rgb="FF000000"/>
        </patternFill>
      </fill>
    </dxf>
    <dxf>
      <fill>
        <patternFill patternType="solid">
          <fgColor rgb="FFE2EFDA"/>
          <bgColor rgb="FF000000"/>
        </patternFill>
      </fill>
    </dxf>
    <dxf>
      <fill>
        <patternFill patternType="solid">
          <fgColor rgb="FF000000"/>
          <bgColor rgb="FF000000"/>
        </patternFill>
      </fill>
    </dxf>
    <dxf>
      <fill>
        <patternFill patternType="solid">
          <fgColor rgb="FFFFEB9C"/>
          <bgColor rgb="FF000000"/>
        </patternFill>
      </fill>
    </dxf>
    <dxf>
      <fill>
        <patternFill patternType="solid">
          <fgColor rgb="FF7F6000"/>
          <bgColor rgb="FF000000"/>
        </patternFill>
      </fill>
    </dxf>
    <dxf>
      <fill>
        <patternFill patternType="solid">
          <fgColor rgb="FFC6EFCE"/>
          <bgColor rgb="FF000000"/>
        </patternFill>
      </fill>
    </dxf>
    <dxf>
      <fill>
        <patternFill patternType="solid">
          <fgColor rgb="FFFFC7CE"/>
          <bgColor rgb="FF000000"/>
        </patternFill>
      </fill>
    </dxf>
    <dxf>
      <fill>
        <patternFill patternType="solid">
          <fgColor rgb="FF006100"/>
          <bgColor rgb="FF000000"/>
        </patternFill>
      </fill>
    </dxf>
    <dxf>
      <fill>
        <patternFill patternType="solid">
          <fgColor rgb="FF9C0006"/>
          <bgColor rgb="FF000000"/>
        </patternFill>
      </fill>
    </dxf>
    <dxf>
      <font>
        <name val="Arial"/>
        <charset val="1"/>
        <family val="0"/>
        <color rgb="FF7F6000"/>
      </font>
      <fill>
        <patternFill>
          <bgColor rgb="FFFFEB9C"/>
        </patternFill>
      </fill>
    </dxf>
    <dxf>
      <font>
        <name val="Arial"/>
        <charset val="1"/>
        <family val="0"/>
        <color rgb="FF006100"/>
      </font>
      <fill>
        <patternFill>
          <bgColor rgb="FFC6EFCE"/>
        </patternFill>
      </fill>
    </dxf>
    <dxf>
      <fill>
        <patternFill patternType="solid">
          <fgColor rgb="FF7F7F7F"/>
          <bgColor rgb="FF000000"/>
        </patternFill>
      </fill>
    </dxf>
    <dxf>
      <fill>
        <patternFill patternType="solid">
          <fgColor rgb="FFEDEDED"/>
          <bgColor rgb="FF000000"/>
        </patternFill>
      </fill>
    </dxf>
    <dxf>
      <fill>
        <patternFill patternType="solid">
          <fgColor rgb="FF7030A0"/>
          <bgColor rgb="FF000000"/>
        </patternFill>
      </fill>
    </dxf>
    <dxf>
      <fill>
        <patternFill patternType="solid">
          <fgColor rgb="FFE4DFEC"/>
          <bgColor rgb="FF000000"/>
        </patternFill>
      </fill>
    </dxf>
    <dxf>
      <fill>
        <patternFill patternType="solid">
          <fgColor rgb="FFC00000"/>
          <bgColor rgb="FF000000"/>
        </patternFill>
      </fill>
    </dxf>
    <dxf>
      <fill>
        <patternFill patternType="solid">
          <fgColor rgb="FFC6E0B4"/>
          <bgColor rgb="FF000000"/>
        </patternFill>
      </fill>
    </dxf>
    <dxf>
      <fill>
        <patternFill patternType="solid">
          <fgColor rgb="FFF4B084"/>
          <bgColor rgb="FF000000"/>
        </patternFill>
      </fill>
    </dxf>
    <dxf>
      <fill>
        <patternFill patternType="solid">
          <fgColor rgb="FFFFE699"/>
          <bgColor rgb="FF000000"/>
        </patternFill>
      </fill>
    </dxf>
    <dxf>
      <fill>
        <patternFill patternType="solid">
          <fgColor rgb="FFFFD966"/>
          <bgColor rgb="FF000000"/>
        </patternFill>
      </fill>
    </dxf>
  </dxfs>
  <colors>
    <indexedColors>
      <rgbColor rgb="FF000000"/>
      <rgbColor rgb="FFFFFFFF"/>
      <rgbColor rgb="FFC00000"/>
      <rgbColor rgb="FF00FF00"/>
      <rgbColor rgb="FF0000FF"/>
      <rgbColor rgb="FFFFE699"/>
      <rgbColor rgb="FFFF00FF"/>
      <rgbColor rgb="FF00FFFF"/>
      <rgbColor rgb="FF9C0006"/>
      <rgbColor rgb="FF006100"/>
      <rgbColor rgb="FF000080"/>
      <rgbColor rgb="FF7F6000"/>
      <rgbColor rgb="FF800080"/>
      <rgbColor rgb="FF008080"/>
      <rgbColor rgb="FFBFBFBF"/>
      <rgbColor rgb="FF7F7F7F"/>
      <rgbColor rgb="FFEDEDED"/>
      <rgbColor rgb="FF7030A0"/>
      <rgbColor rgb="FFF9F9F9"/>
      <rgbColor rgb="FFDDEBF7"/>
      <rgbColor rgb="FF660066"/>
      <rgbColor rgb="FFFF8080"/>
      <rgbColor rgb="FF0563C1"/>
      <rgbColor rgb="FFD9D9D9"/>
      <rgbColor rgb="FF000080"/>
      <rgbColor rgb="FFFF00FF"/>
      <rgbColor rgb="FFF2F2F2"/>
      <rgbColor rgb="FF00FFFF"/>
      <rgbColor rgb="FF800080"/>
      <rgbColor rgb="FF800000"/>
      <rgbColor rgb="FF008080"/>
      <rgbColor rgb="FF0000FF"/>
      <rgbColor rgb="FF00CCFF"/>
      <rgbColor rgb="FFE2EFDA"/>
      <rgbColor rgb="FFC6EFCE"/>
      <rgbColor rgb="FFFFEB9C"/>
      <rgbColor rgb="FFC6E0B4"/>
      <rgbColor rgb="FFF4B084"/>
      <rgbColor rgb="FFE4DFEC"/>
      <rgbColor rgb="FFFFC7CE"/>
      <rgbColor rgb="FF4F81BD"/>
      <rgbColor rgb="FF33CCCC"/>
      <rgbColor rgb="FF99CC00"/>
      <rgbColor rgb="FFFFD966"/>
      <rgbColor rgb="FFFF9900"/>
      <rgbColor rgb="FFFF6600"/>
      <rgbColor rgb="FF595959"/>
      <rgbColor rgb="FF878787"/>
      <rgbColor rgb="FF1F3864"/>
      <rgbColor rgb="FF548235"/>
      <rgbColor rgb="FF003300"/>
      <rgbColor rgb="FF333300"/>
      <rgbColor rgb="FF993300"/>
      <rgbColor rgb="FF993366"/>
      <rgbColor rgb="FF2F5597"/>
      <rgbColor rgb="FF404040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worksheet" Target="worksheets/sheet9.xml"/><Relationship Id="rId12" Type="http://schemas.openxmlformats.org/officeDocument/2006/relationships/worksheet" Target="worksheets/sheet10.xml"/><Relationship Id="rId13" Type="http://schemas.openxmlformats.org/officeDocument/2006/relationships/worksheet" Target="worksheets/sheet11.xml"/><Relationship Id="rId14" Type="http://schemas.openxmlformats.org/officeDocument/2006/relationships/worksheet" Target="worksheets/sheet12.xml"/><Relationship Id="rId15" Type="http://schemas.openxmlformats.org/officeDocument/2006/relationships/worksheet" Target="worksheets/sheet13.xml"/><Relationship Id="rId16" Type="http://schemas.openxmlformats.org/officeDocument/2006/relationships/worksheet" Target="worksheets/sheet14.xml"/><Relationship Id="rId17" Type="http://schemas.openxmlformats.org/officeDocument/2006/relationships/worksheet" Target="worksheets/sheet15.xml"/><Relationship Id="rId18" Type="http://schemas.openxmlformats.org/officeDocument/2006/relationships/worksheet" Target="worksheets/sheet16.xml"/><Relationship Id="rId19" Type="http://schemas.openxmlformats.org/officeDocument/2006/relationships/worksheet" Target="worksheets/sheet17.xml"/><Relationship Id="rId20" Type="http://schemas.openxmlformats.org/officeDocument/2006/relationships/worksheet" Target="worksheets/sheet18.xml"/><Relationship Id="rId21" Type="http://schemas.openxmlformats.org/officeDocument/2006/relationships/worksheet" Target="worksheets/sheet19.xml"/><Relationship Id="rId22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Suppliers by criticality tier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col"/>
        <c:grouping val="clustered"/>
        <c:varyColors val="0"/>
        <c:ser>
          <c:idx val="0"/>
          <c:order val="0"/>
          <c:spPr>
            <a:solidFill>
              <a:srgbClr val="4f81bd"/>
            </a:solidFill>
            <a:ln w="9360">
              <a:solidFill>
                <a:srgbClr val="f9f9f9"/>
              </a:solidFill>
              <a:round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Arial"/>
                  </a:defRPr>
                </a:pPr>
              </a:p>
            </c:txPr>
            <c:dLblPos val="outEnd"/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'19 Portfolio Dashboard'!$A$7:$A$9</c:f>
              <c:strCache>
                <c:ptCount val="3"/>
                <c:pt idx="0">
                  <c:v>High-impact suppliers</c:v>
                </c:pt>
                <c:pt idx="1">
                  <c:v>Medium-impact suppliers</c:v>
                </c:pt>
                <c:pt idx="2">
                  <c:v>Low-impact suppliers</c:v>
                </c:pt>
              </c:strCache>
            </c:strRef>
          </c:cat>
          <c:val>
            <c:numRef>
              <c:f>'19 Portfolio Dashboard'!$B$7:$B$9</c:f>
              <c:numCache>
                <c:formatCode>General</c:formatCode>
                <c:ptCount val="3"/>
                <c:pt idx="0">
                  <c:v>3</c:v>
                </c:pt>
                <c:pt idx="1">
                  <c:v>1</c:v>
                </c:pt>
                <c:pt idx="2">
                  <c:v>1</c:v>
                </c:pt>
              </c:numCache>
            </c:numRef>
          </c:val>
        </c:ser>
        <c:gapWidth val="150"/>
        <c:overlap val="0"/>
        <c:axId val="43077656"/>
        <c:axId val="7732048"/>
      </c:barChart>
      <c:catAx>
        <c:axId val="43077656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7732048"/>
        <c:crosses val="autoZero"/>
        <c:auto val="1"/>
        <c:lblAlgn val="ctr"/>
        <c:lblOffset val="100"/>
        <c:noMultiLvlLbl val="0"/>
      </c:catAx>
      <c:valAx>
        <c:axId val="7732048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numFmt formatCode="General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43077656"/>
        <c:crosses val="autoZero"/>
        <c:crossBetween val="between"/>
      </c:valAx>
      <c:spPr>
        <a:noFill/>
        <a:ln w="0">
          <a:noFill/>
        </a:ln>
      </c:spPr>
    </c:plotArea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Risks by current residual band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col"/>
        <c:grouping val="clustered"/>
        <c:varyColors val="0"/>
        <c:ser>
          <c:idx val="0"/>
          <c:order val="0"/>
          <c:spPr>
            <a:solidFill>
              <a:srgbClr val="4f81bd"/>
            </a:solidFill>
            <a:ln w="9360">
              <a:solidFill>
                <a:srgbClr val="f9f9f9"/>
              </a:solidFill>
              <a:round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Arial"/>
                  </a:defRPr>
                </a:pPr>
              </a:p>
            </c:txPr>
            <c:dLblPos val="outEnd"/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'19 Portfolio Dashboard'!$A$20:$A$24</c:f>
              <c:strCache>
                <c:ptCount val="5"/>
                <c:pt idx="0">
                  <c:v>Residual Critical</c:v>
                </c:pt>
                <c:pt idx="1">
                  <c:v>Residual High</c:v>
                </c:pt>
                <c:pt idx="2">
                  <c:v>Residual Moderate</c:v>
                </c:pt>
                <c:pt idx="3">
                  <c:v>Residual Low</c:v>
                </c:pt>
                <c:pt idx="4">
                  <c:v>Residual assessment incomplete (never counted as Low)</c:v>
                </c:pt>
              </c:strCache>
            </c:strRef>
          </c:cat>
          <c:val>
            <c:numRef>
              <c:f>'19 Portfolio Dashboard'!$B$20:$B$24</c:f>
              <c:numCache>
                <c:formatCode>General</c:formatCode>
                <c:ptCount val="5"/>
                <c:pt idx="0">
                  <c:v>0</c:v>
                </c:pt>
                <c:pt idx="1">
                  <c:v>4</c:v>
                </c:pt>
                <c:pt idx="2">
                  <c:v>3</c:v>
                </c:pt>
                <c:pt idx="3">
                  <c:v>1</c:v>
                </c:pt>
                <c:pt idx="4">
                  <c:v>1</c:v>
                </c:pt>
              </c:numCache>
            </c:numRef>
          </c:val>
        </c:ser>
        <c:gapWidth val="150"/>
        <c:overlap val="0"/>
        <c:axId val="76362651"/>
        <c:axId val="24641242"/>
      </c:barChart>
      <c:catAx>
        <c:axId val="76362651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24641242"/>
        <c:crosses val="autoZero"/>
        <c:auto val="1"/>
        <c:lblAlgn val="ctr"/>
        <c:lblOffset val="100"/>
        <c:noMultiLvlLbl val="0"/>
      </c:catAx>
      <c:valAx>
        <c:axId val="24641242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numFmt formatCode="General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76362651"/>
        <c:crosses val="autoZero"/>
        <c:crossBetween val="between"/>
      </c:valAx>
      <c:spPr>
        <a:noFill/>
        <a:ln w="0">
          <a:noFill/>
        </a:ln>
      </c:spPr>
    </c:plotArea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9</xdr:col>
      <xdr:colOff>0</xdr:colOff>
      <xdr:row>3</xdr:row>
      <xdr:rowOff>130680</xdr:rowOff>
    </xdr:from>
    <xdr:to>
      <xdr:col>16</xdr:col>
      <xdr:colOff>398520</xdr:colOff>
      <xdr:row>16</xdr:row>
      <xdr:rowOff>173160</xdr:rowOff>
    </xdr:to>
    <xdr:graphicFrame>
      <xdr:nvGraphicFramePr>
        <xdr:cNvPr id="0" name="Chart 1"/>
        <xdr:cNvGraphicFramePr/>
      </xdr:nvGraphicFramePr>
      <xdr:xfrm>
        <a:off x="14144760" y="1000080"/>
        <a:ext cx="4678920" cy="251892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0</xdr:colOff>
      <xdr:row>19</xdr:row>
      <xdr:rowOff>131040</xdr:rowOff>
    </xdr:from>
    <xdr:to>
      <xdr:col>16</xdr:col>
      <xdr:colOff>398520</xdr:colOff>
      <xdr:row>32</xdr:row>
      <xdr:rowOff>11520</xdr:rowOff>
    </xdr:to>
    <xdr:graphicFrame>
      <xdr:nvGraphicFramePr>
        <xdr:cNvPr id="1" name="Chart 2"/>
        <xdr:cNvGraphicFramePr/>
      </xdr:nvGraphicFramePr>
      <xdr:xfrm>
        <a:off x="14144760" y="4048200"/>
        <a:ext cx="4678920" cy="251892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ables/table1.xml><?xml version="1.0" encoding="utf-8"?>
<table xmlns="http://schemas.openxmlformats.org/spreadsheetml/2006/main" id="1" name="tbl_CA" displayName="tbl_CA" ref="A6:U206" headerRowCount="1" totalsRowCount="0" totalsRowShown="0">
  <autoFilter ref="A6:U206"/>
  <tableColumns count="21">
    <tableColumn id="1" name="Control Assessment ID"/>
    <tableColumn id="2" name="Supplier ID"/>
    <tableColumn id="3" name="Supplier name"/>
    <tableColumn id="4" name="Control ID or requirement"/>
    <tableColumn id="5" name="Related risk ID"/>
    <tableColumn id="6" name="Assessment objective"/>
    <tableColumn id="7" name="Design assessment"/>
    <tableColumn id="8" name="Implementation assessment"/>
    <tableColumn id="9" name="Operating effectiveness assessment"/>
    <tableColumn id="10" name="Evidence IDs (comma separated)"/>
    <tableColumn id="11" name="Evidence IDs found in register"/>
    <tableColumn id="12" name="Evidence sufficiency"/>
    <tableColumn id="13" name="Overall assessment status"/>
    <tableColumn id="14" name="Control effectiveness (recorded separately)"/>
    <tableColumn id="15" name="Finding reference"/>
    <tableColumn id="16" name="Assessor"/>
    <tableColumn id="17" name="Assessment date"/>
    <tableColumn id="18" name="Rationale"/>
    <tableColumn id="19" name="Assurance position"/>
    <tableColumn id="20" name="Methodology consistency check"/>
    <tableColumn id="21" name="ID / link check"/>
  </tableColumns>
</table>
</file>

<file path=xl/tables/table2.xml><?xml version="1.0" encoding="utf-8"?>
<table xmlns="http://schemas.openxmlformats.org/spreadsheetml/2006/main" id="2" name="tbl_CON" displayName="tbl_CON" ref="A6:S206" headerRowCount="1" totalsRowCount="0" totalsRowShown="0">
  <autoFilter ref="A6:S206"/>
  <tableColumns count="19">
    <tableColumn id="1" name="Requirement ID"/>
    <tableColumn id="2" name="Supplier ID"/>
    <tableColumn id="3" name="Supplier name"/>
    <tableColumn id="4" name="Contract reference"/>
    <tableColumn id="5" name="Security domain"/>
    <tableColumn id="6" name="Related risk ID"/>
    <tableColumn id="7" name="Requirement"/>
    <tableColumn id="8" name="Contract clause or schedule"/>
    <tableColumn id="9" name="Review status"/>
    <tableColumn id="10" name="Gap description"/>
    <tableColumn id="11" name="Legal or technical reviewer"/>
    <tableColumn id="12" name="Required amendment or clarification"/>
    <tableColumn id="13" name="Negotiation outcome"/>
    <tableColumn id="14" name="Final disposition"/>
    <tableColumn id="15" name="Approval or exception reference"/>
    <tableColumn id="16" name="Review date"/>
    <tableColumn id="17" name="Gap status"/>
    <tableColumn id="18" name="ID / link check"/>
    <tableColumn id="19" name="Report key (helper)"/>
  </tableColumns>
</table>
</file>

<file path=xl/tables/table3.xml><?xml version="1.0" encoding="utf-8"?>
<table xmlns="http://schemas.openxmlformats.org/spreadsheetml/2006/main" id="3" name="tbl_CRT" displayName="tbl_CRT" ref="A6:Y66" headerRowCount="1" totalsRowCount="0" totalsRowShown="0">
  <autoFilter ref="A6:Y66"/>
  <tableColumns count="25">
    <tableColumn id="1" name="Assessment ID"/>
    <tableColumn id="2" name="Supplier ID"/>
    <tableColumn id="3" name="Supplier name"/>
    <tableColumn id="4" name="Assessment date"/>
    <tableColumn id="5" name="Business dependency (1-3)"/>
    <tableColumn id="6" name="Information sensitivity (1-3)"/>
    <tableColumn id="7" name="System access (1-3)"/>
    <tableColumn id="8" name="Disruption impact (1-3)"/>
    <tableColumn id="9" name="Replaceability &amp; recovery difficulty (1-3)"/>
    <tableColumn id="10" name="Rationale: business dependency"/>
    <tableColumn id="11" name="Rationale: information sensitivity"/>
    <tableColumn id="12" name="Rationale: system access"/>
    <tableColumn id="13" name="Rationale: disruption impact"/>
    <tableColumn id="14" name="Rationale: replaceability"/>
    <tableColumn id="15" name="Business owner validation status"/>
    <tableColumn id="16" name="Reviewer"/>
    <tableColumn id="17" name="Review date"/>
    <tableColumn id="18" name="Approval or confirmation (blank = proposed only)"/>
    <tableColumn id="19" name="Proposed supplier tier"/>
    <tableColumn id="20" name="Due diligence profile"/>
    <tableColumn id="21" name="Missing information"/>
    <tableColumn id="22" name="Approval status shown"/>
    <tableColumn id="23" name="Current record?"/>
    <tableColumn id="24" name="Lookup key (helper)"/>
    <tableColumn id="25" name="ID / link check"/>
  </tableColumns>
</table>
</file>

<file path=xl/tables/table4.xml><?xml version="1.0" encoding="utf-8"?>
<table xmlns="http://schemas.openxmlformats.org/spreadsheetml/2006/main" id="4" name="tbl_DEC" displayName="tbl_DEC" ref="A6:Z106" headerRowCount="1" totalsRowCount="0" totalsRowShown="0">
  <autoFilter ref="A6:Z106"/>
  <tableColumns count="26">
    <tableColumn id="1" name="Decision ID"/>
    <tableColumn id="2" name="Supplier ID"/>
    <tableColumn id="3" name="Supplier name"/>
    <tableColumn id="4" name="Related risk ID (risk-level decisions)"/>
    <tableColumn id="5" name="Decision type"/>
    <tableColumn id="6" name="Supplier-level decision?"/>
    <tableColumn id="7" name="Current residual band (from risk register)"/>
    <tableColumn id="8" name="Risk appetite status (from risk register)"/>
    <tableColumn id="9" name="Record created / recommendation date"/>
    <tableColumn id="10" name="GRC recommendation (analyst-entered, separate from decision)"/>
    <tableColumn id="11" name="Decision rationale"/>
    <tableColumn id="12" name="Business owner"/>
    <tableColumn id="13" name="Designated approving authority"/>
    <tableColumn id="14" name="Requested decision"/>
    <tableColumn id="15" name="Final decision (authorised)"/>
    <tableColumn id="16" name="Conditions"/>
    <tableColumn id="17" name="Decision date"/>
    <tableColumn id="18" name="Expiry or review date"/>
    <tableColumn id="19" name="Evidence or approval reference (independently retained)"/>
    <tableColumn id="20" name="Monitoring requirements"/>
    <tableColumn id="21" name="Status"/>
    <tableColumn id="22" name="Decision currency / authorisation"/>
    <tableColumn id="23" name="Appetite note"/>
    <tableColumn id="24" name="Latest supplier-level key (helper)"/>
    <tableColumn id="25" name="ID / link check"/>
    <tableColumn id="26" name="Report key (helper)"/>
  </tableColumns>
</table>
</file>

<file path=xl/tables/table5.xml><?xml version="1.0" encoding="utf-8"?>
<table xmlns="http://schemas.openxmlformats.org/spreadsheetml/2006/main" id="5" name="tbl_DEP" displayName="tbl_DEP" ref="A6:S156" headerRowCount="1" totalsRowCount="0" totalsRowShown="0">
  <autoFilter ref="A6:S156"/>
  <tableColumns count="19">
    <tableColumn id="1" name="Dependency ID"/>
    <tableColumn id="2" name="Direct supplier ID"/>
    <tableColumn id="3" name="Supplier name"/>
    <tableColumn id="4" name="Related business service"/>
    <tableColumn id="5" name="Fourth-party or underlying provider (use identical spelling)"/>
    <tableColumn id="6" name="Shared technology or infrastructure"/>
    <tableColumn id="7" name="Geographic location or region"/>
    <tableColumn id="8" name="Dependency type"/>
    <tableColumn id="9" name="Business impact"/>
    <tableColumn id="10" name="Substitutability"/>
    <tableColumn id="11" name="Known alternative or continuity arrangement"/>
    <tableColumn id="12" name="Risk reference"/>
    <tableColumn id="13" name="Assessment status"/>
    <tableColumn id="14" name="Reviewer notes"/>
    <tableColumn id="15" name="First supplier-provider pair (helper)"/>
    <tableColumn id="16" name="First row for provider (helper)"/>
    <tableColumn id="17" name="Registered suppliers declaring this provider"/>
    <tableColumn id="18" name="Concentration indicator"/>
    <tableColumn id="19" name="ID / link check"/>
  </tableColumns>
</table>
</file>

<file path=xl/tables/table6.xml><?xml version="1.0" encoding="utf-8"?>
<table xmlns="http://schemas.openxmlformats.org/spreadsheetml/2006/main" id="6" name="tbl_EV" displayName="tbl_EV" ref="A6:AB206" headerRowCount="1" totalsRowCount="0" totalsRowShown="0">
  <autoFilter ref="A6:AB206"/>
  <tableColumns count="28">
    <tableColumn id="1" name="Evidence ID"/>
    <tableColumn id="2" name="Supplier ID"/>
    <tableColumn id="3" name="Supplier name"/>
    <tableColumn id="4" name="Related question, control or finding reference"/>
    <tableColumn id="5" name="Evidence type"/>
    <tableColumn id="6" name="Document title or description"/>
    <tableColumn id="7" name="Issuing organisation"/>
    <tableColumn id="8" name="Document date"/>
    <tableColumn id="9" name="Expiry date (certificates and similar only)"/>
    <tableColumn id="10" name="Reporting period start (e.g. SOC 2)"/>
    <tableColumn id="11" name="Reporting period end"/>
    <tableColumn id="12" name="Relevant service or scope"/>
    <tableColumn id="13" name="Evidence location or reference (store the document elsewhere)"/>
    <tableColumn id="14" name="Verification status"/>
    <tableColumn id="15" name="Evidence sufficiency status"/>
    <tableColumn id="16" name="Review conclusion"/>
    <tableColumn id="17" name="Limitations"/>
    <tableColumn id="18" name="Important scope limitation?"/>
    <tableColumn id="19" name="Reviewer"/>
    <tableColumn id="20" name="Review date"/>
    <tableColumn id="21" name="Next action"/>
    <tableColumn id="22" name="Next action due"/>
    <tableColumn id="23" name="Currency indicator"/>
    <tableColumn id="24" name="Verification flag"/>
    <tableColumn id="25" name="Scope limitation flag"/>
    <tableColumn id="26" name="Follow-up flag"/>
    <tableColumn id="27" name="ID / link check"/>
    <tableColumn id="28" name="Report key (helper)"/>
  </tableColumns>
</table>
</file>

<file path=xl/tables/table7.xml><?xml version="1.0" encoding="utf-8"?>
<table xmlns="http://schemas.openxmlformats.org/spreadsheetml/2006/main" id="7" name="tbl_EXT" displayName="tbl_EXT" ref="A6:V156" headerRowCount="1" totalsRowCount="0" totalsRowShown="0">
  <autoFilter ref="A6:V156"/>
  <tableColumns count="22">
    <tableColumn id="1" name="Exit ID"/>
    <tableColumn id="2" name="Supplier ID"/>
    <tableColumn id="3" name="Supplier name"/>
    <tableColumn id="4" name="Reason for exit"/>
    <tableColumn id="5" name="Exit type"/>
    <tableColumn id="6" name="Planned exit date"/>
    <tableColumn id="7" name="Business owner"/>
    <tableColumn id="8" name="Replacement supplier ID (if any)"/>
    <tableColumn id="9" name="Checklist item covered"/>
    <tableColumn id="10" name="Mandatory?"/>
    <tableColumn id="11" name="Exit action"/>
    <tableColumn id="12" name="Action owner"/>
    <tableColumn id="13" name="Due date"/>
    <tableColumn id="14" name="Completion status"/>
    <tableColumn id="15" name="Verification evidence (or justification if not applicable)"/>
    <tableColumn id="16" name="Open risk reference"/>
    <tableColumn id="17" name="Closure status"/>
    <tableColumn id="18" name="Final approval or decision reference"/>
    <tableColumn id="19" name="Counts as done?"/>
    <tableColumn id="20" name="Overdue flag"/>
    <tableColumn id="21" name="Supplier closure-readiness"/>
    <tableColumn id="22" name="ID / link check"/>
  </tableColumns>
</table>
</file>

<file path=xl/tables/table8.xml><?xml version="1.0" encoding="utf-8"?>
<table xmlns="http://schemas.openxmlformats.org/spreadsheetml/2006/main" id="8" name="tbl_FND" displayName="tbl_FND" ref="A6:Y156" headerRowCount="1" totalsRowCount="0" totalsRowShown="0">
  <autoFilter ref="A6:Y156"/>
  <tableColumns count="25">
    <tableColumn id="1" name="Finding ID"/>
    <tableColumn id="2" name="Supplier ID"/>
    <tableColumn id="3" name="Supplier name"/>
    <tableColumn id="4" name="Related risk ID"/>
    <tableColumn id="5" name="Related control assessment ID"/>
    <tableColumn id="6" name="Source assessment or evidence ID"/>
    <tableColumn id="7" name="Finding type"/>
    <tableColumn id="8" name="Requirement"/>
    <tableColumn id="9" name="Observation"/>
    <tableColumn id="10" name="Supporting evidence"/>
    <tableColumn id="11" name="Potential business consequence"/>
    <tableColumn id="12" name="Severity (assessor judgement)"/>
    <tableColumn id="13" name="Remediation requirement"/>
    <tableColumn id="14" name="Responsible owner"/>
    <tableColumn id="15" name="Status"/>
    <tableColumn id="16" name="Opened date"/>
    <tableColumn id="17" name="Target date"/>
    <tableColumn id="18" name="Closure date"/>
    <tableColumn id="19" name="Verification reference"/>
    <tableColumn id="20" name="Reviewer comments"/>
    <tableColumn id="21" name="Lifecycle state"/>
    <tableColumn id="22" name="Overdue flag"/>
    <tableColumn id="23" name="Linked treatment actions"/>
    <tableColumn id="24" name="ID / link check"/>
    <tableColumn id="25" name="Report key (helper)"/>
  </tableColumns>
</table>
</file>

<file path=xl/tables/table9.xml><?xml version="1.0" encoding="utf-8"?>
<table xmlns="http://schemas.openxmlformats.org/spreadsheetml/2006/main" id="9" name="tbl_INC" displayName="tbl_INC" ref="A6:W106" headerRowCount="1" totalsRowCount="0" totalsRowShown="0">
  <autoFilter ref="A6:W106"/>
  <tableColumns count="23">
    <tableColumn id="1" name="Incident ID"/>
    <tableColumn id="2" name="Supplier ID"/>
    <tableColumn id="3" name="Supplier name"/>
    <tableColumn id="4" name="Date and time notified"/>
    <tableColumn id="5" name="Incident description"/>
    <tableColumn id="6" name="Known affected services"/>
    <tableColumn id="7" name="Confirmed facts"/>
    <tableColumn id="8" name="Suspected exposure"/>
    <tableColumn id="9" name="Unresolved questions"/>
    <tableColumn id="10" name="Business impact"/>
    <tableColumn id="11" name="Materiality (assessor judgement)"/>
    <tableColumn id="12" name="Technical response owner"/>
    <tableColumn id="13" name="Supplier contact or reference"/>
    <tableColumn id="14" name="Relevant contractual notification requirement"/>
    <tableColumn id="15" name="Privacy / Legal review status (user-entered)"/>
    <tableColumn id="16" name="Required actions"/>
    <tableColumn id="17" name="Status"/>
    <tableColumn id="18" name="Related findings and risks"/>
    <tableColumn id="19" name="Closure reference"/>
    <tableColumn id="20" name="Open / closed"/>
    <tableColumn id="21" name="Within recent-incident window?"/>
    <tableColumn id="22" name="Supplier risk reassessment indicator"/>
    <tableColumn id="23" name="ID / link check"/>
  </tableColumns>
</table>
</file>

<file path=xl/tables/table10.xml><?xml version="1.0" encoding="utf-8"?>
<table xmlns="http://schemas.openxmlformats.org/spreadsheetml/2006/main" id="10" name="tbl_INV" displayName="tbl_INV" ref="A6:W66" headerRowCount="1" totalsRowCount="0" totalsRowShown="0">
  <autoFilter ref="A6:W66"/>
  <tableColumns count="23">
    <tableColumn id="1" name="Supplier ID"/>
    <tableColumn id="2" name="Supplier legal or display name"/>
    <tableColumn id="3" name="Service description"/>
    <tableColumn id="4" name="Business owner"/>
    <tableColumn id="5" name="Internal relationship owner"/>
    <tableColumn id="6" name="Business process supported"/>
    <tableColumn id="7" name="Supplier relationship status"/>
    <tableColumn id="8" name="Contract start date"/>
    <tableColumn id="9" name="Contract end date"/>
    <tableColumn id="10" name="Information categories processed"/>
    <tableColumn id="11" name="Systems and access types"/>
    <tableColumn id="12" name="Hosting or delivery model"/>
    <tableColumn id="13" name="Assessment scope statement (feeds report)"/>
    <tableColumn id="14" name="Notes"/>
    <tableColumn id="15" name="Criticality tier (from 04, proposed unless approved)"/>
    <tableColumn id="16" name="Classification approval status"/>
    <tableColumn id="17" name="Latest assessment date"/>
    <tableColumn id="18" name="Latest approval status (authorised records only)"/>
    <tableColumn id="19" name="Next scheduled review"/>
    <tableColumn id="20" name="Review status"/>
    <tableColumn id="21" name="ID check"/>
    <tableColumn id="22" name="Record completeness"/>
    <tableColumn id="23" name="Issues (helper)"/>
  </tableColumns>
</table>
</file>

<file path=xl/tables/table11.xml><?xml version="1.0" encoding="utf-8"?>
<table xmlns="http://schemas.openxmlformats.org/spreadsheetml/2006/main" id="11" name="tbl_MON" displayName="tbl_MON" ref="A6:S206" headerRowCount="1" totalsRowCount="0" totalsRowShown="0">
  <autoFilter ref="A6:S206"/>
  <tableColumns count="19">
    <tableColumn id="1" name="Monitoring event ID"/>
    <tableColumn id="2" name="Supplier ID"/>
    <tableColumn id="3" name="Supplier name"/>
    <tableColumn id="4" name="Monitoring type"/>
    <tableColumn id="5" name="Review date (planned or actual)"/>
    <tableColumn id="6" name="Next review date"/>
    <tableColumn id="7" name="Evidence reference"/>
    <tableColumn id="8" name="Findings"/>
    <tableColumn id="9" name="KRI name"/>
    <tableColumn id="10" name="KRI value"/>
    <tableColumn id="11" name="Threshold"/>
    <tableColumn id="12" name="Threshold direction"/>
    <tableColumn id="13" name="Responsible owner"/>
    <tableColumn id="14" name="Escalation action"/>
    <tableColumn id="15" name="Completion status"/>
    <tableColumn id="16" name="KRI status"/>
    <tableColumn id="17" name="Review timing"/>
    <tableColumn id="18" name="Latest completed review key (helper)"/>
    <tableColumn id="19" name="ID / link check"/>
  </tableColumns>
</table>
</file>

<file path=xl/tables/table12.xml><?xml version="1.0" encoding="utf-8"?>
<table xmlns="http://schemas.openxmlformats.org/spreadsheetml/2006/main" id="12" name="tbl_QA" displayName="tbl_QA" ref="A6:V406" headerRowCount="1" totalsRowCount="0" totalsRowShown="0">
  <autoFilter ref="A6:V406"/>
  <tableColumns count="22">
    <tableColumn id="1" name="Assessment ID"/>
    <tableColumn id="2" name="Supplier ID"/>
    <tableColumn id="3" name="Supplier name"/>
    <tableColumn id="4" name="Supplier tier"/>
    <tableColumn id="5" name="Question ID"/>
    <tableColumn id="6" name="Question wording"/>
    <tableColumn id="7" name="Domain"/>
    <tableColumn id="8" name="Bank recommendation for this tier"/>
    <tableColumn id="9" name="Applicability status (analyst confirms)"/>
    <tableColumn id="10" name="Supplier response"/>
    <tableColumn id="11" name="Supplier explanation"/>
    <tableColumn id="12" name="Evidence reference(s) (Evidence IDs, comma separated)"/>
    <tableColumn id="13" name="Evidence IDs found in register"/>
    <tableColumn id="14" name="Evidence status (not a security rating)"/>
    <tableColumn id="15" name="Analyst review status"/>
    <tableColumn id="16" name="Reviewer comments"/>
    <tableColumn id="17" name="Follow-up action"/>
    <tableColumn id="18" name="Follow-up owner"/>
    <tableColumn id="19" name="Due date"/>
    <tableColumn id="20" name="Review date"/>
    <tableColumn id="21" name="Follow-up overdue?"/>
    <tableColumn id="22" name="ID / link check"/>
  </tableColumns>
</table>
</file>

<file path=xl/tables/table13.xml><?xml version="1.0" encoding="utf-8"?>
<table xmlns="http://schemas.openxmlformats.org/spreadsheetml/2006/main" id="13" name="tbl_QB" displayName="tbl_QB" ref="A6:N126" headerRowCount="1" totalsRowCount="0" totalsRowShown="0">
  <autoFilter ref="A6:N126"/>
  <tableColumns count="14">
    <tableColumn id="1" name="Question ID"/>
    <tableColumn id="2" name="Security domain"/>
    <tableColumn id="3" name="Risk or requirement reference"/>
    <tableColumn id="4" name="Question wording"/>
    <tableColumn id="5" name="Why the question is needed"/>
    <tableColumn id="6" name="Applicability condition"/>
    <tableColumn id="7" name="Minimum suggested tier"/>
    <tableColumn id="8" name="Suggested supporting evidence"/>
    <tableColumn id="9" name="Evidence acceptance considerations"/>
    <tableColumn id="10" name="Specialist reviewer"/>
    <tableColumn id="11" name="Question status"/>
    <tableColumn id="12" name="Version"/>
    <tableColumn id="13" name="Times selected in assessments"/>
    <tableColumn id="14" name="ID check"/>
  </tableColumns>
</table>
</file>

<file path=xl/tables/table14.xml><?xml version="1.0" encoding="utf-8"?>
<table xmlns="http://schemas.openxmlformats.org/spreadsheetml/2006/main" id="14" name="tbl_RSK" displayName="tbl_RSK" ref="A6:AJ206" headerRowCount="1" totalsRowCount="0" totalsRowShown="0">
  <autoFilter ref="A6:AJ206"/>
  <tableColumns count="36">
    <tableColumn id="1" name="Risk ID"/>
    <tableColumn id="2" name="Supplier ID"/>
    <tableColumn id="3" name="Supplier name"/>
    <tableColumn id="4" name="Risk category"/>
    <tableColumn id="5" name="Risk statement"/>
    <tableColumn id="6" name="Threat or event"/>
    <tableColumn id="7" name="Relevant cause or exposure"/>
    <tableColumn id="8" name="Potential business consequences"/>
    <tableColumn id="9" name="Business risk owner"/>
    <tableColumn id="10" name="Inherent likelihood (1-5)"/>
    <tableColumn id="11" name="Inherent impact (1-5)"/>
    <tableColumn id="12" name="Inherent score"/>
    <tableColumn id="13" name="Inherent band"/>
    <tableColumn id="14" name="Inherent assessment rationale"/>
    <tableColumn id="15" name="Relevant control references"/>
    <tableColumn id="16" name="Current residual likelihood (1-5)"/>
    <tableColumn id="17" name="Current residual impact (1-5)"/>
    <tableColumn id="18" name="Current residual score"/>
    <tableColumn id="19" name="Current residual band"/>
    <tableColumn id="20" name="Residual assessment rationale (current controls only)"/>
    <tableColumn id="21" name="Assessment confidence"/>
    <tableColumn id="22" name="Target likelihood (1-5)"/>
    <tableColumn id="23" name="Target impact (1-5)"/>
    <tableColumn id="24" name="Target score"/>
    <tableColumn id="25" name="Target band"/>
    <tableColumn id="26" name="Target assumptions (planned remediation)"/>
    <tableColumn id="27" name="Risk appetite status"/>
    <tableColumn id="28" name="Acceptance or decision reference (Decision ID)"/>
    <tableColumn id="29" name="Decision status"/>
    <tableColumn id="30" name="Treatment status"/>
    <tableColumn id="31" name="Assessment date"/>
    <tableColumn id="32" name="Review date"/>
    <tableColumn id="33" name="Record completeness"/>
    <tableColumn id="34" name="ID / link check"/>
    <tableColumn id="35" name="Issues (helper)"/>
    <tableColumn id="36" name="Report key (helper)"/>
  </tableColumns>
</table>
</file>

<file path=xl/tables/table15.xml><?xml version="1.0" encoding="utf-8"?>
<table xmlns="http://schemas.openxmlformats.org/spreadsheetml/2006/main" id="15" name="tbl_TRT" displayName="tbl_TRT" ref="A6:X156" headerRowCount="1" totalsRowCount="0" totalsRowShown="0">
  <autoFilter ref="A6:X156"/>
  <tableColumns count="24">
    <tableColumn id="1" name="Treatment ID"/>
    <tableColumn id="2" name="Supplier ID"/>
    <tableColumn id="3" name="Supplier name"/>
    <tableColumn id="4" name="Related risk ID"/>
    <tableColumn id="5" name="Related finding ID"/>
    <tableColumn id="6" name="Treatment approach"/>
    <tableColumn id="7" name="Required action"/>
    <tableColumn id="8" name="Delivery owner (supplier or internal)"/>
    <tableColumn id="9" name="Internal accountable owner"/>
    <tableColumn id="10" name="Agreed due date"/>
    <tableColumn id="11" name="Delivery status (self-reported)"/>
    <tableColumn id="12" name="Completion criteria"/>
    <tableColumn id="13" name="Required verification evidence"/>
    <tableColumn id="14" name="Verification status (separate from delivery)"/>
    <tableColumn id="15" name="Actual completion date"/>
    <tableColumn id="16" name="Escalation status"/>
    <tableColumn id="17" name="Decision ID (required if approach = Accept)"/>
    <tableColumn id="18" name="Notes"/>
    <tableColumn id="19" name="Action state"/>
    <tableColumn id="20" name="Open / closed"/>
    <tableColumn id="21" name="Overdue flag"/>
    <tableColumn id="22" name="Acceptance decision check"/>
    <tableColumn id="23" name="ID / link check"/>
    <tableColumn id="24" name="Report key (helper)"/>
  </tableColumns>
</table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TPRM_Toolkit_v1.0_Worked_Example.xlsx" TargetMode="External"/><Relationship Id="rId2" Type="http://schemas.openxmlformats.org/officeDocument/2006/relationships/hyperlink" Target="TPRM_Toolkit_v1.0_Worked_Example.xlsx" TargetMode="External"/><Relationship Id="rId3" Type="http://schemas.openxmlformats.org/officeDocument/2006/relationships/hyperlink" Target="TPRM_Toolkit_v1.0_Worked_Example.xlsx" TargetMode="External"/><Relationship Id="rId4" Type="http://schemas.openxmlformats.org/officeDocument/2006/relationships/hyperlink" Target="TPRM_Toolkit_v1.0_Worked_Example.xlsx" TargetMode="External"/><Relationship Id="rId5" Type="http://schemas.openxmlformats.org/officeDocument/2006/relationships/hyperlink" Target="TPRM_Toolkit_v1.0_Worked_Example.xlsx" TargetMode="External"/><Relationship Id="rId6" Type="http://schemas.openxmlformats.org/officeDocument/2006/relationships/hyperlink" Target="TPRM_Toolkit_v1.0_Worked_Example.xlsx" TargetMode="External"/><Relationship Id="rId7" Type="http://schemas.openxmlformats.org/officeDocument/2006/relationships/hyperlink" Target="TPRM_Toolkit_v1.0_Worked_Example.xlsx" TargetMode="External"/><Relationship Id="rId8" Type="http://schemas.openxmlformats.org/officeDocument/2006/relationships/hyperlink" Target="TPRM_Toolkit_v1.0_Worked_Example.xlsx" TargetMode="External"/><Relationship Id="rId9" Type="http://schemas.openxmlformats.org/officeDocument/2006/relationships/hyperlink" Target="TPRM_Toolkit_v1.0_Worked_Example.xlsx" TargetMode="External"/><Relationship Id="rId10" Type="http://schemas.openxmlformats.org/officeDocument/2006/relationships/hyperlink" Target="TPRM_Toolkit_v1.0_Worked_Example.xlsx" TargetMode="External"/><Relationship Id="rId11" Type="http://schemas.openxmlformats.org/officeDocument/2006/relationships/hyperlink" Target="TPRM_Toolkit_v1.0_Worked_Example.xlsx" TargetMode="External"/><Relationship Id="rId12" Type="http://schemas.openxmlformats.org/officeDocument/2006/relationships/hyperlink" Target="TPRM_Toolkit_v1.0_Worked_Example.xlsx" TargetMode="External"/><Relationship Id="rId13" Type="http://schemas.openxmlformats.org/officeDocument/2006/relationships/hyperlink" Target="TPRM_Toolkit_v1.0_Worked_Example.xlsx" TargetMode="External"/><Relationship Id="rId14" Type="http://schemas.openxmlformats.org/officeDocument/2006/relationships/hyperlink" Target="TPRM_Toolkit_v1.0_Worked_Example.xlsx" TargetMode="External"/><Relationship Id="rId15" Type="http://schemas.openxmlformats.org/officeDocument/2006/relationships/hyperlink" Target="TPRM_Toolkit_v1.0_Worked_Example.xlsx" TargetMode="External"/><Relationship Id="rId16" Type="http://schemas.openxmlformats.org/officeDocument/2006/relationships/hyperlink" Target="TPRM_Toolkit_v1.0_Worked_Example.xlsx" TargetMode="External"/><Relationship Id="rId17" Type="http://schemas.openxmlformats.org/officeDocument/2006/relationships/hyperlink" Target="TPRM_Toolkit_v1.0_Worked_Example.xlsx" TargetMode="External"/><Relationship Id="rId18" Type="http://schemas.openxmlformats.org/officeDocument/2006/relationships/hyperlink" Target="TPRM_Toolkit_v1.0_Worked_Example.xlsx" TargetMode="External"/><Relationship Id="rId19" Type="http://schemas.openxmlformats.org/officeDocument/2006/relationships/hyperlink" Target="TPRM_Toolkit_v1.0_Worked_Example.xlsx" TargetMode="External"/><Relationship Id="rId20" Type="http://schemas.openxmlformats.org/officeDocument/2006/relationships/hyperlink" Target="TPRM_Toolkit_v1.0_Worked_Example.xlsx" TargetMode="External"/><Relationship Id="rId21" Type="http://schemas.openxmlformats.org/officeDocument/2006/relationships/hyperlink" Target="TPRM_Toolkit_v1.0_Worked_Example.xlsx" TargetMode="External"/><Relationship Id="rId22" Type="http://schemas.openxmlformats.org/officeDocument/2006/relationships/hyperlink" Target="TPRM_Toolkit_v1.0_Worked_Example.xlsx" TargetMode="External"/><Relationship Id="rId23" Type="http://schemas.openxmlformats.org/officeDocument/2006/relationships/hyperlink" Target="TPRM_Toolkit_v1.0_Worked_Example.xlsx" TargetMode="External"/><Relationship Id="rId24" Type="http://schemas.openxmlformats.org/officeDocument/2006/relationships/hyperlink" Target="TPRM_Toolkit_v1.0_Worked_Example.xlsx" TargetMode="External"/><Relationship Id="rId25" Type="http://schemas.openxmlformats.org/officeDocument/2006/relationships/hyperlink" Target="TPRM_Toolkit_v1.0_Worked_Example.xlsx" TargetMode="External"/><Relationship Id="rId26" Type="http://schemas.openxmlformats.org/officeDocument/2006/relationships/hyperlink" Target="TPRM_Toolkit_v1.0_Worked_Example.xlsx" TargetMode="External"/><Relationship Id="rId27" Type="http://schemas.openxmlformats.org/officeDocument/2006/relationships/hyperlink" Target="TPRM_Toolkit_v1.0_Worked_Example.xlsx" TargetMode="External"/><Relationship Id="rId28" Type="http://schemas.openxmlformats.org/officeDocument/2006/relationships/hyperlink" Target="TPRM_Toolkit_v1.0_Worked_Example.xlsx" TargetMode="External"/><Relationship Id="rId29" Type="http://schemas.openxmlformats.org/officeDocument/2006/relationships/hyperlink" Target="TPRM_Toolkit_v1.0_Worked_Example.xlsx" TargetMode="External"/><Relationship Id="rId30" Type="http://schemas.openxmlformats.org/officeDocument/2006/relationships/hyperlink" Target="TPRM_Toolkit_v1.0_Worked_Example.xlsx" TargetMode="External"/><Relationship Id="rId31" Type="http://schemas.openxmlformats.org/officeDocument/2006/relationships/hyperlink" Target="TPRM_Toolkit_v1.0_Worked_Example.xlsx" TargetMode="External"/><Relationship Id="rId32" Type="http://schemas.openxmlformats.org/officeDocument/2006/relationships/hyperlink" Target="TPRM_Toolkit_v1.0_Worked_Example.xlsx" TargetMode="Externa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hyperlink" Target="TPRM_Toolkit_v1.0_Worked_Example.xlsx" TargetMode="Externa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hyperlink" Target="TPRM_Toolkit_v1.0_Worked_Example.xlsx" TargetMode="External"/><Relationship Id="rId2" Type="http://schemas.openxmlformats.org/officeDocument/2006/relationships/table" Target="../tables/table10.xm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hyperlink" Target="TPRM_Toolkit_v1.0_Worked_Example.xlsx" TargetMode="External"/><Relationship Id="rId2" Type="http://schemas.openxmlformats.org/officeDocument/2006/relationships/table" Target="../tables/table3.xml"/>
</Relationships>
</file>

<file path=xl/worksheets/_rels/sheet5.xml.rels><?xml version="1.0" encoding="UTF-8"?>
<Relationships xmlns="http://schemas.openxmlformats.org/package/2006/relationships"><Relationship Id="rId1" Type="http://schemas.openxmlformats.org/officeDocument/2006/relationships/hyperlink" Target="TPRM_Toolkit_v1.0_Worked_Example.xlsx" TargetMode="External"/><Relationship Id="rId2" Type="http://schemas.openxmlformats.org/officeDocument/2006/relationships/table" Target="../tables/table14.xml"/>
</Relationships>
</file>

<file path=xl/worksheets/_rels/sheet6.xml.rels><?xml version="1.0" encoding="UTF-8"?>
<Relationships xmlns="http://schemas.openxmlformats.org/package/2006/relationships"><Relationship Id="rId1" Type="http://schemas.openxmlformats.org/officeDocument/2006/relationships/hyperlink" Target="TPRM_Toolkit_v1.0_Worked_Example.xlsx" TargetMode="External"/><Relationship Id="rId2" Type="http://schemas.openxmlformats.org/officeDocument/2006/relationships/table" Target="../tables/table13.xml"/>
</Relationships>
</file>

<file path=xl/worksheets/_rels/sheet7.xml.rels><?xml version="1.0" encoding="UTF-8"?>
<Relationships xmlns="http://schemas.openxmlformats.org/package/2006/relationships"><Relationship Id="rId1" Type="http://schemas.openxmlformats.org/officeDocument/2006/relationships/hyperlink" Target="TPRM_Toolkit_v1.0_Worked_Example.xlsx" TargetMode="External"/><Relationship Id="rId2" Type="http://schemas.openxmlformats.org/officeDocument/2006/relationships/table" Target="../tables/table12.xml"/>
</Relationships>
</file>

<file path=xl/worksheets/_rels/sheet8.xml.rels><?xml version="1.0" encoding="UTF-8"?>
<Relationships xmlns="http://schemas.openxmlformats.org/package/2006/relationships"><Relationship Id="rId1" Type="http://schemas.openxmlformats.org/officeDocument/2006/relationships/hyperlink" Target="TPRM_Toolkit_v1.0_Worked_Example.xlsx" TargetMode="External"/><Relationship Id="rId2" Type="http://schemas.openxmlformats.org/officeDocument/2006/relationships/table" Target="../tables/table6.xml"/>
</Relationships>
</file>

<file path=xl/worksheets/_rels/sheet9.xml.rels><?xml version="1.0" encoding="UTF-8"?>
<Relationships xmlns="http://schemas.openxmlformats.org/package/2006/relationships"><Relationship Id="rId1" Type="http://schemas.openxmlformats.org/officeDocument/2006/relationships/hyperlink" Target="TPRM_Toolkit_v1.0_Worked_Example.xlsx" TargetMode="External"/><Relationship Id="rId2" Type="http://schemas.openxmlformats.org/officeDocument/2006/relationships/table" Target="../tables/table1.xml"/>
</Relationships>
</file>

<file path=xl/worksheets/_rels/sheet10.xml.rels><?xml version="1.0" encoding="UTF-8"?>
<Relationships xmlns="http://schemas.openxmlformats.org/package/2006/relationships"><Relationship Id="rId1" Type="http://schemas.openxmlformats.org/officeDocument/2006/relationships/hyperlink" Target="TPRM_Toolkit_v1.0_Worked_Example.xlsx" TargetMode="External"/><Relationship Id="rId2" Type="http://schemas.openxmlformats.org/officeDocument/2006/relationships/table" Target="../tables/table8.xml"/>
</Relationships>
</file>

<file path=xl/worksheets/_rels/sheet11.xml.rels><?xml version="1.0" encoding="UTF-8"?>
<Relationships xmlns="http://schemas.openxmlformats.org/package/2006/relationships"><Relationship Id="rId1" Type="http://schemas.openxmlformats.org/officeDocument/2006/relationships/hyperlink" Target="TPRM_Toolkit_v1.0_Worked_Example.xlsx" TargetMode="External"/><Relationship Id="rId2" Type="http://schemas.openxmlformats.org/officeDocument/2006/relationships/table" Target="../tables/table15.xml"/>
</Relationships>
</file>

<file path=xl/worksheets/_rels/sheet12.xml.rels><?xml version="1.0" encoding="UTF-8"?>
<Relationships xmlns="http://schemas.openxmlformats.org/package/2006/relationships"><Relationship Id="rId1" Type="http://schemas.openxmlformats.org/officeDocument/2006/relationships/hyperlink" Target="TPRM_Toolkit_v1.0_Worked_Example.xlsx" TargetMode="External"/><Relationship Id="rId2" Type="http://schemas.openxmlformats.org/officeDocument/2006/relationships/table" Target="../tables/table4.xml"/>
</Relationships>
</file>

<file path=xl/worksheets/_rels/sheet13.xml.rels><?xml version="1.0" encoding="UTF-8"?>
<Relationships xmlns="http://schemas.openxmlformats.org/package/2006/relationships"><Relationship Id="rId1" Type="http://schemas.openxmlformats.org/officeDocument/2006/relationships/hyperlink" Target="TPRM_Toolkit_v1.0_Worked_Example.xlsx" TargetMode="External"/><Relationship Id="rId2" Type="http://schemas.openxmlformats.org/officeDocument/2006/relationships/table" Target="../tables/table2.xml"/>
</Relationships>
</file>

<file path=xl/worksheets/_rels/sheet14.xml.rels><?xml version="1.0" encoding="UTF-8"?>
<Relationships xmlns="http://schemas.openxmlformats.org/package/2006/relationships"><Relationship Id="rId1" Type="http://schemas.openxmlformats.org/officeDocument/2006/relationships/hyperlink" Target="TPRM_Toolkit_v1.0_Worked_Example.xlsx" TargetMode="External"/><Relationship Id="rId2" Type="http://schemas.openxmlformats.org/officeDocument/2006/relationships/table" Target="../tables/table11.xml"/>
</Relationships>
</file>

<file path=xl/worksheets/_rels/sheet15.xml.rels><?xml version="1.0" encoding="UTF-8"?>
<Relationships xmlns="http://schemas.openxmlformats.org/package/2006/relationships"><Relationship Id="rId1" Type="http://schemas.openxmlformats.org/officeDocument/2006/relationships/hyperlink" Target="TPRM_Toolkit_v1.0_Worked_Example.xlsx" TargetMode="External"/><Relationship Id="rId2" Type="http://schemas.openxmlformats.org/officeDocument/2006/relationships/table" Target="../tables/table9.xml"/>
</Relationships>
</file>

<file path=xl/worksheets/_rels/sheet16.xml.rels><?xml version="1.0" encoding="UTF-8"?>
<Relationships xmlns="http://schemas.openxmlformats.org/package/2006/relationships"><Relationship Id="rId1" Type="http://schemas.openxmlformats.org/officeDocument/2006/relationships/hyperlink" Target="TPRM_Toolkit_v1.0_Worked_Example.xlsx" TargetMode="External"/><Relationship Id="rId2" Type="http://schemas.openxmlformats.org/officeDocument/2006/relationships/table" Target="../tables/table5.xml"/>
</Relationships>
</file>

<file path=xl/worksheets/_rels/sheet17.xml.rels><?xml version="1.0" encoding="UTF-8"?>
<Relationships xmlns="http://schemas.openxmlformats.org/package/2006/relationships"><Relationship Id="rId1" Type="http://schemas.openxmlformats.org/officeDocument/2006/relationships/hyperlink" Target="TPRM_Toolkit_v1.0_Worked_Example.xlsx" TargetMode="External"/><Relationship Id="rId2" Type="http://schemas.openxmlformats.org/officeDocument/2006/relationships/table" Target="../tables/table7.xml"/>
</Relationships>
</file>

<file path=xl/worksheets/_rels/sheet18.xml.rels><?xml version="1.0" encoding="UTF-8"?>
<Relationships xmlns="http://schemas.openxmlformats.org/package/2006/relationships"><Relationship Id="rId1" Type="http://schemas.openxmlformats.org/officeDocument/2006/relationships/hyperlink" Target="TPRM_Toolkit_v1.0_Worked_Example.xlsx" TargetMode="External"/>
</Relationships>
</file>

<file path=xl/worksheets/_rels/sheet19.xml.rels><?xml version="1.0" encoding="UTF-8"?>
<Relationships xmlns="http://schemas.openxmlformats.org/package/2006/relationships"><Relationship Id="rId1" Type="http://schemas.openxmlformats.org/officeDocument/2006/relationships/hyperlink" Target="TPRM_Toolkit_v1.0_Worked_Example.xlsx" TargetMode="External"/><Relationship Id="rId2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67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30"/>
    <col collapsed="false" customWidth="true" hidden="false" outlineLevel="0" max="2" min="2" style="1" width="34"/>
    <col collapsed="false" customWidth="true" hidden="false" outlineLevel="0" max="3" min="3" style="1" width="70"/>
    <col collapsed="false" customWidth="true" hidden="false" outlineLevel="0" max="4" min="4" style="1" width="30"/>
  </cols>
  <sheetData>
    <row r="1" customFormat="false" ht="22.05" hidden="false" customHeight="false" outlineLevel="0" collapsed="false">
      <c r="A1" s="2" t="s">
        <v>0</v>
      </c>
    </row>
    <row r="2" customFormat="false" ht="15" hidden="false" customHeight="false" outlineLevel="0" collapsed="false">
      <c r="A2" s="3" t="s">
        <v>1</v>
      </c>
    </row>
    <row r="3" customFormat="false" ht="15" hidden="false" customHeight="false" outlineLevel="0" collapsed="false">
      <c r="A3" s="4" t="s">
        <v>2</v>
      </c>
    </row>
    <row r="5" customFormat="false" ht="15" hidden="false" customHeight="false" outlineLevel="0" collapsed="false">
      <c r="A5" s="5" t="s">
        <v>3</v>
      </c>
      <c r="B5" s="6"/>
      <c r="C5" s="6"/>
      <c r="D5" s="6"/>
    </row>
    <row r="6" customFormat="false" ht="15" hidden="false" customHeight="false" outlineLevel="0" collapsed="false">
      <c r="A6" s="7" t="s">
        <v>4</v>
      </c>
      <c r="B6" s="8" t="str">
        <f aca="false">'02 Methodology &amp; Settings'!B5</f>
        <v>Worked example - fictional Meridian Financial Services scenario (all data invented)</v>
      </c>
      <c r="C6" s="8"/>
    </row>
    <row r="7" customFormat="false" ht="15" hidden="false" customHeight="false" outlineLevel="0" collapsed="false">
      <c r="A7" s="7" t="s">
        <v>5</v>
      </c>
      <c r="B7" s="8" t="str">
        <f aca="false">IF('02 Methodology &amp; Settings'!B6="","(not set)",'02 Methodology &amp; Settings'!B6)</f>
        <v>Meridian Financial Services (fictional)</v>
      </c>
      <c r="C7" s="8"/>
    </row>
    <row r="8" customFormat="false" ht="15" hidden="false" customHeight="false" outlineLevel="0" collapsed="false">
      <c r="A8" s="7" t="s">
        <v>6</v>
      </c>
      <c r="B8" s="9" t="n">
        <f aca="false">AsOf</f>
        <v>46323</v>
      </c>
      <c r="C8" s="9"/>
    </row>
    <row r="9" customFormat="false" ht="43.5" hidden="false" customHeight="true" outlineLevel="0" collapsed="false">
      <c r="A9" s="7" t="s">
        <v>7</v>
      </c>
      <c r="B9" s="8" t="str">
        <f aca="false">'02 Methodology &amp; Settings'!B18</f>
        <v>Configured: escalate residual risks rated High or above. Confirm this is approved by your organisation.</v>
      </c>
      <c r="C9" s="8"/>
    </row>
    <row r="10" customFormat="false" ht="15" hidden="false" customHeight="false" outlineLevel="0" collapsed="false">
      <c r="A10" s="7" t="s">
        <v>8</v>
      </c>
      <c r="B10" s="8" t="str">
        <f aca="false">IntegrityStatus</f>
        <v>All integrity checks passed</v>
      </c>
      <c r="C10" s="8"/>
    </row>
    <row r="12" customFormat="false" ht="15" hidden="false" customHeight="false" outlineLevel="0" collapsed="false">
      <c r="A12" s="5" t="s">
        <v>9</v>
      </c>
      <c r="B12" s="6"/>
      <c r="C12" s="6"/>
      <c r="D12" s="6"/>
    </row>
    <row r="13" customFormat="false" ht="15" hidden="false" customHeight="false" outlineLevel="0" collapsed="false">
      <c r="A13" s="7" t="s">
        <v>10</v>
      </c>
      <c r="B13" s="10" t="s">
        <v>11</v>
      </c>
      <c r="C13" s="11" t="s">
        <v>12</v>
      </c>
      <c r="D13" s="10" t="s">
        <v>13</v>
      </c>
    </row>
    <row r="14" customFormat="false" ht="15" hidden="false" customHeight="false" outlineLevel="0" collapsed="false">
      <c r="A14" s="7" t="s">
        <v>14</v>
      </c>
      <c r="B14" s="10" t="s">
        <v>15</v>
      </c>
      <c r="C14" s="11" t="s">
        <v>16</v>
      </c>
    </row>
    <row r="15" customFormat="false" ht="15" hidden="false" customHeight="false" outlineLevel="0" collapsed="false">
      <c r="A15" s="7" t="s">
        <v>17</v>
      </c>
      <c r="B15" s="10" t="s">
        <v>18</v>
      </c>
      <c r="C15" s="11" t="s">
        <v>19</v>
      </c>
      <c r="D15" s="10" t="s">
        <v>20</v>
      </c>
    </row>
    <row r="16" customFormat="false" ht="15" hidden="false" customHeight="false" outlineLevel="0" collapsed="false">
      <c r="A16" s="7" t="s">
        <v>21</v>
      </c>
      <c r="B16" s="10" t="s">
        <v>22</v>
      </c>
      <c r="C16" s="11" t="s">
        <v>23</v>
      </c>
      <c r="D16" s="10" t="s">
        <v>24</v>
      </c>
    </row>
    <row r="17" customFormat="false" ht="15" hidden="false" customHeight="false" outlineLevel="0" collapsed="false">
      <c r="A17" s="7" t="s">
        <v>25</v>
      </c>
      <c r="B17" s="10" t="s">
        <v>26</v>
      </c>
      <c r="C17" s="11" t="s">
        <v>27</v>
      </c>
      <c r="D17" s="10" t="s">
        <v>28</v>
      </c>
    </row>
    <row r="18" customFormat="false" ht="15" hidden="false" customHeight="false" outlineLevel="0" collapsed="false">
      <c r="A18" s="7" t="s">
        <v>29</v>
      </c>
      <c r="B18" s="10" t="s">
        <v>30</v>
      </c>
      <c r="C18" s="11" t="s">
        <v>31</v>
      </c>
      <c r="D18" s="10" t="s">
        <v>32</v>
      </c>
    </row>
    <row r="19" customFormat="false" ht="15" hidden="false" customHeight="false" outlineLevel="0" collapsed="false">
      <c r="A19" s="7" t="s">
        <v>33</v>
      </c>
      <c r="B19" s="10" t="s">
        <v>34</v>
      </c>
      <c r="C19" s="11" t="s">
        <v>35</v>
      </c>
      <c r="D19" s="10" t="s">
        <v>36</v>
      </c>
    </row>
    <row r="21" customFormat="false" ht="15" hidden="false" customHeight="false" outlineLevel="0" collapsed="false">
      <c r="A21" s="5" t="s">
        <v>37</v>
      </c>
      <c r="B21" s="6"/>
      <c r="C21" s="6"/>
      <c r="D21" s="6"/>
    </row>
    <row r="22" customFormat="false" ht="15" hidden="false" customHeight="false" outlineLevel="0" collapsed="false">
      <c r="A22" s="12" t="s">
        <v>38</v>
      </c>
      <c r="B22" s="10" t="s">
        <v>39</v>
      </c>
      <c r="C22" s="11" t="s">
        <v>40</v>
      </c>
    </row>
    <row r="23" customFormat="false" ht="15" hidden="false" customHeight="false" outlineLevel="0" collapsed="false">
      <c r="A23" s="12" t="s">
        <v>38</v>
      </c>
      <c r="B23" s="10" t="s">
        <v>41</v>
      </c>
      <c r="C23" s="11" t="s">
        <v>42</v>
      </c>
    </row>
    <row r="24" customFormat="false" ht="15" hidden="false" customHeight="false" outlineLevel="0" collapsed="false">
      <c r="A24" s="12" t="s">
        <v>38</v>
      </c>
      <c r="B24" s="10" t="s">
        <v>11</v>
      </c>
      <c r="C24" s="11" t="s">
        <v>43</v>
      </c>
    </row>
    <row r="25" customFormat="false" ht="15" hidden="false" customHeight="false" outlineLevel="0" collapsed="false">
      <c r="A25" s="12" t="s">
        <v>44</v>
      </c>
      <c r="B25" s="10" t="s">
        <v>13</v>
      </c>
      <c r="C25" s="11" t="s">
        <v>45</v>
      </c>
    </row>
    <row r="26" customFormat="false" ht="15" hidden="false" customHeight="false" outlineLevel="0" collapsed="false">
      <c r="A26" s="12" t="s">
        <v>44</v>
      </c>
      <c r="B26" s="10" t="s">
        <v>15</v>
      </c>
      <c r="C26" s="11" t="s">
        <v>46</v>
      </c>
    </row>
    <row r="27" customFormat="false" ht="15" hidden="false" customHeight="false" outlineLevel="0" collapsed="false">
      <c r="A27" s="12" t="s">
        <v>44</v>
      </c>
      <c r="B27" s="10" t="s">
        <v>47</v>
      </c>
      <c r="C27" s="11" t="s">
        <v>48</v>
      </c>
    </row>
    <row r="28" customFormat="false" ht="15" hidden="false" customHeight="false" outlineLevel="0" collapsed="false">
      <c r="A28" s="12" t="s">
        <v>44</v>
      </c>
      <c r="B28" s="10" t="s">
        <v>18</v>
      </c>
      <c r="C28" s="11" t="s">
        <v>49</v>
      </c>
    </row>
    <row r="29" customFormat="false" ht="15" hidden="false" customHeight="false" outlineLevel="0" collapsed="false">
      <c r="A29" s="12" t="s">
        <v>44</v>
      </c>
      <c r="B29" s="10" t="s">
        <v>20</v>
      </c>
      <c r="C29" s="11" t="s">
        <v>50</v>
      </c>
    </row>
    <row r="30" customFormat="false" ht="15" hidden="false" customHeight="false" outlineLevel="0" collapsed="false">
      <c r="A30" s="12" t="s">
        <v>44</v>
      </c>
      <c r="B30" s="10" t="s">
        <v>22</v>
      </c>
      <c r="C30" s="11" t="s">
        <v>51</v>
      </c>
    </row>
    <row r="31" customFormat="false" ht="15" hidden="false" customHeight="false" outlineLevel="0" collapsed="false">
      <c r="A31" s="12" t="s">
        <v>52</v>
      </c>
      <c r="B31" s="10" t="s">
        <v>24</v>
      </c>
      <c r="C31" s="11" t="s">
        <v>53</v>
      </c>
    </row>
    <row r="32" customFormat="false" ht="15" hidden="false" customHeight="false" outlineLevel="0" collapsed="false">
      <c r="A32" s="12" t="s">
        <v>52</v>
      </c>
      <c r="B32" s="10" t="s">
        <v>26</v>
      </c>
      <c r="C32" s="11" t="s">
        <v>54</v>
      </c>
    </row>
    <row r="33" customFormat="false" ht="15" hidden="false" customHeight="false" outlineLevel="0" collapsed="false">
      <c r="A33" s="12" t="s">
        <v>52</v>
      </c>
      <c r="B33" s="10" t="s">
        <v>28</v>
      </c>
      <c r="C33" s="11" t="s">
        <v>55</v>
      </c>
    </row>
    <row r="34" customFormat="false" ht="15" hidden="false" customHeight="false" outlineLevel="0" collapsed="false">
      <c r="A34" s="12" t="s">
        <v>52</v>
      </c>
      <c r="B34" s="10" t="s">
        <v>56</v>
      </c>
      <c r="C34" s="11" t="s">
        <v>57</v>
      </c>
    </row>
    <row r="35" customFormat="false" ht="15" hidden="false" customHeight="false" outlineLevel="0" collapsed="false">
      <c r="A35" s="12" t="s">
        <v>58</v>
      </c>
      <c r="B35" s="10" t="s">
        <v>30</v>
      </c>
      <c r="C35" s="11" t="s">
        <v>59</v>
      </c>
    </row>
    <row r="36" customFormat="false" ht="15" hidden="false" customHeight="false" outlineLevel="0" collapsed="false">
      <c r="A36" s="12" t="s">
        <v>58</v>
      </c>
      <c r="B36" s="10" t="s">
        <v>60</v>
      </c>
      <c r="C36" s="11" t="s">
        <v>61</v>
      </c>
    </row>
    <row r="37" customFormat="false" ht="15" hidden="false" customHeight="false" outlineLevel="0" collapsed="false">
      <c r="A37" s="12" t="s">
        <v>58</v>
      </c>
      <c r="B37" s="10" t="s">
        <v>62</v>
      </c>
      <c r="C37" s="11" t="s">
        <v>63</v>
      </c>
    </row>
    <row r="38" customFormat="false" ht="15" hidden="false" customHeight="false" outlineLevel="0" collapsed="false">
      <c r="A38" s="12" t="s">
        <v>58</v>
      </c>
      <c r="B38" s="10" t="s">
        <v>32</v>
      </c>
      <c r="C38" s="11" t="s">
        <v>64</v>
      </c>
    </row>
    <row r="39" customFormat="false" ht="15" hidden="false" customHeight="false" outlineLevel="0" collapsed="false">
      <c r="A39" s="12" t="s">
        <v>65</v>
      </c>
      <c r="B39" s="10" t="s">
        <v>34</v>
      </c>
      <c r="C39" s="11" t="s">
        <v>66</v>
      </c>
    </row>
    <row r="40" customFormat="false" ht="15" hidden="false" customHeight="false" outlineLevel="0" collapsed="false">
      <c r="A40" s="12" t="s">
        <v>65</v>
      </c>
      <c r="B40" s="10" t="s">
        <v>36</v>
      </c>
      <c r="C40" s="11" t="s">
        <v>67</v>
      </c>
    </row>
    <row r="42" customFormat="false" ht="15" hidden="false" customHeight="false" outlineLevel="0" collapsed="false">
      <c r="A42" s="5" t="s">
        <v>68</v>
      </c>
      <c r="B42" s="6"/>
      <c r="C42" s="6"/>
      <c r="D42" s="6"/>
    </row>
    <row r="43" customFormat="false" ht="15" hidden="false" customHeight="false" outlineLevel="0" collapsed="false">
      <c r="A43" s="13" t="s">
        <v>69</v>
      </c>
      <c r="C43" s="11" t="s">
        <v>70</v>
      </c>
    </row>
    <row r="44" customFormat="false" ht="15" hidden="false" customHeight="false" outlineLevel="0" collapsed="false">
      <c r="A44" s="14" t="s">
        <v>71</v>
      </c>
      <c r="C44" s="11" t="s">
        <v>72</v>
      </c>
    </row>
    <row r="45" customFormat="false" ht="15" hidden="false" customHeight="false" outlineLevel="0" collapsed="false">
      <c r="A45" s="15" t="s">
        <v>73</v>
      </c>
      <c r="C45" s="11" t="s">
        <v>74</v>
      </c>
    </row>
    <row r="46" customFormat="false" ht="15" hidden="false" customHeight="false" outlineLevel="0" collapsed="false">
      <c r="A46" s="16" t="s">
        <v>75</v>
      </c>
      <c r="C46" s="11" t="s">
        <v>76</v>
      </c>
    </row>
    <row r="47" customFormat="false" ht="15" hidden="false" customHeight="false" outlineLevel="0" collapsed="false">
      <c r="A47" s="17" t="s">
        <v>77</v>
      </c>
      <c r="C47" s="11" t="s">
        <v>78</v>
      </c>
    </row>
    <row r="48" customFormat="false" ht="15" hidden="false" customHeight="false" outlineLevel="0" collapsed="false">
      <c r="A48" s="18" t="s">
        <v>79</v>
      </c>
      <c r="C48" s="11" t="s">
        <v>80</v>
      </c>
    </row>
    <row r="49" customFormat="false" ht="15" hidden="false" customHeight="false" outlineLevel="0" collapsed="false">
      <c r="A49" s="19" t="s">
        <v>81</v>
      </c>
      <c r="C49" s="11" t="s">
        <v>82</v>
      </c>
    </row>
    <row r="51" customFormat="false" ht="15" hidden="false" customHeight="false" outlineLevel="0" collapsed="false">
      <c r="A51" s="5" t="s">
        <v>83</v>
      </c>
      <c r="B51" s="6"/>
      <c r="C51" s="6"/>
      <c r="D51" s="6"/>
    </row>
    <row r="52" customFormat="false" ht="30" hidden="false" customHeight="true" outlineLevel="0" collapsed="false">
      <c r="A52" s="20" t="s">
        <v>84</v>
      </c>
      <c r="B52" s="21" t="s">
        <v>85</v>
      </c>
      <c r="C52" s="21"/>
      <c r="D52" s="21"/>
    </row>
    <row r="53" customFormat="false" ht="30" hidden="false" customHeight="true" outlineLevel="0" collapsed="false">
      <c r="A53" s="20" t="s">
        <v>84</v>
      </c>
      <c r="B53" s="21" t="s">
        <v>86</v>
      </c>
      <c r="C53" s="21"/>
      <c r="D53" s="21"/>
    </row>
    <row r="54" customFormat="false" ht="30" hidden="false" customHeight="true" outlineLevel="0" collapsed="false">
      <c r="A54" s="20" t="s">
        <v>84</v>
      </c>
      <c r="B54" s="21" t="s">
        <v>87</v>
      </c>
      <c r="C54" s="21"/>
      <c r="D54" s="21"/>
    </row>
    <row r="55" customFormat="false" ht="30" hidden="false" customHeight="true" outlineLevel="0" collapsed="false">
      <c r="A55" s="20" t="s">
        <v>84</v>
      </c>
      <c r="B55" s="21" t="s">
        <v>88</v>
      </c>
      <c r="C55" s="21"/>
      <c r="D55" s="21"/>
    </row>
    <row r="56" customFormat="false" ht="30" hidden="false" customHeight="true" outlineLevel="0" collapsed="false">
      <c r="A56" s="20" t="s">
        <v>84</v>
      </c>
      <c r="B56" s="21" t="s">
        <v>89</v>
      </c>
      <c r="C56" s="21"/>
      <c r="D56" s="21"/>
    </row>
    <row r="57" customFormat="false" ht="30" hidden="false" customHeight="true" outlineLevel="0" collapsed="false">
      <c r="A57" s="20" t="s">
        <v>84</v>
      </c>
      <c r="B57" s="21" t="s">
        <v>90</v>
      </c>
      <c r="C57" s="21"/>
      <c r="D57" s="21"/>
    </row>
    <row r="58" customFormat="false" ht="30" hidden="false" customHeight="true" outlineLevel="0" collapsed="false">
      <c r="A58" s="20" t="s">
        <v>84</v>
      </c>
      <c r="B58" s="21" t="s">
        <v>91</v>
      </c>
      <c r="C58" s="21"/>
      <c r="D58" s="21"/>
    </row>
    <row r="59" customFormat="false" ht="30" hidden="false" customHeight="true" outlineLevel="0" collapsed="false">
      <c r="A59" s="20" t="s">
        <v>84</v>
      </c>
      <c r="B59" s="21" t="s">
        <v>92</v>
      </c>
      <c r="C59" s="21"/>
      <c r="D59" s="21"/>
    </row>
    <row r="61" customFormat="false" ht="15" hidden="false" customHeight="false" outlineLevel="0" collapsed="false">
      <c r="A61" s="5" t="s">
        <v>93</v>
      </c>
      <c r="B61" s="6"/>
      <c r="C61" s="6"/>
      <c r="D61" s="6"/>
    </row>
    <row r="62" customFormat="false" ht="43.5" hidden="false" customHeight="true" outlineLevel="0" collapsed="false">
      <c r="A62" s="20" t="s">
        <v>84</v>
      </c>
      <c r="B62" s="21" t="s">
        <v>94</v>
      </c>
      <c r="C62" s="21"/>
      <c r="D62" s="21"/>
    </row>
    <row r="63" customFormat="false" ht="43.5" hidden="false" customHeight="true" outlineLevel="0" collapsed="false">
      <c r="A63" s="20" t="s">
        <v>84</v>
      </c>
      <c r="B63" s="21" t="s">
        <v>95</v>
      </c>
      <c r="C63" s="21"/>
      <c r="D63" s="21"/>
    </row>
    <row r="64" customFormat="false" ht="43.5" hidden="false" customHeight="true" outlineLevel="0" collapsed="false">
      <c r="A64" s="20" t="s">
        <v>84</v>
      </c>
      <c r="B64" s="21" t="s">
        <v>96</v>
      </c>
      <c r="C64" s="21"/>
      <c r="D64" s="21"/>
    </row>
    <row r="65" customFormat="false" ht="43.5" hidden="false" customHeight="true" outlineLevel="0" collapsed="false">
      <c r="A65" s="20" t="s">
        <v>84</v>
      </c>
      <c r="B65" s="21" t="s">
        <v>97</v>
      </c>
      <c r="C65" s="21"/>
      <c r="D65" s="21"/>
    </row>
    <row r="66" customFormat="false" ht="43.5" hidden="false" customHeight="true" outlineLevel="0" collapsed="false">
      <c r="A66" s="20" t="s">
        <v>84</v>
      </c>
      <c r="B66" s="21" t="s">
        <v>98</v>
      </c>
      <c r="C66" s="21"/>
      <c r="D66" s="21"/>
    </row>
    <row r="67" customFormat="false" ht="43.5" hidden="false" customHeight="true" outlineLevel="0" collapsed="false">
      <c r="A67" s="20" t="s">
        <v>84</v>
      </c>
      <c r="B67" s="21" t="s">
        <v>99</v>
      </c>
      <c r="C67" s="21"/>
      <c r="D67" s="21"/>
    </row>
  </sheetData>
  <sheetProtection sheet="true" formatColumns="false" formatRows="false" sort="false" autoFilter="false"/>
  <mergeCells count="19">
    <mergeCell ref="B6:C6"/>
    <mergeCell ref="B7:C7"/>
    <mergeCell ref="B8:C8"/>
    <mergeCell ref="B9:C9"/>
    <mergeCell ref="B10:C10"/>
    <mergeCell ref="B52:D52"/>
    <mergeCell ref="B53:D53"/>
    <mergeCell ref="B54:D54"/>
    <mergeCell ref="B55:D55"/>
    <mergeCell ref="B56:D56"/>
    <mergeCell ref="B57:D57"/>
    <mergeCell ref="B58:D58"/>
    <mergeCell ref="B59:D59"/>
    <mergeCell ref="B62:D62"/>
    <mergeCell ref="B63:D63"/>
    <mergeCell ref="B64:D64"/>
    <mergeCell ref="B65:D65"/>
    <mergeCell ref="B66:D66"/>
    <mergeCell ref="B67:D67"/>
  </mergeCells>
  <conditionalFormatting sqref="B10">
    <cfRule type="expression" priority="2" aboveAverage="0" equalAverage="0" bottom="0" percent="0" rank="0" text="" dxfId="0">
      <formula>LEFT($B$10,9)="ATTENTION"</formula>
    </cfRule>
    <cfRule type="expression" priority="3" aboveAverage="0" equalAverage="0" bottom="0" percent="0" rank="0" text="" dxfId="1">
      <formula>LEFT($B$10,3)="All"</formula>
    </cfRule>
  </conditionalFormatting>
  <conditionalFormatting sqref="B9">
    <cfRule type="expression" priority="4" aboveAverage="0" equalAverage="0" bottom="0" percent="0" rank="0" text="" dxfId="2">
      <formula>LEFT($B$9,3)="NOT"</formula>
    </cfRule>
  </conditionalFormatting>
  <hyperlinks>
    <hyperlink ref="B13" r:id="rId1" location="'03%20Supplier%20Inventory'!A1" display="03 Supplier Inventory"/>
    <hyperlink ref="D13" r:id="rId2" location="'04%20Criticality%20Assessment'!A1" display="04 Criticality Assessment"/>
    <hyperlink ref="B14" r:id="rId3" location="'05%20Supplier%20Risk%20Register'!A1" display="05 Supplier Risk Register"/>
    <hyperlink ref="B15" r:id="rId4" location="'07%20Questionnaire%20Assessment'!A1" display="07 Questionnaire Assessment"/>
    <hyperlink ref="D15" r:id="rId5" location="'08%20Evidence%20Register'!A1" display="08 Evidence Register"/>
    <hyperlink ref="B16" r:id="rId6" location="'09%20Control%20Assessment'!A1" display="09 Control Assessment"/>
    <hyperlink ref="D16" r:id="rId7" location="'10%20Findings%20Register'!A1" display="10 Findings Register"/>
    <hyperlink ref="B17" r:id="rId8" location="'11%20Treatment%20Tracker'!A1" display="11 Treatment Tracker"/>
    <hyperlink ref="D17" r:id="rId9" location="'12%20Acceptance%20&amp;%20Decisions'!A1" display="12 Acceptance &amp; Decisions"/>
    <hyperlink ref="B18" r:id="rId10" location="'14%20Supplier%20Monitoring'!A1" display="14 Supplier Monitoring"/>
    <hyperlink ref="D18" r:id="rId11" location="'17%20Supplier%20Exit%20Tracker'!A1" display="17 Supplier Exit Tracker"/>
    <hyperlink ref="B19" r:id="rId12" location="'18%20Assessment%20Report'!A1" display="18 Assessment Report"/>
    <hyperlink ref="D19" r:id="rId13" location="'19%20Portfolio%20Dashboard'!A1" display="19 Portfolio Dashboard"/>
    <hyperlink ref="B22" r:id="rId14" location="'01%20Start%20Here'!A1" display="01 Start Here"/>
    <hyperlink ref="B23" r:id="rId15" location="'02%20Methodology%20&amp;%20Settings'!A1" display="02 Methodology &amp; Settings"/>
    <hyperlink ref="B24" r:id="rId16" location="'03%20Supplier%20Inventory'!A1" display="03 Supplier Inventory"/>
    <hyperlink ref="B25" r:id="rId17" location="'04%20Criticality%20Assessment'!A1" display="04 Criticality Assessment"/>
    <hyperlink ref="B26" r:id="rId18" location="'05%20Supplier%20Risk%20Register'!A1" display="05 Supplier Risk Register"/>
    <hyperlink ref="B27" r:id="rId19" location="'06%20Due%20Diligence%20Question%20Bank'!A1" display="06 Due Diligence Question Bank"/>
    <hyperlink ref="B28" r:id="rId20" location="'07%20Questionnaire%20Assessment'!A1" display="07 Questionnaire Assessment"/>
    <hyperlink ref="B29" r:id="rId21" location="'08%20Evidence%20Register'!A1" display="08 Evidence Register"/>
    <hyperlink ref="B30" r:id="rId22" location="'09%20Control%20Assessment'!A1" display="09 Control Assessment"/>
    <hyperlink ref="B31" r:id="rId23" location="'10%20Findings%20Register'!A1" display="10 Findings Register"/>
    <hyperlink ref="B32" r:id="rId24" location="'11%20Treatment%20Tracker'!A1" display="11 Treatment Tracker"/>
    <hyperlink ref="B33" r:id="rId25" location="'12%20Acceptance%20&amp;%20Decisions'!A1" display="12 Acceptance &amp; Decisions"/>
    <hyperlink ref="B34" r:id="rId26" location="'13%20Contract%20Requirements'!A1" display="13 Contract Requirements"/>
    <hyperlink ref="B35" r:id="rId27" location="'14%20Supplier%20Monitoring'!A1" display="14 Supplier Monitoring"/>
    <hyperlink ref="B36" r:id="rId28" location="'15%20Incident%20Log'!A1" display="15 Incident Log"/>
    <hyperlink ref="B37" r:id="rId29" location="'16%20Dependency%20&amp;%20Concentration'!A1" display="16 Dependency &amp; Concentration"/>
    <hyperlink ref="B38" r:id="rId30" location="'17%20Supplier%20Exit%20Tracker'!A1" display="17 Supplier Exit Tracker"/>
    <hyperlink ref="B39" r:id="rId31" location="'18%20Assessment%20Report'!A1" display="18 Assessment Report"/>
    <hyperlink ref="B40" r:id="rId32" location="'19%20Portfolio%20Dashboard'!A1" display="19 Portfolio Dashboard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Y7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52"/>
    <col collapsed="false" customWidth="true" hidden="false" outlineLevel="0" max="4" min="2" style="1" width="46"/>
    <col collapsed="false" customWidth="true" hidden="false" outlineLevel="0" max="59" min="5" style="1" width="26"/>
  </cols>
  <sheetData>
    <row r="1" customFormat="false" ht="17.35" hidden="false" customHeight="false" outlineLevel="0" collapsed="false">
      <c r="A1" s="22" t="s">
        <v>41</v>
      </c>
      <c r="D1" s="10" t="s">
        <v>100</v>
      </c>
    </row>
    <row r="2" customFormat="false" ht="15" hidden="false" customHeight="false" outlineLevel="0" collapsed="false">
      <c r="A2" s="3" t="s">
        <v>101</v>
      </c>
    </row>
    <row r="4" customFormat="false" ht="15" hidden="false" customHeight="false" outlineLevel="0" collapsed="false">
      <c r="A4" s="5" t="s">
        <v>102</v>
      </c>
      <c r="B4" s="6"/>
      <c r="C4" s="6"/>
      <c r="D4" s="6"/>
    </row>
    <row r="5" customFormat="false" ht="23.85" hidden="false" customHeight="false" outlineLevel="0" collapsed="false">
      <c r="A5" s="7" t="s">
        <v>103</v>
      </c>
      <c r="B5" s="23" t="s">
        <v>104</v>
      </c>
    </row>
    <row r="6" customFormat="false" ht="15" hidden="false" customHeight="false" outlineLevel="0" collapsed="false">
      <c r="A6" s="7" t="s">
        <v>105</v>
      </c>
      <c r="B6" s="24" t="s">
        <v>106</v>
      </c>
    </row>
    <row r="7" customFormat="false" ht="15" hidden="false" customHeight="false" outlineLevel="0" collapsed="false">
      <c r="A7" s="7" t="s">
        <v>107</v>
      </c>
      <c r="B7" s="25" t="n">
        <v>46323</v>
      </c>
      <c r="C7" s="26" t="s">
        <v>108</v>
      </c>
    </row>
    <row r="8" customFormat="false" ht="15" hidden="false" customHeight="false" outlineLevel="0" collapsed="false">
      <c r="A8" s="7" t="s">
        <v>109</v>
      </c>
      <c r="B8" s="27" t="n">
        <f aca="true">IF(B7="",TODAY(),B7)</f>
        <v>46323</v>
      </c>
    </row>
    <row r="9" customFormat="false" ht="15" hidden="false" customHeight="false" outlineLevel="0" collapsed="false">
      <c r="A9" s="7" t="s">
        <v>110</v>
      </c>
      <c r="B9" s="24" t="n">
        <v>60</v>
      </c>
    </row>
    <row r="10" customFormat="false" ht="15" hidden="false" customHeight="false" outlineLevel="0" collapsed="false">
      <c r="A10" s="7" t="s">
        <v>111</v>
      </c>
      <c r="B10" s="24" t="n">
        <v>30</v>
      </c>
    </row>
    <row r="11" customFormat="false" ht="15" hidden="false" customHeight="false" outlineLevel="0" collapsed="false">
      <c r="A11" s="7" t="s">
        <v>112</v>
      </c>
      <c r="B11" s="24" t="n">
        <v>30</v>
      </c>
    </row>
    <row r="12" customFormat="false" ht="15" hidden="false" customHeight="false" outlineLevel="0" collapsed="false">
      <c r="A12" s="7" t="s">
        <v>113</v>
      </c>
      <c r="B12" s="24" t="n">
        <v>90</v>
      </c>
    </row>
    <row r="13" customFormat="false" ht="15" hidden="false" customHeight="false" outlineLevel="0" collapsed="false">
      <c r="A13" s="7" t="s">
        <v>114</v>
      </c>
      <c r="B13" s="24" t="n">
        <v>2</v>
      </c>
    </row>
    <row r="15" customFormat="false" ht="15" hidden="false" customHeight="false" outlineLevel="0" collapsed="false">
      <c r="A15" s="5" t="s">
        <v>115</v>
      </c>
      <c r="B15" s="6"/>
      <c r="C15" s="6"/>
      <c r="D15" s="6"/>
    </row>
    <row r="16" customFormat="false" ht="30" hidden="false" customHeight="true" outlineLevel="0" collapsed="false">
      <c r="A16" s="28" t="s">
        <v>116</v>
      </c>
      <c r="B16" s="29" t="s">
        <v>117</v>
      </c>
    </row>
    <row r="17" customFormat="false" ht="42" hidden="false" customHeight="true" outlineLevel="0" collapsed="false">
      <c r="A17" s="7" t="s">
        <v>118</v>
      </c>
      <c r="B17" s="30" t="s">
        <v>119</v>
      </c>
    </row>
    <row r="18" customFormat="false" ht="42" hidden="false" customHeight="true" outlineLevel="0" collapsed="false">
      <c r="A18" s="7" t="s">
        <v>120</v>
      </c>
      <c r="B18" s="31" t="str">
        <f aca="false">IF(B16="","NOT CONFIGURED - risk appetite status will show 'Not configured' (never 'Within appetite')","Configured: escalate residual risks rated "&amp;B16&amp;" or above. Confirm this is approved by your organisation.")</f>
        <v>Configured: escalate residual risks rated High or above. Confirm this is approved by your organisation.</v>
      </c>
      <c r="C18" s="26" t="s">
        <v>121</v>
      </c>
    </row>
    <row r="20" customFormat="false" ht="15" hidden="false" customHeight="false" outlineLevel="0" collapsed="false">
      <c r="A20" s="5" t="s">
        <v>122</v>
      </c>
      <c r="B20" s="6"/>
      <c r="C20" s="6"/>
      <c r="D20" s="6"/>
    </row>
    <row r="21" customFormat="false" ht="15" hidden="false" customHeight="false" outlineLevel="0" collapsed="false">
      <c r="A21" s="32" t="s">
        <v>123</v>
      </c>
      <c r="B21" s="32" t="s">
        <v>124</v>
      </c>
      <c r="C21" s="32" t="s">
        <v>125</v>
      </c>
      <c r="D21" s="32" t="s">
        <v>126</v>
      </c>
    </row>
    <row r="22" customFormat="false" ht="42" hidden="false" customHeight="true" outlineLevel="0" collapsed="false">
      <c r="A22" s="33" t="s">
        <v>127</v>
      </c>
      <c r="B22" s="34" t="s">
        <v>128</v>
      </c>
      <c r="C22" s="34" t="s">
        <v>129</v>
      </c>
      <c r="D22" s="34" t="s">
        <v>130</v>
      </c>
    </row>
    <row r="23" customFormat="false" ht="42" hidden="false" customHeight="true" outlineLevel="0" collapsed="false">
      <c r="A23" s="33" t="s">
        <v>131</v>
      </c>
      <c r="B23" s="34" t="s">
        <v>132</v>
      </c>
      <c r="C23" s="34" t="s">
        <v>133</v>
      </c>
      <c r="D23" s="34" t="s">
        <v>134</v>
      </c>
    </row>
    <row r="24" customFormat="false" ht="42" hidden="false" customHeight="true" outlineLevel="0" collapsed="false">
      <c r="A24" s="33" t="s">
        <v>135</v>
      </c>
      <c r="B24" s="34" t="s">
        <v>136</v>
      </c>
      <c r="C24" s="34" t="s">
        <v>137</v>
      </c>
      <c r="D24" s="34" t="s">
        <v>138</v>
      </c>
    </row>
    <row r="25" customFormat="false" ht="42" hidden="false" customHeight="true" outlineLevel="0" collapsed="false">
      <c r="A25" s="33" t="s">
        <v>139</v>
      </c>
      <c r="B25" s="34" t="s">
        <v>140</v>
      </c>
      <c r="C25" s="34" t="s">
        <v>141</v>
      </c>
      <c r="D25" s="34" t="s">
        <v>142</v>
      </c>
    </row>
    <row r="26" customFormat="false" ht="42" hidden="false" customHeight="true" outlineLevel="0" collapsed="false">
      <c r="A26" s="33" t="s">
        <v>143</v>
      </c>
      <c r="B26" s="34" t="s">
        <v>144</v>
      </c>
      <c r="C26" s="34" t="s">
        <v>145</v>
      </c>
      <c r="D26" s="34" t="s">
        <v>146</v>
      </c>
    </row>
    <row r="28" customFormat="false" ht="15" hidden="false" customHeight="false" outlineLevel="0" collapsed="false">
      <c r="A28" s="5" t="s">
        <v>147</v>
      </c>
      <c r="B28" s="6"/>
      <c r="C28" s="6"/>
      <c r="D28" s="6"/>
    </row>
    <row r="29" customFormat="false" ht="15" hidden="false" customHeight="false" outlineLevel="0" collapsed="false">
      <c r="A29" s="35" t="s">
        <v>148</v>
      </c>
      <c r="B29" s="35" t="s">
        <v>149</v>
      </c>
      <c r="C29" s="35" t="s">
        <v>150</v>
      </c>
      <c r="D29" s="35" t="s">
        <v>151</v>
      </c>
    </row>
    <row r="30" customFormat="false" ht="43.5" hidden="false" customHeight="true" outlineLevel="0" collapsed="false">
      <c r="A30" s="33" t="s">
        <v>117</v>
      </c>
      <c r="B30" s="36" t="s">
        <v>152</v>
      </c>
      <c r="C30" s="34" t="s">
        <v>153</v>
      </c>
      <c r="D30" s="34" t="n">
        <v>6</v>
      </c>
    </row>
    <row r="31" customFormat="false" ht="43.5" hidden="false" customHeight="true" outlineLevel="0" collapsed="false">
      <c r="A31" s="33" t="s">
        <v>154</v>
      </c>
      <c r="B31" s="36" t="s">
        <v>155</v>
      </c>
      <c r="C31" s="34" t="s">
        <v>156</v>
      </c>
      <c r="D31" s="34" t="n">
        <v>12</v>
      </c>
    </row>
    <row r="32" customFormat="false" ht="43.5" hidden="false" customHeight="true" outlineLevel="0" collapsed="false">
      <c r="A32" s="33" t="s">
        <v>157</v>
      </c>
      <c r="B32" s="36" t="s">
        <v>158</v>
      </c>
      <c r="C32" s="34" t="s">
        <v>159</v>
      </c>
      <c r="D32" s="34" t="n">
        <v>24</v>
      </c>
    </row>
    <row r="33" customFormat="false" ht="15" hidden="false" customHeight="false" outlineLevel="0" collapsed="false">
      <c r="A33" s="37" t="s">
        <v>160</v>
      </c>
    </row>
    <row r="34" customFormat="false" ht="15" hidden="false" customHeight="false" outlineLevel="0" collapsed="false">
      <c r="A34" s="37" t="s">
        <v>161</v>
      </c>
    </row>
    <row r="35" customFormat="false" ht="15" hidden="false" customHeight="false" outlineLevel="0" collapsed="false">
      <c r="A35" s="5" t="s">
        <v>162</v>
      </c>
      <c r="B35" s="6"/>
      <c r="C35" s="6"/>
      <c r="D35" s="6"/>
    </row>
    <row r="36" customFormat="false" ht="15" hidden="false" customHeight="false" outlineLevel="0" collapsed="false">
      <c r="A36" s="37" t="s">
        <v>163</v>
      </c>
    </row>
    <row r="37" customFormat="false" ht="15" hidden="false" customHeight="false" outlineLevel="0" collapsed="false">
      <c r="A37" s="38" t="s">
        <v>164</v>
      </c>
      <c r="B37" s="38" t="s">
        <v>165</v>
      </c>
      <c r="C37" s="38" t="s">
        <v>166</v>
      </c>
    </row>
    <row r="38" customFormat="false" ht="15" hidden="false" customHeight="false" outlineLevel="0" collapsed="false">
      <c r="A38" s="39" t="n">
        <v>1</v>
      </c>
      <c r="B38" s="40" t="s">
        <v>157</v>
      </c>
      <c r="C38" s="39" t="s">
        <v>167</v>
      </c>
    </row>
    <row r="39" customFormat="false" ht="15" hidden="false" customHeight="false" outlineLevel="0" collapsed="false">
      <c r="A39" s="39" t="n">
        <v>6</v>
      </c>
      <c r="B39" s="40" t="s">
        <v>168</v>
      </c>
      <c r="C39" s="39" t="s">
        <v>169</v>
      </c>
    </row>
    <row r="40" customFormat="false" ht="15" hidden="false" customHeight="false" outlineLevel="0" collapsed="false">
      <c r="A40" s="39" t="n">
        <v>11</v>
      </c>
      <c r="B40" s="40" t="s">
        <v>117</v>
      </c>
      <c r="C40" s="39" t="s">
        <v>170</v>
      </c>
    </row>
    <row r="41" customFormat="false" ht="15" hidden="false" customHeight="false" outlineLevel="0" collapsed="false">
      <c r="A41" s="39" t="n">
        <v>16</v>
      </c>
      <c r="B41" s="40" t="s">
        <v>171</v>
      </c>
      <c r="C41" s="39" t="s">
        <v>172</v>
      </c>
    </row>
    <row r="43" customFormat="false" ht="15" hidden="false" customHeight="false" outlineLevel="0" collapsed="false">
      <c r="A43" s="5" t="s">
        <v>173</v>
      </c>
      <c r="B43" s="6"/>
      <c r="C43" s="6"/>
      <c r="D43" s="6"/>
      <c r="E43" s="6"/>
      <c r="F43" s="6"/>
      <c r="G43" s="6"/>
    </row>
    <row r="44" customFormat="false" ht="15" hidden="false" customHeight="false" outlineLevel="0" collapsed="false">
      <c r="A44" s="7" t="s">
        <v>174</v>
      </c>
      <c r="B44" s="41" t="n">
        <v>1</v>
      </c>
      <c r="C44" s="41" t="n">
        <v>2</v>
      </c>
      <c r="D44" s="41" t="n">
        <v>3</v>
      </c>
      <c r="E44" s="41" t="n">
        <v>4</v>
      </c>
      <c r="F44" s="41" t="n">
        <v>5</v>
      </c>
    </row>
    <row r="45" customFormat="false" ht="15" hidden="false" customHeight="false" outlineLevel="0" collapsed="false">
      <c r="A45" s="42" t="n">
        <v>5</v>
      </c>
      <c r="B45" s="43" t="n">
        <f aca="false">$A45*B$44</f>
        <v>5</v>
      </c>
      <c r="C45" s="43" t="n">
        <f aca="false">$A45*C$44</f>
        <v>10</v>
      </c>
      <c r="D45" s="43" t="n">
        <f aca="false">$A45*D$44</f>
        <v>15</v>
      </c>
      <c r="E45" s="43" t="n">
        <f aca="false">$A45*E$44</f>
        <v>20</v>
      </c>
      <c r="F45" s="43" t="n">
        <f aca="false">$A45*F$44</f>
        <v>25</v>
      </c>
    </row>
    <row r="46" customFormat="false" ht="15" hidden="false" customHeight="false" outlineLevel="0" collapsed="false">
      <c r="A46" s="42" t="n">
        <v>4</v>
      </c>
      <c r="B46" s="43" t="n">
        <f aca="false">$A46*B$44</f>
        <v>4</v>
      </c>
      <c r="C46" s="43" t="n">
        <f aca="false">$A46*C$44</f>
        <v>8</v>
      </c>
      <c r="D46" s="43" t="n">
        <f aca="false">$A46*D$44</f>
        <v>12</v>
      </c>
      <c r="E46" s="43" t="n">
        <f aca="false">$A46*E$44</f>
        <v>16</v>
      </c>
      <c r="F46" s="43" t="n">
        <f aca="false">$A46*F$44</f>
        <v>20</v>
      </c>
    </row>
    <row r="47" customFormat="false" ht="15" hidden="false" customHeight="false" outlineLevel="0" collapsed="false">
      <c r="A47" s="42" t="n">
        <v>3</v>
      </c>
      <c r="B47" s="43" t="n">
        <f aca="false">$A47*B$44</f>
        <v>3</v>
      </c>
      <c r="C47" s="43" t="n">
        <f aca="false">$A47*C$44</f>
        <v>6</v>
      </c>
      <c r="D47" s="43" t="n">
        <f aca="false">$A47*D$44</f>
        <v>9</v>
      </c>
      <c r="E47" s="43" t="n">
        <f aca="false">$A47*E$44</f>
        <v>12</v>
      </c>
      <c r="F47" s="43" t="n">
        <f aca="false">$A47*F$44</f>
        <v>15</v>
      </c>
    </row>
    <row r="48" customFormat="false" ht="15" hidden="false" customHeight="false" outlineLevel="0" collapsed="false">
      <c r="A48" s="42" t="n">
        <v>2</v>
      </c>
      <c r="B48" s="43" t="n">
        <f aca="false">$A48*B$44</f>
        <v>2</v>
      </c>
      <c r="C48" s="43" t="n">
        <f aca="false">$A48*C$44</f>
        <v>4</v>
      </c>
      <c r="D48" s="43" t="n">
        <f aca="false">$A48*D$44</f>
        <v>6</v>
      </c>
      <c r="E48" s="43" t="n">
        <f aca="false">$A48*E$44</f>
        <v>8</v>
      </c>
      <c r="F48" s="43" t="n">
        <f aca="false">$A48*F$44</f>
        <v>10</v>
      </c>
    </row>
    <row r="49" customFormat="false" ht="15" hidden="false" customHeight="false" outlineLevel="0" collapsed="false">
      <c r="A49" s="42" t="n">
        <v>1</v>
      </c>
      <c r="B49" s="43" t="n">
        <f aca="false">$A49*B$44</f>
        <v>1</v>
      </c>
      <c r="C49" s="43" t="n">
        <f aca="false">$A49*C$44</f>
        <v>2</v>
      </c>
      <c r="D49" s="43" t="n">
        <f aca="false">$A49*D$44</f>
        <v>3</v>
      </c>
      <c r="E49" s="43" t="n">
        <f aca="false">$A49*E$44</f>
        <v>4</v>
      </c>
      <c r="F49" s="43" t="n">
        <f aca="false">$A49*F$44</f>
        <v>5</v>
      </c>
    </row>
    <row r="51" customFormat="false" ht="15" hidden="false" customHeight="false" outlineLevel="0" collapsed="false">
      <c r="A51" s="5" t="s">
        <v>175</v>
      </c>
      <c r="B51" s="6"/>
      <c r="C51" s="6"/>
      <c r="D51" s="6"/>
    </row>
    <row r="52" customFormat="false" ht="15" hidden="false" customHeight="false" outlineLevel="0" collapsed="false">
      <c r="A52" s="32" t="s">
        <v>165</v>
      </c>
      <c r="B52" s="32" t="s">
        <v>176</v>
      </c>
      <c r="C52" s="32" t="s">
        <v>177</v>
      </c>
    </row>
    <row r="53" customFormat="false" ht="30" hidden="false" customHeight="true" outlineLevel="0" collapsed="false">
      <c r="A53" s="36" t="n">
        <v>1</v>
      </c>
      <c r="B53" s="34" t="s">
        <v>178</v>
      </c>
      <c r="C53" s="34" t="s">
        <v>179</v>
      </c>
    </row>
    <row r="54" customFormat="false" ht="30" hidden="false" customHeight="true" outlineLevel="0" collapsed="false">
      <c r="A54" s="36" t="n">
        <v>2</v>
      </c>
      <c r="B54" s="34" t="s">
        <v>180</v>
      </c>
      <c r="C54" s="34" t="s">
        <v>181</v>
      </c>
    </row>
    <row r="55" customFormat="false" ht="30" hidden="false" customHeight="true" outlineLevel="0" collapsed="false">
      <c r="A55" s="36" t="n">
        <v>3</v>
      </c>
      <c r="B55" s="34" t="s">
        <v>182</v>
      </c>
      <c r="C55" s="34" t="s">
        <v>183</v>
      </c>
    </row>
    <row r="56" customFormat="false" ht="30" hidden="false" customHeight="true" outlineLevel="0" collapsed="false">
      <c r="A56" s="36" t="n">
        <v>4</v>
      </c>
      <c r="B56" s="34" t="s">
        <v>184</v>
      </c>
      <c r="C56" s="34" t="s">
        <v>185</v>
      </c>
    </row>
    <row r="57" customFormat="false" ht="30" hidden="false" customHeight="true" outlineLevel="0" collapsed="false">
      <c r="A57" s="36" t="n">
        <v>5</v>
      </c>
      <c r="B57" s="34" t="s">
        <v>186</v>
      </c>
      <c r="C57" s="34" t="s">
        <v>187</v>
      </c>
    </row>
    <row r="59" customFormat="false" ht="15" hidden="false" customHeight="false" outlineLevel="0" collapsed="false">
      <c r="A59" s="5" t="s">
        <v>188</v>
      </c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</row>
    <row r="60" customFormat="false" ht="15" hidden="false" customHeight="false" outlineLevel="0" collapsed="false">
      <c r="A60" s="37" t="s">
        <v>189</v>
      </c>
    </row>
    <row r="61" customFormat="false" ht="15" hidden="false" customHeight="false" outlineLevel="0" collapsed="false">
      <c r="A61" s="44" t="s">
        <v>190</v>
      </c>
      <c r="B61" s="44" t="s">
        <v>191</v>
      </c>
      <c r="C61" s="44" t="s">
        <v>192</v>
      </c>
      <c r="D61" s="44" t="s">
        <v>148</v>
      </c>
      <c r="E61" s="44" t="s">
        <v>193</v>
      </c>
      <c r="F61" s="44" t="s">
        <v>194</v>
      </c>
      <c r="G61" s="44" t="s">
        <v>195</v>
      </c>
      <c r="H61" s="44" t="s">
        <v>196</v>
      </c>
      <c r="I61" s="44" t="s">
        <v>197</v>
      </c>
      <c r="J61" s="44" t="s">
        <v>198</v>
      </c>
      <c r="K61" s="44" t="s">
        <v>199</v>
      </c>
      <c r="L61" s="44" t="s">
        <v>200</v>
      </c>
      <c r="M61" s="44" t="s">
        <v>201</v>
      </c>
      <c r="N61" s="44" t="s">
        <v>202</v>
      </c>
      <c r="O61" s="44" t="s">
        <v>203</v>
      </c>
      <c r="P61" s="44" t="s">
        <v>204</v>
      </c>
      <c r="Q61" s="44" t="s">
        <v>205</v>
      </c>
      <c r="R61" s="44" t="s">
        <v>206</v>
      </c>
      <c r="S61" s="44" t="s">
        <v>207</v>
      </c>
      <c r="T61" s="44" t="s">
        <v>208</v>
      </c>
      <c r="U61" s="44" t="s">
        <v>209</v>
      </c>
      <c r="V61" s="44" t="s">
        <v>210</v>
      </c>
      <c r="W61" s="44" t="s">
        <v>211</v>
      </c>
      <c r="X61" s="44" t="s">
        <v>212</v>
      </c>
      <c r="Y61" s="44" t="s">
        <v>213</v>
      </c>
      <c r="Z61" s="44" t="s">
        <v>214</v>
      </c>
      <c r="AA61" s="44" t="s">
        <v>215</v>
      </c>
      <c r="AB61" s="44" t="s">
        <v>216</v>
      </c>
      <c r="AC61" s="44" t="s">
        <v>217</v>
      </c>
      <c r="AD61" s="44" t="s">
        <v>218</v>
      </c>
      <c r="AE61" s="44" t="s">
        <v>219</v>
      </c>
      <c r="AF61" s="44" t="s">
        <v>220</v>
      </c>
      <c r="AG61" s="44" t="s">
        <v>221</v>
      </c>
      <c r="AH61" s="44" t="s">
        <v>222</v>
      </c>
      <c r="AI61" s="44" t="s">
        <v>223</v>
      </c>
      <c r="AJ61" s="44" t="s">
        <v>224</v>
      </c>
      <c r="AK61" s="44" t="s">
        <v>225</v>
      </c>
      <c r="AL61" s="44" t="s">
        <v>226</v>
      </c>
      <c r="AM61" s="44" t="s">
        <v>227</v>
      </c>
      <c r="AN61" s="44" t="s">
        <v>228</v>
      </c>
      <c r="AO61" s="44" t="s">
        <v>229</v>
      </c>
      <c r="AP61" s="44" t="s">
        <v>230</v>
      </c>
      <c r="AQ61" s="44" t="s">
        <v>231</v>
      </c>
      <c r="AR61" s="44" t="s">
        <v>232</v>
      </c>
      <c r="AS61" s="44" t="s">
        <v>233</v>
      </c>
      <c r="AT61" s="44" t="s">
        <v>234</v>
      </c>
      <c r="AU61" s="44" t="s">
        <v>235</v>
      </c>
      <c r="AV61" s="44" t="s">
        <v>236</v>
      </c>
      <c r="AW61" s="44" t="s">
        <v>237</v>
      </c>
      <c r="AX61" s="44" t="s">
        <v>238</v>
      </c>
      <c r="AY61" s="44" t="s">
        <v>239</v>
      </c>
    </row>
    <row r="62" customFormat="false" ht="15" hidden="false" customHeight="false" outlineLevel="0" collapsed="false">
      <c r="A62" s="39" t="n">
        <v>1</v>
      </c>
      <c r="B62" s="39" t="n">
        <v>1</v>
      </c>
      <c r="C62" s="39" t="str">
        <f aca="false">$B$38</f>
        <v>Low</v>
      </c>
      <c r="D62" s="39" t="s">
        <v>117</v>
      </c>
      <c r="E62" s="39" t="s">
        <v>240</v>
      </c>
      <c r="F62" s="39" t="s">
        <v>241</v>
      </c>
      <c r="G62" s="39" t="s">
        <v>242</v>
      </c>
      <c r="H62" s="39" t="s">
        <v>243</v>
      </c>
      <c r="I62" s="39" t="s">
        <v>244</v>
      </c>
      <c r="J62" s="39" t="s">
        <v>245</v>
      </c>
      <c r="K62" s="39" t="s">
        <v>117</v>
      </c>
      <c r="L62" s="39" t="s">
        <v>246</v>
      </c>
      <c r="M62" s="39" t="s">
        <v>247</v>
      </c>
      <c r="N62" s="39" t="s">
        <v>248</v>
      </c>
      <c r="O62" s="39" t="s">
        <v>240</v>
      </c>
      <c r="P62" s="39" t="s">
        <v>249</v>
      </c>
      <c r="Q62" s="39" t="s">
        <v>250</v>
      </c>
      <c r="R62" s="39" t="s">
        <v>251</v>
      </c>
      <c r="S62" s="39" t="s">
        <v>252</v>
      </c>
      <c r="T62" s="39" t="s">
        <v>253</v>
      </c>
      <c r="U62" s="39" t="s">
        <v>254</v>
      </c>
      <c r="V62" s="39" t="s">
        <v>255</v>
      </c>
      <c r="W62" s="39" t="s">
        <v>256</v>
      </c>
      <c r="X62" s="39" t="s">
        <v>257</v>
      </c>
      <c r="Y62" s="39" t="s">
        <v>258</v>
      </c>
      <c r="Z62" s="39" t="s">
        <v>157</v>
      </c>
      <c r="AA62" s="39" t="s">
        <v>259</v>
      </c>
      <c r="AB62" s="39" t="s">
        <v>260</v>
      </c>
      <c r="AC62" s="39" t="s">
        <v>249</v>
      </c>
      <c r="AD62" s="39" t="s">
        <v>261</v>
      </c>
      <c r="AE62" s="39" t="s">
        <v>262</v>
      </c>
      <c r="AF62" s="39" t="s">
        <v>263</v>
      </c>
      <c r="AG62" s="39" t="s">
        <v>264</v>
      </c>
      <c r="AH62" s="39" t="s">
        <v>265</v>
      </c>
      <c r="AI62" s="39" t="s">
        <v>247</v>
      </c>
      <c r="AJ62" s="39" t="s">
        <v>245</v>
      </c>
      <c r="AK62" s="39" t="s">
        <v>266</v>
      </c>
      <c r="AL62" s="39" t="s">
        <v>259</v>
      </c>
      <c r="AM62" s="39" t="s">
        <v>267</v>
      </c>
      <c r="AN62" s="39" t="s">
        <v>268</v>
      </c>
      <c r="AO62" s="39" t="s">
        <v>269</v>
      </c>
      <c r="AP62" s="39" t="s">
        <v>259</v>
      </c>
      <c r="AQ62" s="39" t="s">
        <v>270</v>
      </c>
      <c r="AR62" s="39" t="s">
        <v>271</v>
      </c>
      <c r="AS62" s="39" t="s">
        <v>272</v>
      </c>
      <c r="AT62" s="39" t="s">
        <v>273</v>
      </c>
      <c r="AU62" s="39" t="s">
        <v>274</v>
      </c>
      <c r="AV62" s="39" t="s">
        <v>275</v>
      </c>
      <c r="AW62" s="39" t="s">
        <v>249</v>
      </c>
      <c r="AX62" s="39" t="s">
        <v>259</v>
      </c>
      <c r="AY62" s="39" t="s">
        <v>276</v>
      </c>
    </row>
    <row r="63" customFormat="false" ht="15" hidden="false" customHeight="false" outlineLevel="0" collapsed="false">
      <c r="A63" s="39" t="n">
        <v>2</v>
      </c>
      <c r="B63" s="39" t="n">
        <v>2</v>
      </c>
      <c r="C63" s="39" t="str">
        <f aca="false">$B$39</f>
        <v>Moderate</v>
      </c>
      <c r="D63" s="39" t="s">
        <v>154</v>
      </c>
      <c r="E63" s="39" t="s">
        <v>277</v>
      </c>
      <c r="F63" s="39" t="s">
        <v>278</v>
      </c>
      <c r="G63" s="39" t="s">
        <v>279</v>
      </c>
      <c r="H63" s="39" t="s">
        <v>280</v>
      </c>
      <c r="I63" s="39" t="s">
        <v>265</v>
      </c>
      <c r="J63" s="39" t="s">
        <v>281</v>
      </c>
      <c r="K63" s="39" t="s">
        <v>154</v>
      </c>
      <c r="L63" s="39" t="s">
        <v>282</v>
      </c>
      <c r="M63" s="39" t="s">
        <v>265</v>
      </c>
      <c r="N63" s="39" t="s">
        <v>283</v>
      </c>
      <c r="O63" s="39" t="s">
        <v>284</v>
      </c>
      <c r="P63" s="39" t="s">
        <v>285</v>
      </c>
      <c r="Q63" s="39" t="s">
        <v>286</v>
      </c>
      <c r="R63" s="39" t="s">
        <v>287</v>
      </c>
      <c r="S63" s="39" t="s">
        <v>288</v>
      </c>
      <c r="T63" s="39" t="s">
        <v>289</v>
      </c>
      <c r="U63" s="39" t="s">
        <v>290</v>
      </c>
      <c r="V63" s="39" t="s">
        <v>291</v>
      </c>
      <c r="W63" s="39" t="s">
        <v>292</v>
      </c>
      <c r="X63" s="39" t="s">
        <v>293</v>
      </c>
      <c r="Y63" s="39" t="s">
        <v>294</v>
      </c>
      <c r="Z63" s="39" t="s">
        <v>154</v>
      </c>
      <c r="AA63" s="39" t="s">
        <v>295</v>
      </c>
      <c r="AB63" s="39" t="s">
        <v>296</v>
      </c>
      <c r="AC63" s="39" t="s">
        <v>297</v>
      </c>
      <c r="AD63" s="39" t="s">
        <v>298</v>
      </c>
      <c r="AE63" s="39" t="s">
        <v>299</v>
      </c>
      <c r="AF63" s="39" t="s">
        <v>300</v>
      </c>
      <c r="AG63" s="39" t="s">
        <v>301</v>
      </c>
      <c r="AH63" s="39" t="s">
        <v>302</v>
      </c>
      <c r="AI63" s="39" t="s">
        <v>303</v>
      </c>
      <c r="AJ63" s="39" t="s">
        <v>304</v>
      </c>
      <c r="AK63" s="39" t="s">
        <v>305</v>
      </c>
      <c r="AL63" s="39" t="s">
        <v>306</v>
      </c>
      <c r="AM63" s="39" t="s">
        <v>307</v>
      </c>
      <c r="AN63" s="39" t="s">
        <v>297</v>
      </c>
      <c r="AO63" s="39" t="s">
        <v>308</v>
      </c>
      <c r="AP63" s="39" t="s">
        <v>309</v>
      </c>
      <c r="AQ63" s="39" t="s">
        <v>310</v>
      </c>
      <c r="AR63" s="39" t="s">
        <v>249</v>
      </c>
      <c r="AS63" s="39" t="s">
        <v>311</v>
      </c>
      <c r="AT63" s="39" t="s">
        <v>168</v>
      </c>
      <c r="AU63" s="39" t="s">
        <v>312</v>
      </c>
      <c r="AV63" s="39" t="s">
        <v>313</v>
      </c>
      <c r="AW63" s="39" t="s">
        <v>297</v>
      </c>
      <c r="AX63" s="39" t="s">
        <v>314</v>
      </c>
      <c r="AY63" s="39" t="s">
        <v>315</v>
      </c>
    </row>
    <row r="64" customFormat="false" ht="15" hidden="false" customHeight="false" outlineLevel="0" collapsed="false">
      <c r="A64" s="39" t="n">
        <v>3</v>
      </c>
      <c r="B64" s="39" t="n">
        <v>3</v>
      </c>
      <c r="C64" s="39" t="str">
        <f aca="false">$B$40</f>
        <v>High</v>
      </c>
      <c r="D64" s="39" t="s">
        <v>157</v>
      </c>
      <c r="F64" s="39" t="s">
        <v>316</v>
      </c>
      <c r="G64" s="39" t="s">
        <v>317</v>
      </c>
      <c r="H64" s="39" t="s">
        <v>318</v>
      </c>
      <c r="I64" s="39" t="s">
        <v>319</v>
      </c>
      <c r="J64" s="39" t="s">
        <v>320</v>
      </c>
      <c r="K64" s="39" t="s">
        <v>157</v>
      </c>
      <c r="L64" s="39" t="s">
        <v>321</v>
      </c>
      <c r="M64" s="39" t="s">
        <v>322</v>
      </c>
      <c r="N64" s="39" t="s">
        <v>323</v>
      </c>
      <c r="O64" s="39" t="s">
        <v>277</v>
      </c>
      <c r="P64" s="39" t="s">
        <v>324</v>
      </c>
      <c r="Q64" s="39" t="s">
        <v>325</v>
      </c>
      <c r="R64" s="39" t="s">
        <v>326</v>
      </c>
      <c r="S64" s="39" t="s">
        <v>327</v>
      </c>
      <c r="T64" s="39" t="s">
        <v>328</v>
      </c>
      <c r="U64" s="39" t="s">
        <v>329</v>
      </c>
      <c r="V64" s="39" t="s">
        <v>330</v>
      </c>
      <c r="W64" s="39" t="s">
        <v>331</v>
      </c>
      <c r="X64" s="39" t="s">
        <v>332</v>
      </c>
      <c r="Y64" s="39" t="s">
        <v>333</v>
      </c>
      <c r="Z64" s="39" t="s">
        <v>117</v>
      </c>
      <c r="AA64" s="39" t="s">
        <v>334</v>
      </c>
      <c r="AB64" s="39" t="s">
        <v>335</v>
      </c>
      <c r="AC64" s="39" t="s">
        <v>336</v>
      </c>
      <c r="AD64" s="39" t="s">
        <v>251</v>
      </c>
      <c r="AE64" s="39" t="s">
        <v>337</v>
      </c>
      <c r="AF64" s="39" t="s">
        <v>338</v>
      </c>
      <c r="AG64" s="39" t="s">
        <v>339</v>
      </c>
      <c r="AH64" s="39" t="s">
        <v>323</v>
      </c>
      <c r="AI64" s="39" t="s">
        <v>340</v>
      </c>
      <c r="AJ64" s="39" t="s">
        <v>341</v>
      </c>
      <c r="AK64" s="39" t="s">
        <v>342</v>
      </c>
      <c r="AL64" s="39" t="s">
        <v>343</v>
      </c>
      <c r="AM64" s="39" t="s">
        <v>344</v>
      </c>
      <c r="AN64" s="39" t="s">
        <v>345</v>
      </c>
      <c r="AP64" s="39" t="s">
        <v>346</v>
      </c>
      <c r="AQ64" s="39" t="s">
        <v>168</v>
      </c>
      <c r="AR64" s="39" t="s">
        <v>297</v>
      </c>
      <c r="AS64" s="39" t="s">
        <v>347</v>
      </c>
      <c r="AT64" s="39" t="s">
        <v>348</v>
      </c>
      <c r="AU64" s="39" t="s">
        <v>349</v>
      </c>
      <c r="AV64" s="39" t="s">
        <v>350</v>
      </c>
      <c r="AW64" s="39" t="s">
        <v>351</v>
      </c>
      <c r="AX64" s="39" t="s">
        <v>352</v>
      </c>
      <c r="AY64" s="39" t="s">
        <v>353</v>
      </c>
    </row>
    <row r="65" customFormat="false" ht="15" hidden="false" customHeight="false" outlineLevel="0" collapsed="false">
      <c r="B65" s="39" t="n">
        <v>4</v>
      </c>
      <c r="C65" s="39" t="str">
        <f aca="false">$B$41</f>
        <v>Critical</v>
      </c>
      <c r="F65" s="39" t="s">
        <v>312</v>
      </c>
      <c r="G65" s="39" t="s">
        <v>354</v>
      </c>
      <c r="H65" s="39" t="s">
        <v>355</v>
      </c>
      <c r="J65" s="39" t="s">
        <v>356</v>
      </c>
      <c r="L65" s="39" t="s">
        <v>357</v>
      </c>
      <c r="O65" s="39" t="s">
        <v>358</v>
      </c>
      <c r="P65" s="39" t="s">
        <v>359</v>
      </c>
      <c r="Q65" s="39" t="s">
        <v>360</v>
      </c>
      <c r="R65" s="39" t="s">
        <v>361</v>
      </c>
      <c r="S65" s="39" t="s">
        <v>274</v>
      </c>
      <c r="T65" s="39" t="s">
        <v>362</v>
      </c>
      <c r="U65" s="39" t="s">
        <v>274</v>
      </c>
      <c r="V65" s="39" t="s">
        <v>274</v>
      </c>
      <c r="W65" s="39" t="s">
        <v>274</v>
      </c>
      <c r="X65" s="39" t="s">
        <v>274</v>
      </c>
      <c r="Y65" s="39" t="s">
        <v>363</v>
      </c>
      <c r="Z65" s="39" t="s">
        <v>171</v>
      </c>
      <c r="AA65" s="39" t="s">
        <v>364</v>
      </c>
      <c r="AB65" s="39" t="s">
        <v>365</v>
      </c>
      <c r="AC65" s="39" t="s">
        <v>366</v>
      </c>
      <c r="AD65" s="39" t="s">
        <v>367</v>
      </c>
      <c r="AF65" s="39" t="s">
        <v>368</v>
      </c>
      <c r="AG65" s="39" t="s">
        <v>369</v>
      </c>
      <c r="AH65" s="39" t="s">
        <v>361</v>
      </c>
      <c r="AI65" s="39" t="s">
        <v>370</v>
      </c>
      <c r="AJ65" s="39" t="s">
        <v>371</v>
      </c>
      <c r="AK65" s="39" t="s">
        <v>372</v>
      </c>
      <c r="AL65" s="39" t="s">
        <v>373</v>
      </c>
      <c r="AM65" s="39" t="s">
        <v>374</v>
      </c>
      <c r="AN65" s="39" t="s">
        <v>375</v>
      </c>
      <c r="AP65" s="39" t="s">
        <v>376</v>
      </c>
      <c r="AQ65" s="39" t="s">
        <v>377</v>
      </c>
      <c r="AR65" s="39" t="s">
        <v>345</v>
      </c>
      <c r="AS65" s="39" t="s">
        <v>378</v>
      </c>
      <c r="AT65" s="39" t="s">
        <v>274</v>
      </c>
      <c r="AU65" s="39" t="s">
        <v>379</v>
      </c>
      <c r="AV65" s="39" t="s">
        <v>380</v>
      </c>
      <c r="AW65" s="39" t="s">
        <v>283</v>
      </c>
      <c r="AY65" s="39" t="s">
        <v>381</v>
      </c>
    </row>
    <row r="66" customFormat="false" ht="15" hidden="false" customHeight="false" outlineLevel="0" collapsed="false">
      <c r="B66" s="39" t="n">
        <v>5</v>
      </c>
      <c r="F66" s="39" t="s">
        <v>382</v>
      </c>
      <c r="G66" s="39" t="s">
        <v>383</v>
      </c>
      <c r="J66" s="39" t="s">
        <v>384</v>
      </c>
      <c r="L66" s="39" t="s">
        <v>385</v>
      </c>
      <c r="O66" s="39" t="s">
        <v>386</v>
      </c>
      <c r="Q66" s="39" t="s">
        <v>387</v>
      </c>
      <c r="T66" s="39" t="s">
        <v>388</v>
      </c>
      <c r="U66" s="39" t="s">
        <v>358</v>
      </c>
      <c r="Y66" s="39" t="s">
        <v>389</v>
      </c>
      <c r="AA66" s="39" t="s">
        <v>390</v>
      </c>
      <c r="AC66" s="39" t="s">
        <v>375</v>
      </c>
      <c r="AF66" s="39" t="s">
        <v>391</v>
      </c>
      <c r="AG66" s="39" t="s">
        <v>392</v>
      </c>
      <c r="AH66" s="39" t="s">
        <v>393</v>
      </c>
      <c r="AI66" s="39" t="s">
        <v>394</v>
      </c>
      <c r="AJ66" s="39" t="s">
        <v>395</v>
      </c>
      <c r="AK66" s="39" t="s">
        <v>358</v>
      </c>
      <c r="AL66" s="39" t="s">
        <v>358</v>
      </c>
      <c r="AM66" s="39" t="s">
        <v>396</v>
      </c>
      <c r="AP66" s="39" t="s">
        <v>397</v>
      </c>
      <c r="AS66" s="39" t="s">
        <v>398</v>
      </c>
      <c r="AV66" s="39" t="s">
        <v>399</v>
      </c>
      <c r="AY66" s="39" t="s">
        <v>400</v>
      </c>
    </row>
    <row r="67" customFormat="false" ht="15" hidden="false" customHeight="false" outlineLevel="0" collapsed="false">
      <c r="F67" s="39" t="s">
        <v>401</v>
      </c>
      <c r="G67" s="39" t="s">
        <v>402</v>
      </c>
      <c r="J67" s="39" t="s">
        <v>403</v>
      </c>
      <c r="L67" s="39" t="s">
        <v>404</v>
      </c>
      <c r="Q67" s="39" t="s">
        <v>405</v>
      </c>
      <c r="T67" s="39" t="s">
        <v>283</v>
      </c>
      <c r="Y67" s="39" t="s">
        <v>406</v>
      </c>
      <c r="AA67" s="39" t="s">
        <v>394</v>
      </c>
      <c r="AF67" s="39" t="s">
        <v>407</v>
      </c>
      <c r="AG67" s="39" t="s">
        <v>408</v>
      </c>
      <c r="AH67" s="39" t="s">
        <v>409</v>
      </c>
      <c r="AJ67" s="39" t="s">
        <v>410</v>
      </c>
      <c r="AL67" s="39" t="s">
        <v>394</v>
      </c>
      <c r="AM67" s="39" t="s">
        <v>411</v>
      </c>
      <c r="AS67" s="39" t="s">
        <v>412</v>
      </c>
      <c r="AY67" s="39" t="s">
        <v>413</v>
      </c>
    </row>
    <row r="68" customFormat="false" ht="15" hidden="false" customHeight="false" outlineLevel="0" collapsed="false">
      <c r="G68" s="39" t="s">
        <v>358</v>
      </c>
      <c r="J68" s="39" t="s">
        <v>414</v>
      </c>
      <c r="L68" s="39" t="s">
        <v>415</v>
      </c>
      <c r="Q68" s="39" t="s">
        <v>416</v>
      </c>
      <c r="T68" s="39" t="s">
        <v>417</v>
      </c>
      <c r="AH68" s="39" t="s">
        <v>418</v>
      </c>
      <c r="AJ68" s="39" t="s">
        <v>419</v>
      </c>
      <c r="AM68" s="39" t="s">
        <v>420</v>
      </c>
      <c r="AS68" s="39" t="s">
        <v>421</v>
      </c>
      <c r="AY68" s="39" t="s">
        <v>422</v>
      </c>
    </row>
    <row r="69" customFormat="false" ht="15" hidden="false" customHeight="false" outlineLevel="0" collapsed="false">
      <c r="J69" s="39" t="s">
        <v>423</v>
      </c>
      <c r="L69" s="39" t="s">
        <v>424</v>
      </c>
      <c r="Q69" s="39" t="s">
        <v>425</v>
      </c>
      <c r="AJ69" s="39" t="s">
        <v>426</v>
      </c>
      <c r="AY69" s="39" t="s">
        <v>427</v>
      </c>
    </row>
    <row r="70" customFormat="false" ht="15" hidden="false" customHeight="false" outlineLevel="0" collapsed="false">
      <c r="J70" s="39" t="s">
        <v>428</v>
      </c>
      <c r="L70" s="39" t="s">
        <v>429</v>
      </c>
      <c r="Q70" s="39" t="s">
        <v>421</v>
      </c>
      <c r="AJ70" s="39" t="s">
        <v>430</v>
      </c>
      <c r="AY70" s="39" t="s">
        <v>431</v>
      </c>
    </row>
    <row r="71" customFormat="false" ht="15" hidden="false" customHeight="false" outlineLevel="0" collapsed="false">
      <c r="J71" s="39" t="s">
        <v>432</v>
      </c>
      <c r="L71" s="39" t="s">
        <v>433</v>
      </c>
      <c r="AY71" s="39" t="s">
        <v>434</v>
      </c>
    </row>
    <row r="72" customFormat="false" ht="15" hidden="false" customHeight="false" outlineLevel="0" collapsed="false">
      <c r="J72" s="39" t="s">
        <v>421</v>
      </c>
      <c r="L72" s="39" t="s">
        <v>435</v>
      </c>
      <c r="AY72" s="39" t="s">
        <v>436</v>
      </c>
    </row>
    <row r="73" customFormat="false" ht="15" hidden="false" customHeight="false" outlineLevel="0" collapsed="false">
      <c r="L73" s="39" t="s">
        <v>437</v>
      </c>
      <c r="AY73" s="39" t="s">
        <v>438</v>
      </c>
    </row>
    <row r="74" customFormat="false" ht="15" hidden="false" customHeight="false" outlineLevel="0" collapsed="false">
      <c r="AY74" s="39" t="s">
        <v>439</v>
      </c>
    </row>
  </sheetData>
  <sheetProtection sheet="true" formatColumns="false" formatRows="false" sort="false" autoFilter="false"/>
  <conditionalFormatting sqref="B18">
    <cfRule type="expression" priority="2" aboveAverage="0" equalAverage="0" bottom="0" percent="0" rank="0" text="" dxfId="2">
      <formula>$B$16=""</formula>
    </cfRule>
  </conditionalFormatting>
  <conditionalFormatting sqref="B38:B41">
    <cfRule type="expression" priority="3" aboveAverage="0" equalAverage="0" bottom="0" percent="0" rank="0" text="" dxfId="3">
      <formula>B38="Critical"</formula>
    </cfRule>
    <cfRule type="expression" priority="4" aboveAverage="0" equalAverage="0" bottom="0" percent="0" rank="0" text="" dxfId="4">
      <formula>B38="High"</formula>
    </cfRule>
    <cfRule type="expression" priority="5" aboveAverage="0" equalAverage="0" bottom="0" percent="0" rank="0" text="" dxfId="5">
      <formula>B38="Moderate"</formula>
    </cfRule>
    <cfRule type="expression" priority="6" aboveAverage="0" equalAverage="0" bottom="0" percent="0" rank="0" text="" dxfId="6">
      <formula>B38="Low"</formula>
    </cfRule>
    <cfRule type="expression" priority="7" aboveAverage="0" equalAverage="0" bottom="0" percent="0" rank="0" text="" dxfId="7">
      <formula>B38="Incomplete"</formula>
    </cfRule>
  </conditionalFormatting>
  <conditionalFormatting sqref="B45:F49">
    <cfRule type="expression" priority="8" aboveAverage="0" equalAverage="0" bottom="0" percent="0" rank="0" text="" dxfId="3">
      <formula>LOOKUP(B45,BandMin,BandName)="Critical"</formula>
    </cfRule>
    <cfRule type="expression" priority="9" aboveAverage="0" equalAverage="0" bottom="0" percent="0" rank="0" text="" dxfId="4">
      <formula>LOOKUP(B45,BandMin,BandName)="High"</formula>
    </cfRule>
    <cfRule type="expression" priority="10" aboveAverage="0" equalAverage="0" bottom="0" percent="0" rank="0" text="" dxfId="5">
      <formula>LOOKUP(B45,BandMin,BandName)="Moderate"</formula>
    </cfRule>
    <cfRule type="expression" priority="11" aboveAverage="0" equalAverage="0" bottom="0" percent="0" rank="0" text="" dxfId="6">
      <formula>LOOKUP(B45,BandMin,BandName)="Low"</formula>
    </cfRule>
  </conditionalFormatting>
  <dataValidations count="4">
    <dataValidation allowBlank="false" error="Enter a whole number." errorStyle="stop" operator="between" showDropDown="false" showErrorMessage="true" showInputMessage="false" sqref="B9:B11" type="whole">
      <formula1>0</formula1>
      <formula2>3650</formula2>
    </dataValidation>
    <dataValidation allowBlank="false" error="Enter a whole number." errorStyle="stop" operator="between" showDropDown="false" showErrorMessage="true" showInputMessage="false" sqref="B12" type="whole">
      <formula1>1</formula1>
      <formula2>3650</formula2>
    </dataValidation>
    <dataValidation allowBlank="false" error="Enter a whole number." errorStyle="stop" operator="between" showDropDown="false" showErrorMessage="true" showInputMessage="false" sqref="B13" type="whole">
      <formula1>2</formula1>
      <formula2>100</formula2>
    </dataValidation>
    <dataValidation allowBlank="true" error="Choose a band." errorStyle="stop" operator="between" showDropDown="false" showErrorMessage="true" showInputMessage="false" sqref="B16" type="list">
      <formula1>L_Band</formula1>
      <formula2>0</formula2>
    </dataValidation>
  </dataValidations>
  <hyperlinks>
    <hyperlink ref="D1" r:id="rId1" location="'01%20Start%20Here'!A1" display="&lt;&lt; Back to Start Here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W6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6" topLeftCell="C7" activePane="bottomRight" state="frozen"/>
      <selection pane="topLeft" activeCell="A1" activeCellId="0" sqref="A1"/>
      <selection pane="topRight" activeCell="C1" activeCellId="0" sqref="C1"/>
      <selection pane="bottomLeft" activeCell="A7" activeCellId="0" sqref="A7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12"/>
    <col collapsed="false" customWidth="true" hidden="false" outlineLevel="0" max="2" min="2" style="1" width="28"/>
    <col collapsed="false" customWidth="true" hidden="false" outlineLevel="0" max="3" min="3" style="1" width="34"/>
    <col collapsed="false" customWidth="true" hidden="false" outlineLevel="0" max="5" min="4" style="1" width="24"/>
    <col collapsed="false" customWidth="true" hidden="false" outlineLevel="0" max="6" min="6" style="1" width="26"/>
    <col collapsed="false" customWidth="true" hidden="false" outlineLevel="0" max="7" min="7" style="1" width="16"/>
    <col collapsed="false" customWidth="true" hidden="false" outlineLevel="0" max="9" min="8" style="1" width="13"/>
    <col collapsed="false" customWidth="true" hidden="false" outlineLevel="0" max="11" min="10" style="1" width="28"/>
    <col collapsed="false" customWidth="true" hidden="false" outlineLevel="0" max="12" min="12" style="1" width="20"/>
    <col collapsed="false" customWidth="true" hidden="false" outlineLevel="0" max="13" min="13" style="1" width="34"/>
    <col collapsed="false" customWidth="true" hidden="false" outlineLevel="0" max="14" min="14" style="1" width="28"/>
    <col collapsed="false" customWidth="true" hidden="false" outlineLevel="0" max="15" min="15" style="1" width="16"/>
    <col collapsed="false" customWidth="true" hidden="false" outlineLevel="0" max="16" min="16" style="1" width="24"/>
    <col collapsed="false" customWidth="true" hidden="false" outlineLevel="0" max="17" min="17" style="1" width="13"/>
    <col collapsed="false" customWidth="true" hidden="false" outlineLevel="0" max="18" min="18" style="1" width="28"/>
    <col collapsed="false" customWidth="true" hidden="false" outlineLevel="0" max="19" min="19" style="1" width="13"/>
    <col collapsed="false" customWidth="true" hidden="false" outlineLevel="0" max="20" min="20" style="1" width="26"/>
    <col collapsed="false" customWidth="true" hidden="false" outlineLevel="0" max="21" min="21" style="1" width="20"/>
    <col collapsed="false" customWidth="true" hidden="false" outlineLevel="0" max="22" min="22" style="1" width="30"/>
    <col collapsed="false" customWidth="true" hidden="true" outlineLevel="0" max="23" min="23" style="1" width="10"/>
  </cols>
  <sheetData>
    <row r="1" customFormat="false" ht="17.35" hidden="false" customHeight="false" outlineLevel="0" collapsed="false">
      <c r="A1" s="22" t="s">
        <v>11</v>
      </c>
      <c r="H1" s="10" t="s">
        <v>100</v>
      </c>
    </row>
    <row r="2" customFormat="false" ht="15" hidden="false" customHeight="false" outlineLevel="0" collapsed="false">
      <c r="A2" s="3" t="s">
        <v>440</v>
      </c>
    </row>
    <row r="3" customFormat="false" ht="15" hidden="false" customHeight="false" outlineLevel="0" collapsed="false">
      <c r="A3" s="4" t="s">
        <v>441</v>
      </c>
    </row>
    <row r="4" customFormat="false" ht="24" hidden="false" customHeight="true" outlineLevel="0" collapsed="false">
      <c r="A4" s="45" t="s">
        <v>69</v>
      </c>
      <c r="B4" s="45" t="s">
        <v>69</v>
      </c>
      <c r="C4" s="45" t="s">
        <v>69</v>
      </c>
      <c r="D4" s="45" t="s">
        <v>69</v>
      </c>
      <c r="E4" s="45" t="s">
        <v>69</v>
      </c>
      <c r="F4" s="45" t="s">
        <v>69</v>
      </c>
      <c r="G4" s="45" t="s">
        <v>69</v>
      </c>
      <c r="H4" s="45" t="s">
        <v>69</v>
      </c>
      <c r="I4" s="45" t="s">
        <v>69</v>
      </c>
      <c r="J4" s="45" t="s">
        <v>69</v>
      </c>
      <c r="K4" s="45" t="s">
        <v>69</v>
      </c>
      <c r="L4" s="45" t="s">
        <v>69</v>
      </c>
      <c r="M4" s="45" t="s">
        <v>69</v>
      </c>
      <c r="N4" s="45" t="s">
        <v>69</v>
      </c>
      <c r="O4" s="46" t="s">
        <v>442</v>
      </c>
      <c r="P4" s="46" t="s">
        <v>442</v>
      </c>
      <c r="Q4" s="46" t="s">
        <v>442</v>
      </c>
      <c r="R4" s="46" t="s">
        <v>442</v>
      </c>
      <c r="S4" s="46" t="s">
        <v>442</v>
      </c>
      <c r="T4" s="46" t="s">
        <v>442</v>
      </c>
      <c r="U4" s="46" t="s">
        <v>442</v>
      </c>
      <c r="V4" s="46" t="s">
        <v>442</v>
      </c>
      <c r="W4" s="46" t="s">
        <v>442</v>
      </c>
    </row>
    <row r="5" customFormat="false" ht="30" hidden="false" customHeight="true" outlineLevel="0" collapsed="false">
      <c r="A5" s="47" t="s">
        <v>443</v>
      </c>
      <c r="B5" s="47" t="s">
        <v>444</v>
      </c>
      <c r="C5" s="47" t="s">
        <v>445</v>
      </c>
      <c r="D5" s="47" t="s">
        <v>446</v>
      </c>
      <c r="E5" s="47" t="s">
        <v>447</v>
      </c>
      <c r="F5" s="47" t="s">
        <v>448</v>
      </c>
      <c r="G5" s="47" t="s">
        <v>449</v>
      </c>
      <c r="H5" s="47" t="s">
        <v>450</v>
      </c>
      <c r="I5" s="47" t="s">
        <v>451</v>
      </c>
      <c r="J5" s="47" t="s">
        <v>452</v>
      </c>
      <c r="K5" s="47" t="s">
        <v>453</v>
      </c>
      <c r="L5" s="47" t="s">
        <v>454</v>
      </c>
      <c r="M5" s="47" t="s">
        <v>455</v>
      </c>
      <c r="N5" s="47"/>
      <c r="O5" s="47"/>
      <c r="P5" s="47"/>
      <c r="Q5" s="47"/>
      <c r="R5" s="47"/>
      <c r="S5" s="47"/>
      <c r="T5" s="47"/>
      <c r="U5" s="47"/>
      <c r="V5" s="47"/>
      <c r="W5" s="47"/>
    </row>
    <row r="6" customFormat="false" ht="48" hidden="false" customHeight="true" outlineLevel="0" collapsed="false">
      <c r="A6" s="48" t="s">
        <v>456</v>
      </c>
      <c r="B6" s="48" t="s">
        <v>457</v>
      </c>
      <c r="C6" s="48" t="s">
        <v>458</v>
      </c>
      <c r="D6" s="48" t="s">
        <v>459</v>
      </c>
      <c r="E6" s="48" t="s">
        <v>460</v>
      </c>
      <c r="F6" s="48" t="s">
        <v>461</v>
      </c>
      <c r="G6" s="48" t="s">
        <v>462</v>
      </c>
      <c r="H6" s="48" t="s">
        <v>463</v>
      </c>
      <c r="I6" s="48" t="s">
        <v>464</v>
      </c>
      <c r="J6" s="48" t="s">
        <v>465</v>
      </c>
      <c r="K6" s="48" t="s">
        <v>466</v>
      </c>
      <c r="L6" s="48" t="s">
        <v>467</v>
      </c>
      <c r="M6" s="48" t="s">
        <v>468</v>
      </c>
      <c r="N6" s="48" t="s">
        <v>469</v>
      </c>
      <c r="O6" s="49" t="s">
        <v>470</v>
      </c>
      <c r="P6" s="49" t="s">
        <v>471</v>
      </c>
      <c r="Q6" s="49" t="s">
        <v>472</v>
      </c>
      <c r="R6" s="49" t="s">
        <v>473</v>
      </c>
      <c r="S6" s="49" t="s">
        <v>474</v>
      </c>
      <c r="T6" s="49" t="s">
        <v>475</v>
      </c>
      <c r="U6" s="49" t="s">
        <v>476</v>
      </c>
      <c r="V6" s="49" t="s">
        <v>477</v>
      </c>
      <c r="W6" s="49" t="s">
        <v>478</v>
      </c>
    </row>
    <row r="7" customFormat="false" ht="35.05" hidden="false" customHeight="false" outlineLevel="0" collapsed="false">
      <c r="A7" s="50" t="s">
        <v>479</v>
      </c>
      <c r="B7" s="34" t="s">
        <v>480</v>
      </c>
      <c r="C7" s="34" t="s">
        <v>481</v>
      </c>
      <c r="D7" s="34" t="s">
        <v>482</v>
      </c>
      <c r="E7" s="34" t="s">
        <v>483</v>
      </c>
      <c r="F7" s="34" t="s">
        <v>484</v>
      </c>
      <c r="G7" s="50" t="s">
        <v>316</v>
      </c>
      <c r="H7" s="51" t="n">
        <v>45383</v>
      </c>
      <c r="I7" s="51" t="n">
        <v>46477</v>
      </c>
      <c r="J7" s="34" t="s">
        <v>485</v>
      </c>
      <c r="K7" s="34" t="s">
        <v>486</v>
      </c>
      <c r="L7" s="50" t="s">
        <v>317</v>
      </c>
      <c r="M7" s="34" t="s">
        <v>487</v>
      </c>
      <c r="N7" s="34" t="s">
        <v>488</v>
      </c>
      <c r="O7" s="52" t="str">
        <f aca="false">IF(A7="","",IFERROR(INDEX(CRT_TIER,MATCH(A7&amp;"|Current",CRT_KEY,0)),"Not classified"))</f>
        <v>High</v>
      </c>
      <c r="P7" s="52" t="str">
        <f aca="false">IF(A7="","",IFERROR(INDEX(CRT_APPRDISP,MATCH(A7&amp;"|Current",CRT_KEY,0)),"Not classified"))</f>
        <v>Approved</v>
      </c>
      <c r="Q7" s="53" t="n">
        <f aca="false">IF(A7="","",IF(MAX(_xlfn.MAXIFS(CRT_DATE,CRT_SUP,A7),_xlfn.MAXIFS(RSK_ASSDATE,RSK_SUP,A7))=0,"",MAX(_xlfn.MAXIFS(CRT_DATE,CRT_SUP,A7),_xlfn.MAXIFS(RSK_ASSDATE,RSK_SUP,A7))))</f>
        <v>46275</v>
      </c>
      <c r="R7" s="54" t="str">
        <f aca="false">IF(A7="","",IFERROR(IF(LEFT(INDEX(DEC_CURR,MATCH(A7&amp;"|Latest",DEC_KEY,0)),10)="Authorised",INDEX(DEC_FINAL,MATCH(A7&amp;"|Latest",DEC_KEY,0)),IF(INDEX(DEC_CURR,MATCH(A7&amp;"|Latest",DEC_KEY,0))="Review due soon",INDEX(DEC_FINAL,MATCH(A7&amp;"|Latest",DEC_KEY,0))&amp;" (review due soon)",INDEX(DEC_CURR,MATCH(A7&amp;"|Latest",DEC_KEY,0)))),IF(COUNTIFS(DEC_SUP,A7,DEC_LEVEL,"Yes")&gt;0,"Pending - no dated decision record","No decision recorded")))</f>
        <v>Conditionally approved</v>
      </c>
      <c r="S7" s="53" t="n">
        <f aca="false">IF(A7="","",IFERROR(INDEX(MON_NEXTREV,MATCH(A7&amp;"|Latest",MON_KEY,0)),IF(Q7="","",IFERROR(EDATE(Q7,INDEX(TierMonths,MATCH(O7,TierNames,0))),""))))</f>
        <v>46358</v>
      </c>
      <c r="T7" s="54" t="str">
        <f aca="false">IF(A7="","",IF(G7="Exited","Not applicable (exited)",IF(S7="","Not scheduled",IF(S7&lt;AsOf,"Overdue (late - administrative, not a finding)",IF(S7&lt;=AsOf+WarnReviewDays,"Due soon","On schedule")))))</f>
        <v>On schedule</v>
      </c>
      <c r="U7" s="52" t="str">
        <f aca="false">IF(A7="","",IF(COUNTIF(INV_ID,A7)&gt;1,"CHECK: duplicate Supplier ID","OK"))</f>
        <v>OK</v>
      </c>
      <c r="V7" s="54" t="str">
        <f aca="false">IF(A7="","",IF(W7="","Complete","Incomplete: "&amp;W7))</f>
        <v>Complete</v>
      </c>
      <c r="W7" s="52" t="str">
        <f aca="false">IF(A7="","",IF(B7="","name; ","")&amp;IF(C7="","service description; ","")&amp;IF(D7="","business owner; ","")&amp;IF(E7="","relationship owner; ","")&amp;IF(OR(AND(H7&lt;&gt;"",NOT(ISNUMBER(H7))),AND(I7&lt;&gt;"",NOT(ISNUMBER(I7))),AND(ISNUMBER(H7),ISNUMBER(I7),I7&lt;H7)),"contract dates invalid; ","")&amp;IF(OR(O7="Not classified",O7="Incomplete"),"classification incomplete; ",""))</f>
        <v/>
      </c>
    </row>
    <row r="8" customFormat="false" ht="35.05" hidden="false" customHeight="false" outlineLevel="0" collapsed="false">
      <c r="A8" s="50" t="s">
        <v>489</v>
      </c>
      <c r="B8" s="34" t="s">
        <v>490</v>
      </c>
      <c r="C8" s="34" t="s">
        <v>491</v>
      </c>
      <c r="D8" s="34" t="s">
        <v>492</v>
      </c>
      <c r="E8" s="34" t="s">
        <v>493</v>
      </c>
      <c r="F8" s="34" t="s">
        <v>494</v>
      </c>
      <c r="G8" s="50" t="s">
        <v>316</v>
      </c>
      <c r="H8" s="51" t="n">
        <v>45689</v>
      </c>
      <c r="I8" s="51" t="n">
        <v>46783</v>
      </c>
      <c r="J8" s="34" t="s">
        <v>495</v>
      </c>
      <c r="K8" s="34" t="s">
        <v>496</v>
      </c>
      <c r="L8" s="50" t="s">
        <v>242</v>
      </c>
      <c r="M8" s="34" t="s">
        <v>497</v>
      </c>
      <c r="N8" s="34" t="s">
        <v>498</v>
      </c>
      <c r="O8" s="52" t="str">
        <f aca="false">IF(A8="","",IFERROR(INDEX(CRT_TIER,MATCH(A8&amp;"|Current",CRT_KEY,0)),"Not classified"))</f>
        <v>High</v>
      </c>
      <c r="P8" s="52" t="str">
        <f aca="false">IF(A8="","",IFERROR(INDEX(CRT_APPRDISP,MATCH(A8&amp;"|Current",CRT_KEY,0)),"Not classified"))</f>
        <v>Confirmed by business owner</v>
      </c>
      <c r="Q8" s="53" t="n">
        <f aca="false">IF(A8="","",IF(MAX(_xlfn.MAXIFS(CRT_DATE,CRT_SUP,A8),_xlfn.MAXIFS(RSK_ASSDATE,RSK_SUP,A8))=0,"",MAX(_xlfn.MAXIFS(CRT_DATE,CRT_SUP,A8),_xlfn.MAXIFS(RSK_ASSDATE,RSK_SUP,A8))))</f>
        <v>46307</v>
      </c>
      <c r="R8" s="54" t="str">
        <f aca="false">IF(A8="","",IFERROR(IF(LEFT(INDEX(DEC_CURR,MATCH(A8&amp;"|Latest",DEC_KEY,0)),10)="Authorised",INDEX(DEC_FINAL,MATCH(A8&amp;"|Latest",DEC_KEY,0)),IF(INDEX(DEC_CURR,MATCH(A8&amp;"|Latest",DEC_KEY,0))="Review due soon",INDEX(DEC_FINAL,MATCH(A8&amp;"|Latest",DEC_KEY,0))&amp;" (review due soon)",INDEX(DEC_CURR,MATCH(A8&amp;"|Latest",DEC_KEY,0)))),IF(COUNTIFS(DEC_SUP,A8,DEC_LEVEL,"Yes")&gt;0,"Pending - no dated decision record","No decision recorded")))</f>
        <v>Deferred</v>
      </c>
      <c r="S8" s="53" t="n">
        <f aca="false">IF(A8="","",IFERROR(INDEX(MON_NEXTREV,MATCH(A8&amp;"|Latest",MON_KEY,0)),IF(Q8="","",IFERROR(EDATE(Q8,INDEX(TierMonths,MATCH(O8,TierNames,0))),""))))</f>
        <v>46478</v>
      </c>
      <c r="T8" s="54" t="str">
        <f aca="false">IF(A8="","",IF(G8="Exited","Not applicable (exited)",IF(S8="","Not scheduled",IF(S8&lt;AsOf,"Overdue (late - administrative, not a finding)",IF(S8&lt;=AsOf+WarnReviewDays,"Due soon","On schedule")))))</f>
        <v>On schedule</v>
      </c>
      <c r="U8" s="52" t="str">
        <f aca="false">IF(A8="","",IF(COUNTIF(INV_ID,A8)&gt;1,"CHECK: duplicate Supplier ID","OK"))</f>
        <v>OK</v>
      </c>
      <c r="V8" s="54" t="str">
        <f aca="false">IF(A8="","",IF(W8="","Complete","Incomplete: "&amp;W8))</f>
        <v>Complete</v>
      </c>
      <c r="W8" s="52" t="str">
        <f aca="false">IF(A8="","",IF(B8="","name; ","")&amp;IF(C8="","service description; ","")&amp;IF(D8="","business owner; ","")&amp;IF(E8="","relationship owner; ","")&amp;IF(OR(AND(H8&lt;&gt;"",NOT(ISNUMBER(H8))),AND(I8&lt;&gt;"",NOT(ISNUMBER(I8))),AND(ISNUMBER(H8),ISNUMBER(I8),I8&lt;H8)),"contract dates invalid; ","")&amp;IF(OR(O8="Not classified",O8="Incomplete"),"classification incomplete; ",""))</f>
        <v/>
      </c>
    </row>
    <row r="9" customFormat="false" ht="23.85" hidden="false" customHeight="false" outlineLevel="0" collapsed="false">
      <c r="A9" s="50" t="s">
        <v>499</v>
      </c>
      <c r="B9" s="34" t="s">
        <v>500</v>
      </c>
      <c r="C9" s="34" t="s">
        <v>501</v>
      </c>
      <c r="D9" s="34" t="s">
        <v>502</v>
      </c>
      <c r="E9" s="34" t="s">
        <v>502</v>
      </c>
      <c r="F9" s="34" t="s">
        <v>503</v>
      </c>
      <c r="G9" s="50" t="s">
        <v>316</v>
      </c>
      <c r="H9" s="51" t="n">
        <v>45809</v>
      </c>
      <c r="I9" s="51" t="n">
        <v>46538</v>
      </c>
      <c r="J9" s="34" t="s">
        <v>262</v>
      </c>
      <c r="K9" s="34" t="s">
        <v>262</v>
      </c>
      <c r="L9" s="50" t="s">
        <v>358</v>
      </c>
      <c r="M9" s="34" t="s">
        <v>504</v>
      </c>
      <c r="N9" s="34" t="s">
        <v>505</v>
      </c>
      <c r="O9" s="52" t="str">
        <f aca="false">IF(A9="","",IFERROR(INDEX(CRT_TIER,MATCH(A9&amp;"|Current",CRT_KEY,0)),"Not classified"))</f>
        <v>Low</v>
      </c>
      <c r="P9" s="52" t="str">
        <f aca="false">IF(A9="","",IFERROR(INDEX(CRT_APPRDISP,MATCH(A9&amp;"|Current",CRT_KEY,0)),"Not classified"))</f>
        <v>Proposed - not confirmed</v>
      </c>
      <c r="Q9" s="53" t="n">
        <f aca="false">IF(A9="","",IF(MAX(_xlfn.MAXIFS(CRT_DATE,CRT_SUP,A9),_xlfn.MAXIFS(RSK_ASSDATE,RSK_SUP,A9))=0,"",MAX(_xlfn.MAXIFS(CRT_DATE,CRT_SUP,A9),_xlfn.MAXIFS(RSK_ASSDATE,RSK_SUP,A9))))</f>
        <v>46254</v>
      </c>
      <c r="R9" s="54" t="str">
        <f aca="false">IF(A9="","",IFERROR(IF(LEFT(INDEX(DEC_CURR,MATCH(A9&amp;"|Latest",DEC_KEY,0)),10)="Authorised",INDEX(DEC_FINAL,MATCH(A9&amp;"|Latest",DEC_KEY,0)),IF(INDEX(DEC_CURR,MATCH(A9&amp;"|Latest",DEC_KEY,0))="Review due soon",INDEX(DEC_FINAL,MATCH(A9&amp;"|Latest",DEC_KEY,0))&amp;" (review due soon)",INDEX(DEC_CURR,MATCH(A9&amp;"|Latest",DEC_KEY,0)))),IF(COUNTIFS(DEC_SUP,A9,DEC_LEVEL,"Yes")&gt;0,"Pending - no dated decision record","No decision recorded")))</f>
        <v>Approved</v>
      </c>
      <c r="S9" s="53" t="n">
        <f aca="false">IF(A9="","",IFERROR(INDEX(MON_NEXTREV,MATCH(A9&amp;"|Latest",MON_KEY,0)),IF(Q9="","",IFERROR(EDATE(Q9,INDEX(TierMonths,MATCH(O9,TierNames,0))),""))))</f>
        <v>46985</v>
      </c>
      <c r="T9" s="54" t="str">
        <f aca="false">IF(A9="","",IF(G9="Exited","Not applicable (exited)",IF(S9="","Not scheduled",IF(S9&lt;AsOf,"Overdue (late - administrative, not a finding)",IF(S9&lt;=AsOf+WarnReviewDays,"Due soon","On schedule")))))</f>
        <v>On schedule</v>
      </c>
      <c r="U9" s="52" t="str">
        <f aca="false">IF(A9="","",IF(COUNTIF(INV_ID,A9)&gt;1,"CHECK: duplicate Supplier ID","OK"))</f>
        <v>OK</v>
      </c>
      <c r="V9" s="54" t="str">
        <f aca="false">IF(A9="","",IF(W9="","Complete","Incomplete: "&amp;W9))</f>
        <v>Complete</v>
      </c>
      <c r="W9" s="52" t="str">
        <f aca="false">IF(A9="","",IF(B9="","name; ","")&amp;IF(C9="","service description; ","")&amp;IF(D9="","business owner; ","")&amp;IF(E9="","relationship owner; ","")&amp;IF(OR(AND(H9&lt;&gt;"",NOT(ISNUMBER(H9))),AND(I9&lt;&gt;"",NOT(ISNUMBER(I9))),AND(ISNUMBER(H9),ISNUMBER(I9),I9&lt;H9)),"contract dates invalid; ","")&amp;IF(OR(O9="Not classified",O9="Incomplete"),"classification incomplete; ",""))</f>
        <v/>
      </c>
    </row>
    <row r="10" customFormat="false" ht="23.85" hidden="false" customHeight="false" outlineLevel="0" collapsed="false">
      <c r="A10" s="50" t="s">
        <v>506</v>
      </c>
      <c r="B10" s="34" t="s">
        <v>507</v>
      </c>
      <c r="C10" s="34" t="s">
        <v>508</v>
      </c>
      <c r="D10" s="34" t="s">
        <v>509</v>
      </c>
      <c r="E10" s="34" t="s">
        <v>509</v>
      </c>
      <c r="F10" s="34" t="s">
        <v>510</v>
      </c>
      <c r="G10" s="50" t="s">
        <v>316</v>
      </c>
      <c r="H10" s="51" t="n">
        <v>45536</v>
      </c>
      <c r="I10" s="51" t="n">
        <v>46387</v>
      </c>
      <c r="J10" s="34" t="s">
        <v>511</v>
      </c>
      <c r="K10" s="34" t="s">
        <v>512</v>
      </c>
      <c r="L10" s="50" t="s">
        <v>358</v>
      </c>
      <c r="M10" s="34" t="s">
        <v>513</v>
      </c>
      <c r="N10" s="34" t="s">
        <v>514</v>
      </c>
      <c r="O10" s="52" t="str">
        <f aca="false">IF(A10="","",IFERROR(INDEX(CRT_TIER,MATCH(A10&amp;"|Current",CRT_KEY,0)),"Not classified"))</f>
        <v>Medium</v>
      </c>
      <c r="P10" s="52" t="str">
        <f aca="false">IF(A10="","",IFERROR(INDEX(CRT_APPRDISP,MATCH(A10&amp;"|Current",CRT_KEY,0)),"Not classified"))</f>
        <v>Confirmed by business owner</v>
      </c>
      <c r="Q10" s="53" t="n">
        <f aca="false">IF(A10="","",IF(MAX(_xlfn.MAXIFS(CRT_DATE,CRT_SUP,A10),_xlfn.MAXIFS(RSK_ASSDATE,RSK_SUP,A10))=0,"",MAX(_xlfn.MAXIFS(CRT_DATE,CRT_SUP,A10),_xlfn.MAXIFS(RSK_ASSDATE,RSK_SUP,A10))))</f>
        <v>46266</v>
      </c>
      <c r="R10" s="54" t="str">
        <f aca="false">IF(A10="","",IFERROR(IF(LEFT(INDEX(DEC_CURR,MATCH(A10&amp;"|Latest",DEC_KEY,0)),10)="Authorised",INDEX(DEC_FINAL,MATCH(A10&amp;"|Latest",DEC_KEY,0)),IF(INDEX(DEC_CURR,MATCH(A10&amp;"|Latest",DEC_KEY,0))="Review due soon",INDEX(DEC_FINAL,MATCH(A10&amp;"|Latest",DEC_KEY,0))&amp;" (review due soon)",INDEX(DEC_CURR,MATCH(A10&amp;"|Latest",DEC_KEY,0)))),IF(COUNTIFS(DEC_SUP,A10,DEC_LEVEL,"Yes")&gt;0,"Pending - no dated decision record","No decision recorded")))</f>
        <v>Pending - no authorised decision</v>
      </c>
      <c r="S10" s="53" t="n">
        <f aca="false">IF(A10="","",IFERROR(INDEX(MON_NEXTREV,MATCH(A10&amp;"|Latest",MON_KEY,0)),IF(Q10="","",IFERROR(EDATE(Q10,INDEX(TierMonths,MATCH(O10,TierNames,0))),""))))</f>
        <v>46266</v>
      </c>
      <c r="T10" s="54" t="str">
        <f aca="false">IF(A10="","",IF(G10="Exited","Not applicable (exited)",IF(S10="","Not scheduled",IF(S10&lt;AsOf,"Overdue (late - administrative, not a finding)",IF(S10&lt;=AsOf+WarnReviewDays,"Due soon","On schedule")))))</f>
        <v>Overdue (late - administrative, not a finding)</v>
      </c>
      <c r="U10" s="52" t="str">
        <f aca="false">IF(A10="","",IF(COUNTIF(INV_ID,A10)&gt;1,"CHECK: duplicate Supplier ID","OK"))</f>
        <v>OK</v>
      </c>
      <c r="V10" s="54" t="str">
        <f aca="false">IF(A10="","",IF(W10="","Complete","Incomplete: "&amp;W10))</f>
        <v>Complete</v>
      </c>
      <c r="W10" s="52" t="str">
        <f aca="false">IF(A10="","",IF(B10="","name; ","")&amp;IF(C10="","service description; ","")&amp;IF(D10="","business owner; ","")&amp;IF(E10="","relationship owner; ","")&amp;IF(OR(AND(H10&lt;&gt;"",NOT(ISNUMBER(H10))),AND(I10&lt;&gt;"",NOT(ISNUMBER(I10))),AND(ISNUMBER(H10),ISNUMBER(I10),I10&lt;H10)),"contract dates invalid; ","")&amp;IF(OR(O10="Not classified",O10="Incomplete"),"classification incomplete; ",""))</f>
        <v/>
      </c>
    </row>
    <row r="11" customFormat="false" ht="35.05" hidden="false" customHeight="false" outlineLevel="0" collapsed="false">
      <c r="A11" s="50" t="s">
        <v>515</v>
      </c>
      <c r="B11" s="34" t="s">
        <v>516</v>
      </c>
      <c r="C11" s="34" t="s">
        <v>517</v>
      </c>
      <c r="D11" s="34" t="s">
        <v>518</v>
      </c>
      <c r="E11" s="34" t="s">
        <v>519</v>
      </c>
      <c r="F11" s="34" t="s">
        <v>520</v>
      </c>
      <c r="G11" s="50" t="s">
        <v>382</v>
      </c>
      <c r="H11" s="51" t="n">
        <v>44197</v>
      </c>
      <c r="I11" s="51" t="n">
        <v>46387</v>
      </c>
      <c r="J11" s="34" t="s">
        <v>521</v>
      </c>
      <c r="K11" s="34" t="s">
        <v>522</v>
      </c>
      <c r="L11" s="50" t="s">
        <v>383</v>
      </c>
      <c r="M11" s="34" t="s">
        <v>523</v>
      </c>
      <c r="N11" s="34" t="s">
        <v>524</v>
      </c>
      <c r="O11" s="52" t="str">
        <f aca="false">IF(A11="","",IFERROR(INDEX(CRT_TIER,MATCH(A11&amp;"|Current",CRT_KEY,0)),"Not classified"))</f>
        <v>High</v>
      </c>
      <c r="P11" s="52" t="str">
        <f aca="false">IF(A11="","",IFERROR(INDEX(CRT_APPRDISP,MATCH(A11&amp;"|Current",CRT_KEY,0)),"Not classified"))</f>
        <v>Confirmed by business owner</v>
      </c>
      <c r="Q11" s="53" t="n">
        <f aca="false">IF(A11="","",IF(MAX(_xlfn.MAXIFS(CRT_DATE,CRT_SUP,A11),_xlfn.MAXIFS(RSK_ASSDATE,RSK_SUP,A11))=0,"",MAX(_xlfn.MAXIFS(CRT_DATE,CRT_SUP,A11),_xlfn.MAXIFS(RSK_ASSDATE,RSK_SUP,A11))))</f>
        <v>46300</v>
      </c>
      <c r="R11" s="54" t="str">
        <f aca="false">IF(A11="","",IFERROR(IF(LEFT(INDEX(DEC_CURR,MATCH(A11&amp;"|Latest",DEC_KEY,0)),10)="Authorised",INDEX(DEC_FINAL,MATCH(A11&amp;"|Latest",DEC_KEY,0)),IF(INDEX(DEC_CURR,MATCH(A11&amp;"|Latest",DEC_KEY,0))="Review due soon",INDEX(DEC_FINAL,MATCH(A11&amp;"|Latest",DEC_KEY,0))&amp;" (review due soon)",INDEX(DEC_CURR,MATCH(A11&amp;"|Latest",DEC_KEY,0)))),IF(COUNTIFS(DEC_SUP,A11,DEC_LEVEL,"Yes")&gt;0,"Pending - no dated decision record","No decision recorded")))</f>
        <v>No decision recorded</v>
      </c>
      <c r="S11" s="53" t="n">
        <f aca="false">IF(A11="","",IFERROR(INDEX(MON_NEXTREV,MATCH(A11&amp;"|Latest",MON_KEY,0)),IF(Q11="","",IFERROR(EDATE(Q11,INDEX(TierMonths,MATCH(O11,TierNames,0))),""))))</f>
        <v>46387</v>
      </c>
      <c r="T11" s="54" t="str">
        <f aca="false">IF(A11="","",IF(G11="Exited","Not applicable (exited)",IF(S11="","Not scheduled",IF(S11&lt;AsOf,"Overdue (late - administrative, not a finding)",IF(S11&lt;=AsOf+WarnReviewDays,"Due soon","On schedule")))))</f>
        <v>On schedule</v>
      </c>
      <c r="U11" s="52" t="str">
        <f aca="false">IF(A11="","",IF(COUNTIF(INV_ID,A11)&gt;1,"CHECK: duplicate Supplier ID","OK"))</f>
        <v>OK</v>
      </c>
      <c r="V11" s="54" t="str">
        <f aca="false">IF(A11="","",IF(W11="","Complete","Incomplete: "&amp;W11))</f>
        <v>Complete</v>
      </c>
      <c r="W11" s="52" t="str">
        <f aca="false">IF(A11="","",IF(B11="","name; ","")&amp;IF(C11="","service description; ","")&amp;IF(D11="","business owner; ","")&amp;IF(E11="","relationship owner; ","")&amp;IF(OR(AND(H11&lt;&gt;"",NOT(ISNUMBER(H11))),AND(I11&lt;&gt;"",NOT(ISNUMBER(I11))),AND(ISNUMBER(H11),ISNUMBER(I11),I11&lt;H11)),"contract dates invalid; ","")&amp;IF(OR(O11="Not classified",O11="Incomplete"),"classification incomplete; ",""))</f>
        <v/>
      </c>
    </row>
    <row r="12" customFormat="false" ht="15" hidden="false" customHeight="false" outlineLevel="0" collapsed="false">
      <c r="A12" s="50"/>
      <c r="B12" s="34"/>
      <c r="C12" s="34"/>
      <c r="D12" s="34"/>
      <c r="E12" s="34"/>
      <c r="F12" s="34"/>
      <c r="G12" s="50"/>
      <c r="H12" s="51"/>
      <c r="I12" s="51"/>
      <c r="J12" s="34"/>
      <c r="K12" s="34"/>
      <c r="L12" s="50"/>
      <c r="M12" s="34"/>
      <c r="N12" s="34"/>
      <c r="O12" s="52" t="str">
        <f aca="false">IF(A12="","",IFERROR(INDEX(CRT_TIER,MATCH(A12&amp;"|Current",CRT_KEY,0)),"Not classified"))</f>
        <v/>
      </c>
      <c r="P12" s="52" t="str">
        <f aca="false">IF(A12="","",IFERROR(INDEX(CRT_APPRDISP,MATCH(A12&amp;"|Current",CRT_KEY,0)),"Not classified"))</f>
        <v/>
      </c>
      <c r="Q12" s="53" t="str">
        <f aca="false">IF(A12="","",IF(MAX(_xlfn.MAXIFS(CRT_DATE,CRT_SUP,A12),_xlfn.MAXIFS(RSK_ASSDATE,RSK_SUP,A12))=0,"",MAX(_xlfn.MAXIFS(CRT_DATE,CRT_SUP,A12),_xlfn.MAXIFS(RSK_ASSDATE,RSK_SUP,A12))))</f>
        <v/>
      </c>
      <c r="R12" s="54" t="str">
        <f aca="false">IF(A12="","",IFERROR(IF(LEFT(INDEX(DEC_CURR,MATCH(A12&amp;"|Latest",DEC_KEY,0)),10)="Authorised",INDEX(DEC_FINAL,MATCH(A12&amp;"|Latest",DEC_KEY,0)),IF(INDEX(DEC_CURR,MATCH(A12&amp;"|Latest",DEC_KEY,0))="Review due soon",INDEX(DEC_FINAL,MATCH(A12&amp;"|Latest",DEC_KEY,0))&amp;" (review due soon)",INDEX(DEC_CURR,MATCH(A12&amp;"|Latest",DEC_KEY,0)))),IF(COUNTIFS(DEC_SUP,A12,DEC_LEVEL,"Yes")&gt;0,"Pending - no dated decision record","No decision recorded")))</f>
        <v/>
      </c>
      <c r="S12" s="53" t="str">
        <f aca="false">IF(A12="","",IFERROR(INDEX(MON_NEXTREV,MATCH(A12&amp;"|Latest",MON_KEY,0)),IF(Q12="","",IFERROR(EDATE(Q12,INDEX(TierMonths,MATCH(O12,TierNames,0))),""))))</f>
        <v/>
      </c>
      <c r="T12" s="54" t="str">
        <f aca="false">IF(A12="","",IF(G12="Exited","Not applicable (exited)",IF(S12="","Not scheduled",IF(S12&lt;AsOf,"Overdue (late - administrative, not a finding)",IF(S12&lt;=AsOf+WarnReviewDays,"Due soon","On schedule")))))</f>
        <v/>
      </c>
      <c r="U12" s="52" t="str">
        <f aca="false">IF(A12="","",IF(COUNTIF(INV_ID,A12)&gt;1,"CHECK: duplicate Supplier ID","OK"))</f>
        <v/>
      </c>
      <c r="V12" s="54" t="str">
        <f aca="false">IF(A12="","",IF(W12="","Complete","Incomplete: "&amp;W12))</f>
        <v/>
      </c>
      <c r="W12" s="52" t="str">
        <f aca="false">IF(A12="","",IF(B12="","name; ","")&amp;IF(C12="","service description; ","")&amp;IF(D12="","business owner; ","")&amp;IF(E12="","relationship owner; ","")&amp;IF(OR(AND(H12&lt;&gt;"",NOT(ISNUMBER(H12))),AND(I12&lt;&gt;"",NOT(ISNUMBER(I12))),AND(ISNUMBER(H12),ISNUMBER(I12),I12&lt;H12)),"contract dates invalid; ","")&amp;IF(OR(O12="Not classified",O12="Incomplete"),"classification incomplete; ",""))</f>
        <v/>
      </c>
    </row>
    <row r="13" customFormat="false" ht="15" hidden="false" customHeight="false" outlineLevel="0" collapsed="false">
      <c r="A13" s="50"/>
      <c r="B13" s="34"/>
      <c r="C13" s="34"/>
      <c r="D13" s="34"/>
      <c r="E13" s="34"/>
      <c r="F13" s="34"/>
      <c r="G13" s="50"/>
      <c r="H13" s="51"/>
      <c r="I13" s="51"/>
      <c r="J13" s="34"/>
      <c r="K13" s="34"/>
      <c r="L13" s="50"/>
      <c r="M13" s="34"/>
      <c r="N13" s="34"/>
      <c r="O13" s="52" t="str">
        <f aca="false">IF(A13="","",IFERROR(INDEX(CRT_TIER,MATCH(A13&amp;"|Current",CRT_KEY,0)),"Not classified"))</f>
        <v/>
      </c>
      <c r="P13" s="52" t="str">
        <f aca="false">IF(A13="","",IFERROR(INDEX(CRT_APPRDISP,MATCH(A13&amp;"|Current",CRT_KEY,0)),"Not classified"))</f>
        <v/>
      </c>
      <c r="Q13" s="53" t="str">
        <f aca="false">IF(A13="","",IF(MAX(_xlfn.MAXIFS(CRT_DATE,CRT_SUP,A13),_xlfn.MAXIFS(RSK_ASSDATE,RSK_SUP,A13))=0,"",MAX(_xlfn.MAXIFS(CRT_DATE,CRT_SUP,A13),_xlfn.MAXIFS(RSK_ASSDATE,RSK_SUP,A13))))</f>
        <v/>
      </c>
      <c r="R13" s="54" t="str">
        <f aca="false">IF(A13="","",IFERROR(IF(LEFT(INDEX(DEC_CURR,MATCH(A13&amp;"|Latest",DEC_KEY,0)),10)="Authorised",INDEX(DEC_FINAL,MATCH(A13&amp;"|Latest",DEC_KEY,0)),IF(INDEX(DEC_CURR,MATCH(A13&amp;"|Latest",DEC_KEY,0))="Review due soon",INDEX(DEC_FINAL,MATCH(A13&amp;"|Latest",DEC_KEY,0))&amp;" (review due soon)",INDEX(DEC_CURR,MATCH(A13&amp;"|Latest",DEC_KEY,0)))),IF(COUNTIFS(DEC_SUP,A13,DEC_LEVEL,"Yes")&gt;0,"Pending - no dated decision record","No decision recorded")))</f>
        <v/>
      </c>
      <c r="S13" s="53" t="str">
        <f aca="false">IF(A13="","",IFERROR(INDEX(MON_NEXTREV,MATCH(A13&amp;"|Latest",MON_KEY,0)),IF(Q13="","",IFERROR(EDATE(Q13,INDEX(TierMonths,MATCH(O13,TierNames,0))),""))))</f>
        <v/>
      </c>
      <c r="T13" s="54" t="str">
        <f aca="false">IF(A13="","",IF(G13="Exited","Not applicable (exited)",IF(S13="","Not scheduled",IF(S13&lt;AsOf,"Overdue (late - administrative, not a finding)",IF(S13&lt;=AsOf+WarnReviewDays,"Due soon","On schedule")))))</f>
        <v/>
      </c>
      <c r="U13" s="52" t="str">
        <f aca="false">IF(A13="","",IF(COUNTIF(INV_ID,A13)&gt;1,"CHECK: duplicate Supplier ID","OK"))</f>
        <v/>
      </c>
      <c r="V13" s="54" t="str">
        <f aca="false">IF(A13="","",IF(W13="","Complete","Incomplete: "&amp;W13))</f>
        <v/>
      </c>
      <c r="W13" s="52" t="str">
        <f aca="false">IF(A13="","",IF(B13="","name; ","")&amp;IF(C13="","service description; ","")&amp;IF(D13="","business owner; ","")&amp;IF(E13="","relationship owner; ","")&amp;IF(OR(AND(H13&lt;&gt;"",NOT(ISNUMBER(H13))),AND(I13&lt;&gt;"",NOT(ISNUMBER(I13))),AND(ISNUMBER(H13),ISNUMBER(I13),I13&lt;H13)),"contract dates invalid; ","")&amp;IF(OR(O13="Not classified",O13="Incomplete"),"classification incomplete; ",""))</f>
        <v/>
      </c>
    </row>
    <row r="14" customFormat="false" ht="15" hidden="false" customHeight="false" outlineLevel="0" collapsed="false">
      <c r="A14" s="50"/>
      <c r="B14" s="34"/>
      <c r="C14" s="34"/>
      <c r="D14" s="34"/>
      <c r="E14" s="34"/>
      <c r="F14" s="34"/>
      <c r="G14" s="50"/>
      <c r="H14" s="51"/>
      <c r="I14" s="51"/>
      <c r="J14" s="34"/>
      <c r="K14" s="34"/>
      <c r="L14" s="50"/>
      <c r="M14" s="34"/>
      <c r="N14" s="34"/>
      <c r="O14" s="52" t="str">
        <f aca="false">IF(A14="","",IFERROR(INDEX(CRT_TIER,MATCH(A14&amp;"|Current",CRT_KEY,0)),"Not classified"))</f>
        <v/>
      </c>
      <c r="P14" s="52" t="str">
        <f aca="false">IF(A14="","",IFERROR(INDEX(CRT_APPRDISP,MATCH(A14&amp;"|Current",CRT_KEY,0)),"Not classified"))</f>
        <v/>
      </c>
      <c r="Q14" s="53" t="str">
        <f aca="false">IF(A14="","",IF(MAX(_xlfn.MAXIFS(CRT_DATE,CRT_SUP,A14),_xlfn.MAXIFS(RSK_ASSDATE,RSK_SUP,A14))=0,"",MAX(_xlfn.MAXIFS(CRT_DATE,CRT_SUP,A14),_xlfn.MAXIFS(RSK_ASSDATE,RSK_SUP,A14))))</f>
        <v/>
      </c>
      <c r="R14" s="54" t="str">
        <f aca="false">IF(A14="","",IFERROR(IF(LEFT(INDEX(DEC_CURR,MATCH(A14&amp;"|Latest",DEC_KEY,0)),10)="Authorised",INDEX(DEC_FINAL,MATCH(A14&amp;"|Latest",DEC_KEY,0)),IF(INDEX(DEC_CURR,MATCH(A14&amp;"|Latest",DEC_KEY,0))="Review due soon",INDEX(DEC_FINAL,MATCH(A14&amp;"|Latest",DEC_KEY,0))&amp;" (review due soon)",INDEX(DEC_CURR,MATCH(A14&amp;"|Latest",DEC_KEY,0)))),IF(COUNTIFS(DEC_SUP,A14,DEC_LEVEL,"Yes")&gt;0,"Pending - no dated decision record","No decision recorded")))</f>
        <v/>
      </c>
      <c r="S14" s="53" t="str">
        <f aca="false">IF(A14="","",IFERROR(INDEX(MON_NEXTREV,MATCH(A14&amp;"|Latest",MON_KEY,0)),IF(Q14="","",IFERROR(EDATE(Q14,INDEX(TierMonths,MATCH(O14,TierNames,0))),""))))</f>
        <v/>
      </c>
      <c r="T14" s="54" t="str">
        <f aca="false">IF(A14="","",IF(G14="Exited","Not applicable (exited)",IF(S14="","Not scheduled",IF(S14&lt;AsOf,"Overdue (late - administrative, not a finding)",IF(S14&lt;=AsOf+WarnReviewDays,"Due soon","On schedule")))))</f>
        <v/>
      </c>
      <c r="U14" s="52" t="str">
        <f aca="false">IF(A14="","",IF(COUNTIF(INV_ID,A14)&gt;1,"CHECK: duplicate Supplier ID","OK"))</f>
        <v/>
      </c>
      <c r="V14" s="54" t="str">
        <f aca="false">IF(A14="","",IF(W14="","Complete","Incomplete: "&amp;W14))</f>
        <v/>
      </c>
      <c r="W14" s="52" t="str">
        <f aca="false">IF(A14="","",IF(B14="","name; ","")&amp;IF(C14="","service description; ","")&amp;IF(D14="","business owner; ","")&amp;IF(E14="","relationship owner; ","")&amp;IF(OR(AND(H14&lt;&gt;"",NOT(ISNUMBER(H14))),AND(I14&lt;&gt;"",NOT(ISNUMBER(I14))),AND(ISNUMBER(H14),ISNUMBER(I14),I14&lt;H14)),"contract dates invalid; ","")&amp;IF(OR(O14="Not classified",O14="Incomplete"),"classification incomplete; ",""))</f>
        <v/>
      </c>
    </row>
    <row r="15" customFormat="false" ht="15" hidden="false" customHeight="false" outlineLevel="0" collapsed="false">
      <c r="A15" s="50"/>
      <c r="B15" s="34"/>
      <c r="C15" s="34"/>
      <c r="D15" s="34"/>
      <c r="E15" s="34"/>
      <c r="F15" s="34"/>
      <c r="G15" s="50"/>
      <c r="H15" s="51"/>
      <c r="I15" s="51"/>
      <c r="J15" s="34"/>
      <c r="K15" s="34"/>
      <c r="L15" s="50"/>
      <c r="M15" s="34"/>
      <c r="N15" s="34"/>
      <c r="O15" s="52" t="str">
        <f aca="false">IF(A15="","",IFERROR(INDEX(CRT_TIER,MATCH(A15&amp;"|Current",CRT_KEY,0)),"Not classified"))</f>
        <v/>
      </c>
      <c r="P15" s="52" t="str">
        <f aca="false">IF(A15="","",IFERROR(INDEX(CRT_APPRDISP,MATCH(A15&amp;"|Current",CRT_KEY,0)),"Not classified"))</f>
        <v/>
      </c>
      <c r="Q15" s="53" t="str">
        <f aca="false">IF(A15="","",IF(MAX(_xlfn.MAXIFS(CRT_DATE,CRT_SUP,A15),_xlfn.MAXIFS(RSK_ASSDATE,RSK_SUP,A15))=0,"",MAX(_xlfn.MAXIFS(CRT_DATE,CRT_SUP,A15),_xlfn.MAXIFS(RSK_ASSDATE,RSK_SUP,A15))))</f>
        <v/>
      </c>
      <c r="R15" s="54" t="str">
        <f aca="false">IF(A15="","",IFERROR(IF(LEFT(INDEX(DEC_CURR,MATCH(A15&amp;"|Latest",DEC_KEY,0)),10)="Authorised",INDEX(DEC_FINAL,MATCH(A15&amp;"|Latest",DEC_KEY,0)),IF(INDEX(DEC_CURR,MATCH(A15&amp;"|Latest",DEC_KEY,0))="Review due soon",INDEX(DEC_FINAL,MATCH(A15&amp;"|Latest",DEC_KEY,0))&amp;" (review due soon)",INDEX(DEC_CURR,MATCH(A15&amp;"|Latest",DEC_KEY,0)))),IF(COUNTIFS(DEC_SUP,A15,DEC_LEVEL,"Yes")&gt;0,"Pending - no dated decision record","No decision recorded")))</f>
        <v/>
      </c>
      <c r="S15" s="53" t="str">
        <f aca="false">IF(A15="","",IFERROR(INDEX(MON_NEXTREV,MATCH(A15&amp;"|Latest",MON_KEY,0)),IF(Q15="","",IFERROR(EDATE(Q15,INDEX(TierMonths,MATCH(O15,TierNames,0))),""))))</f>
        <v/>
      </c>
      <c r="T15" s="54" t="str">
        <f aca="false">IF(A15="","",IF(G15="Exited","Not applicable (exited)",IF(S15="","Not scheduled",IF(S15&lt;AsOf,"Overdue (late - administrative, not a finding)",IF(S15&lt;=AsOf+WarnReviewDays,"Due soon","On schedule")))))</f>
        <v/>
      </c>
      <c r="U15" s="52" t="str">
        <f aca="false">IF(A15="","",IF(COUNTIF(INV_ID,A15)&gt;1,"CHECK: duplicate Supplier ID","OK"))</f>
        <v/>
      </c>
      <c r="V15" s="54" t="str">
        <f aca="false">IF(A15="","",IF(W15="","Complete","Incomplete: "&amp;W15))</f>
        <v/>
      </c>
      <c r="W15" s="52" t="str">
        <f aca="false">IF(A15="","",IF(B15="","name; ","")&amp;IF(C15="","service description; ","")&amp;IF(D15="","business owner; ","")&amp;IF(E15="","relationship owner; ","")&amp;IF(OR(AND(H15&lt;&gt;"",NOT(ISNUMBER(H15))),AND(I15&lt;&gt;"",NOT(ISNUMBER(I15))),AND(ISNUMBER(H15),ISNUMBER(I15),I15&lt;H15)),"contract dates invalid; ","")&amp;IF(OR(O15="Not classified",O15="Incomplete"),"classification incomplete; ",""))</f>
        <v/>
      </c>
    </row>
    <row r="16" customFormat="false" ht="15" hidden="false" customHeight="false" outlineLevel="0" collapsed="false">
      <c r="A16" s="50"/>
      <c r="B16" s="34"/>
      <c r="C16" s="34"/>
      <c r="D16" s="34"/>
      <c r="E16" s="34"/>
      <c r="F16" s="34"/>
      <c r="G16" s="50"/>
      <c r="H16" s="51"/>
      <c r="I16" s="51"/>
      <c r="J16" s="34"/>
      <c r="K16" s="34"/>
      <c r="L16" s="50"/>
      <c r="M16" s="34"/>
      <c r="N16" s="34"/>
      <c r="O16" s="52" t="str">
        <f aca="false">IF(A16="","",IFERROR(INDEX(CRT_TIER,MATCH(A16&amp;"|Current",CRT_KEY,0)),"Not classified"))</f>
        <v/>
      </c>
      <c r="P16" s="52" t="str">
        <f aca="false">IF(A16="","",IFERROR(INDEX(CRT_APPRDISP,MATCH(A16&amp;"|Current",CRT_KEY,0)),"Not classified"))</f>
        <v/>
      </c>
      <c r="Q16" s="53" t="str">
        <f aca="false">IF(A16="","",IF(MAX(_xlfn.MAXIFS(CRT_DATE,CRT_SUP,A16),_xlfn.MAXIFS(RSK_ASSDATE,RSK_SUP,A16))=0,"",MAX(_xlfn.MAXIFS(CRT_DATE,CRT_SUP,A16),_xlfn.MAXIFS(RSK_ASSDATE,RSK_SUP,A16))))</f>
        <v/>
      </c>
      <c r="R16" s="54" t="str">
        <f aca="false">IF(A16="","",IFERROR(IF(LEFT(INDEX(DEC_CURR,MATCH(A16&amp;"|Latest",DEC_KEY,0)),10)="Authorised",INDEX(DEC_FINAL,MATCH(A16&amp;"|Latest",DEC_KEY,0)),IF(INDEX(DEC_CURR,MATCH(A16&amp;"|Latest",DEC_KEY,0))="Review due soon",INDEX(DEC_FINAL,MATCH(A16&amp;"|Latest",DEC_KEY,0))&amp;" (review due soon)",INDEX(DEC_CURR,MATCH(A16&amp;"|Latest",DEC_KEY,0)))),IF(COUNTIFS(DEC_SUP,A16,DEC_LEVEL,"Yes")&gt;0,"Pending - no dated decision record","No decision recorded")))</f>
        <v/>
      </c>
      <c r="S16" s="53" t="str">
        <f aca="false">IF(A16="","",IFERROR(INDEX(MON_NEXTREV,MATCH(A16&amp;"|Latest",MON_KEY,0)),IF(Q16="","",IFERROR(EDATE(Q16,INDEX(TierMonths,MATCH(O16,TierNames,0))),""))))</f>
        <v/>
      </c>
      <c r="T16" s="54" t="str">
        <f aca="false">IF(A16="","",IF(G16="Exited","Not applicable (exited)",IF(S16="","Not scheduled",IF(S16&lt;AsOf,"Overdue (late - administrative, not a finding)",IF(S16&lt;=AsOf+WarnReviewDays,"Due soon","On schedule")))))</f>
        <v/>
      </c>
      <c r="U16" s="52" t="str">
        <f aca="false">IF(A16="","",IF(COUNTIF(INV_ID,A16)&gt;1,"CHECK: duplicate Supplier ID","OK"))</f>
        <v/>
      </c>
      <c r="V16" s="54" t="str">
        <f aca="false">IF(A16="","",IF(W16="","Complete","Incomplete: "&amp;W16))</f>
        <v/>
      </c>
      <c r="W16" s="52" t="str">
        <f aca="false">IF(A16="","",IF(B16="","name; ","")&amp;IF(C16="","service description; ","")&amp;IF(D16="","business owner; ","")&amp;IF(E16="","relationship owner; ","")&amp;IF(OR(AND(H16&lt;&gt;"",NOT(ISNUMBER(H16))),AND(I16&lt;&gt;"",NOT(ISNUMBER(I16))),AND(ISNUMBER(H16),ISNUMBER(I16),I16&lt;H16)),"contract dates invalid; ","")&amp;IF(OR(O16="Not classified",O16="Incomplete"),"classification incomplete; ",""))</f>
        <v/>
      </c>
    </row>
    <row r="17" customFormat="false" ht="15" hidden="false" customHeight="false" outlineLevel="0" collapsed="false">
      <c r="A17" s="50"/>
      <c r="B17" s="34"/>
      <c r="C17" s="34"/>
      <c r="D17" s="34"/>
      <c r="E17" s="34"/>
      <c r="F17" s="34"/>
      <c r="G17" s="50"/>
      <c r="H17" s="51"/>
      <c r="I17" s="51"/>
      <c r="J17" s="34"/>
      <c r="K17" s="34"/>
      <c r="L17" s="50"/>
      <c r="M17" s="34"/>
      <c r="N17" s="34"/>
      <c r="O17" s="52" t="str">
        <f aca="false">IF(A17="","",IFERROR(INDEX(CRT_TIER,MATCH(A17&amp;"|Current",CRT_KEY,0)),"Not classified"))</f>
        <v/>
      </c>
      <c r="P17" s="52" t="str">
        <f aca="false">IF(A17="","",IFERROR(INDEX(CRT_APPRDISP,MATCH(A17&amp;"|Current",CRT_KEY,0)),"Not classified"))</f>
        <v/>
      </c>
      <c r="Q17" s="53" t="str">
        <f aca="false">IF(A17="","",IF(MAX(_xlfn.MAXIFS(CRT_DATE,CRT_SUP,A17),_xlfn.MAXIFS(RSK_ASSDATE,RSK_SUP,A17))=0,"",MAX(_xlfn.MAXIFS(CRT_DATE,CRT_SUP,A17),_xlfn.MAXIFS(RSK_ASSDATE,RSK_SUP,A17))))</f>
        <v/>
      </c>
      <c r="R17" s="54" t="str">
        <f aca="false">IF(A17="","",IFERROR(IF(LEFT(INDEX(DEC_CURR,MATCH(A17&amp;"|Latest",DEC_KEY,0)),10)="Authorised",INDEX(DEC_FINAL,MATCH(A17&amp;"|Latest",DEC_KEY,0)),IF(INDEX(DEC_CURR,MATCH(A17&amp;"|Latest",DEC_KEY,0))="Review due soon",INDEX(DEC_FINAL,MATCH(A17&amp;"|Latest",DEC_KEY,0))&amp;" (review due soon)",INDEX(DEC_CURR,MATCH(A17&amp;"|Latest",DEC_KEY,0)))),IF(COUNTIFS(DEC_SUP,A17,DEC_LEVEL,"Yes")&gt;0,"Pending - no dated decision record","No decision recorded")))</f>
        <v/>
      </c>
      <c r="S17" s="53" t="str">
        <f aca="false">IF(A17="","",IFERROR(INDEX(MON_NEXTREV,MATCH(A17&amp;"|Latest",MON_KEY,0)),IF(Q17="","",IFERROR(EDATE(Q17,INDEX(TierMonths,MATCH(O17,TierNames,0))),""))))</f>
        <v/>
      </c>
      <c r="T17" s="54" t="str">
        <f aca="false">IF(A17="","",IF(G17="Exited","Not applicable (exited)",IF(S17="","Not scheduled",IF(S17&lt;AsOf,"Overdue (late - administrative, not a finding)",IF(S17&lt;=AsOf+WarnReviewDays,"Due soon","On schedule")))))</f>
        <v/>
      </c>
      <c r="U17" s="52" t="str">
        <f aca="false">IF(A17="","",IF(COUNTIF(INV_ID,A17)&gt;1,"CHECK: duplicate Supplier ID","OK"))</f>
        <v/>
      </c>
      <c r="V17" s="54" t="str">
        <f aca="false">IF(A17="","",IF(W17="","Complete","Incomplete: "&amp;W17))</f>
        <v/>
      </c>
      <c r="W17" s="52" t="str">
        <f aca="false">IF(A17="","",IF(B17="","name; ","")&amp;IF(C17="","service description; ","")&amp;IF(D17="","business owner; ","")&amp;IF(E17="","relationship owner; ","")&amp;IF(OR(AND(H17&lt;&gt;"",NOT(ISNUMBER(H17))),AND(I17&lt;&gt;"",NOT(ISNUMBER(I17))),AND(ISNUMBER(H17),ISNUMBER(I17),I17&lt;H17)),"contract dates invalid; ","")&amp;IF(OR(O17="Not classified",O17="Incomplete"),"classification incomplete; ",""))</f>
        <v/>
      </c>
    </row>
    <row r="18" customFormat="false" ht="15" hidden="false" customHeight="false" outlineLevel="0" collapsed="false">
      <c r="A18" s="50"/>
      <c r="B18" s="34"/>
      <c r="C18" s="34"/>
      <c r="D18" s="34"/>
      <c r="E18" s="34"/>
      <c r="F18" s="34"/>
      <c r="G18" s="50"/>
      <c r="H18" s="51"/>
      <c r="I18" s="51"/>
      <c r="J18" s="34"/>
      <c r="K18" s="34"/>
      <c r="L18" s="50"/>
      <c r="M18" s="34"/>
      <c r="N18" s="34"/>
      <c r="O18" s="52" t="str">
        <f aca="false">IF(A18="","",IFERROR(INDEX(CRT_TIER,MATCH(A18&amp;"|Current",CRT_KEY,0)),"Not classified"))</f>
        <v/>
      </c>
      <c r="P18" s="52" t="str">
        <f aca="false">IF(A18="","",IFERROR(INDEX(CRT_APPRDISP,MATCH(A18&amp;"|Current",CRT_KEY,0)),"Not classified"))</f>
        <v/>
      </c>
      <c r="Q18" s="53" t="str">
        <f aca="false">IF(A18="","",IF(MAX(_xlfn.MAXIFS(CRT_DATE,CRT_SUP,A18),_xlfn.MAXIFS(RSK_ASSDATE,RSK_SUP,A18))=0,"",MAX(_xlfn.MAXIFS(CRT_DATE,CRT_SUP,A18),_xlfn.MAXIFS(RSK_ASSDATE,RSK_SUP,A18))))</f>
        <v/>
      </c>
      <c r="R18" s="54" t="str">
        <f aca="false">IF(A18="","",IFERROR(IF(LEFT(INDEX(DEC_CURR,MATCH(A18&amp;"|Latest",DEC_KEY,0)),10)="Authorised",INDEX(DEC_FINAL,MATCH(A18&amp;"|Latest",DEC_KEY,0)),IF(INDEX(DEC_CURR,MATCH(A18&amp;"|Latest",DEC_KEY,0))="Review due soon",INDEX(DEC_FINAL,MATCH(A18&amp;"|Latest",DEC_KEY,0))&amp;" (review due soon)",INDEX(DEC_CURR,MATCH(A18&amp;"|Latest",DEC_KEY,0)))),IF(COUNTIFS(DEC_SUP,A18,DEC_LEVEL,"Yes")&gt;0,"Pending - no dated decision record","No decision recorded")))</f>
        <v/>
      </c>
      <c r="S18" s="53" t="str">
        <f aca="false">IF(A18="","",IFERROR(INDEX(MON_NEXTREV,MATCH(A18&amp;"|Latest",MON_KEY,0)),IF(Q18="","",IFERROR(EDATE(Q18,INDEX(TierMonths,MATCH(O18,TierNames,0))),""))))</f>
        <v/>
      </c>
      <c r="T18" s="54" t="str">
        <f aca="false">IF(A18="","",IF(G18="Exited","Not applicable (exited)",IF(S18="","Not scheduled",IF(S18&lt;AsOf,"Overdue (late - administrative, not a finding)",IF(S18&lt;=AsOf+WarnReviewDays,"Due soon","On schedule")))))</f>
        <v/>
      </c>
      <c r="U18" s="52" t="str">
        <f aca="false">IF(A18="","",IF(COUNTIF(INV_ID,A18)&gt;1,"CHECK: duplicate Supplier ID","OK"))</f>
        <v/>
      </c>
      <c r="V18" s="54" t="str">
        <f aca="false">IF(A18="","",IF(W18="","Complete","Incomplete: "&amp;W18))</f>
        <v/>
      </c>
      <c r="W18" s="52" t="str">
        <f aca="false">IF(A18="","",IF(B18="","name; ","")&amp;IF(C18="","service description; ","")&amp;IF(D18="","business owner; ","")&amp;IF(E18="","relationship owner; ","")&amp;IF(OR(AND(H18&lt;&gt;"",NOT(ISNUMBER(H18))),AND(I18&lt;&gt;"",NOT(ISNUMBER(I18))),AND(ISNUMBER(H18),ISNUMBER(I18),I18&lt;H18)),"contract dates invalid; ","")&amp;IF(OR(O18="Not classified",O18="Incomplete"),"classification incomplete; ",""))</f>
        <v/>
      </c>
    </row>
    <row r="19" customFormat="false" ht="15" hidden="false" customHeight="false" outlineLevel="0" collapsed="false">
      <c r="A19" s="50"/>
      <c r="B19" s="34"/>
      <c r="C19" s="34"/>
      <c r="D19" s="34"/>
      <c r="E19" s="34"/>
      <c r="F19" s="34"/>
      <c r="G19" s="50"/>
      <c r="H19" s="51"/>
      <c r="I19" s="51"/>
      <c r="J19" s="34"/>
      <c r="K19" s="34"/>
      <c r="L19" s="50"/>
      <c r="M19" s="34"/>
      <c r="N19" s="34"/>
      <c r="O19" s="52" t="str">
        <f aca="false">IF(A19="","",IFERROR(INDEX(CRT_TIER,MATCH(A19&amp;"|Current",CRT_KEY,0)),"Not classified"))</f>
        <v/>
      </c>
      <c r="P19" s="52" t="str">
        <f aca="false">IF(A19="","",IFERROR(INDEX(CRT_APPRDISP,MATCH(A19&amp;"|Current",CRT_KEY,0)),"Not classified"))</f>
        <v/>
      </c>
      <c r="Q19" s="53" t="str">
        <f aca="false">IF(A19="","",IF(MAX(_xlfn.MAXIFS(CRT_DATE,CRT_SUP,A19),_xlfn.MAXIFS(RSK_ASSDATE,RSK_SUP,A19))=0,"",MAX(_xlfn.MAXIFS(CRT_DATE,CRT_SUP,A19),_xlfn.MAXIFS(RSK_ASSDATE,RSK_SUP,A19))))</f>
        <v/>
      </c>
      <c r="R19" s="54" t="str">
        <f aca="false">IF(A19="","",IFERROR(IF(LEFT(INDEX(DEC_CURR,MATCH(A19&amp;"|Latest",DEC_KEY,0)),10)="Authorised",INDEX(DEC_FINAL,MATCH(A19&amp;"|Latest",DEC_KEY,0)),IF(INDEX(DEC_CURR,MATCH(A19&amp;"|Latest",DEC_KEY,0))="Review due soon",INDEX(DEC_FINAL,MATCH(A19&amp;"|Latest",DEC_KEY,0))&amp;" (review due soon)",INDEX(DEC_CURR,MATCH(A19&amp;"|Latest",DEC_KEY,0)))),IF(COUNTIFS(DEC_SUP,A19,DEC_LEVEL,"Yes")&gt;0,"Pending - no dated decision record","No decision recorded")))</f>
        <v/>
      </c>
      <c r="S19" s="53" t="str">
        <f aca="false">IF(A19="","",IFERROR(INDEX(MON_NEXTREV,MATCH(A19&amp;"|Latest",MON_KEY,0)),IF(Q19="","",IFERROR(EDATE(Q19,INDEX(TierMonths,MATCH(O19,TierNames,0))),""))))</f>
        <v/>
      </c>
      <c r="T19" s="54" t="str">
        <f aca="false">IF(A19="","",IF(G19="Exited","Not applicable (exited)",IF(S19="","Not scheduled",IF(S19&lt;AsOf,"Overdue (late - administrative, not a finding)",IF(S19&lt;=AsOf+WarnReviewDays,"Due soon","On schedule")))))</f>
        <v/>
      </c>
      <c r="U19" s="52" t="str">
        <f aca="false">IF(A19="","",IF(COUNTIF(INV_ID,A19)&gt;1,"CHECK: duplicate Supplier ID","OK"))</f>
        <v/>
      </c>
      <c r="V19" s="54" t="str">
        <f aca="false">IF(A19="","",IF(W19="","Complete","Incomplete: "&amp;W19))</f>
        <v/>
      </c>
      <c r="W19" s="52" t="str">
        <f aca="false">IF(A19="","",IF(B19="","name; ","")&amp;IF(C19="","service description; ","")&amp;IF(D19="","business owner; ","")&amp;IF(E19="","relationship owner; ","")&amp;IF(OR(AND(H19&lt;&gt;"",NOT(ISNUMBER(H19))),AND(I19&lt;&gt;"",NOT(ISNUMBER(I19))),AND(ISNUMBER(H19),ISNUMBER(I19),I19&lt;H19)),"contract dates invalid; ","")&amp;IF(OR(O19="Not classified",O19="Incomplete"),"classification incomplete; ",""))</f>
        <v/>
      </c>
    </row>
    <row r="20" customFormat="false" ht="15" hidden="false" customHeight="false" outlineLevel="0" collapsed="false">
      <c r="A20" s="50"/>
      <c r="B20" s="34"/>
      <c r="C20" s="34"/>
      <c r="D20" s="34"/>
      <c r="E20" s="34"/>
      <c r="F20" s="34"/>
      <c r="G20" s="50"/>
      <c r="H20" s="51"/>
      <c r="I20" s="51"/>
      <c r="J20" s="34"/>
      <c r="K20" s="34"/>
      <c r="L20" s="50"/>
      <c r="M20" s="34"/>
      <c r="N20" s="34"/>
      <c r="O20" s="52" t="str">
        <f aca="false">IF(A20="","",IFERROR(INDEX(CRT_TIER,MATCH(A20&amp;"|Current",CRT_KEY,0)),"Not classified"))</f>
        <v/>
      </c>
      <c r="P20" s="52" t="str">
        <f aca="false">IF(A20="","",IFERROR(INDEX(CRT_APPRDISP,MATCH(A20&amp;"|Current",CRT_KEY,0)),"Not classified"))</f>
        <v/>
      </c>
      <c r="Q20" s="53" t="str">
        <f aca="false">IF(A20="","",IF(MAX(_xlfn.MAXIFS(CRT_DATE,CRT_SUP,A20),_xlfn.MAXIFS(RSK_ASSDATE,RSK_SUP,A20))=0,"",MAX(_xlfn.MAXIFS(CRT_DATE,CRT_SUP,A20),_xlfn.MAXIFS(RSK_ASSDATE,RSK_SUP,A20))))</f>
        <v/>
      </c>
      <c r="R20" s="54" t="str">
        <f aca="false">IF(A20="","",IFERROR(IF(LEFT(INDEX(DEC_CURR,MATCH(A20&amp;"|Latest",DEC_KEY,0)),10)="Authorised",INDEX(DEC_FINAL,MATCH(A20&amp;"|Latest",DEC_KEY,0)),IF(INDEX(DEC_CURR,MATCH(A20&amp;"|Latest",DEC_KEY,0))="Review due soon",INDEX(DEC_FINAL,MATCH(A20&amp;"|Latest",DEC_KEY,0))&amp;" (review due soon)",INDEX(DEC_CURR,MATCH(A20&amp;"|Latest",DEC_KEY,0)))),IF(COUNTIFS(DEC_SUP,A20,DEC_LEVEL,"Yes")&gt;0,"Pending - no dated decision record","No decision recorded")))</f>
        <v/>
      </c>
      <c r="S20" s="53" t="str">
        <f aca="false">IF(A20="","",IFERROR(INDEX(MON_NEXTREV,MATCH(A20&amp;"|Latest",MON_KEY,0)),IF(Q20="","",IFERROR(EDATE(Q20,INDEX(TierMonths,MATCH(O20,TierNames,0))),""))))</f>
        <v/>
      </c>
      <c r="T20" s="54" t="str">
        <f aca="false">IF(A20="","",IF(G20="Exited","Not applicable (exited)",IF(S20="","Not scheduled",IF(S20&lt;AsOf,"Overdue (late - administrative, not a finding)",IF(S20&lt;=AsOf+WarnReviewDays,"Due soon","On schedule")))))</f>
        <v/>
      </c>
      <c r="U20" s="52" t="str">
        <f aca="false">IF(A20="","",IF(COUNTIF(INV_ID,A20)&gt;1,"CHECK: duplicate Supplier ID","OK"))</f>
        <v/>
      </c>
      <c r="V20" s="54" t="str">
        <f aca="false">IF(A20="","",IF(W20="","Complete","Incomplete: "&amp;W20))</f>
        <v/>
      </c>
      <c r="W20" s="52" t="str">
        <f aca="false">IF(A20="","",IF(B20="","name; ","")&amp;IF(C20="","service description; ","")&amp;IF(D20="","business owner; ","")&amp;IF(E20="","relationship owner; ","")&amp;IF(OR(AND(H20&lt;&gt;"",NOT(ISNUMBER(H20))),AND(I20&lt;&gt;"",NOT(ISNUMBER(I20))),AND(ISNUMBER(H20),ISNUMBER(I20),I20&lt;H20)),"contract dates invalid; ","")&amp;IF(OR(O20="Not classified",O20="Incomplete"),"classification incomplete; ",""))</f>
        <v/>
      </c>
    </row>
    <row r="21" customFormat="false" ht="15" hidden="false" customHeight="false" outlineLevel="0" collapsed="false">
      <c r="A21" s="50"/>
      <c r="B21" s="34"/>
      <c r="C21" s="34"/>
      <c r="D21" s="34"/>
      <c r="E21" s="34"/>
      <c r="F21" s="34"/>
      <c r="G21" s="50"/>
      <c r="H21" s="51"/>
      <c r="I21" s="51"/>
      <c r="J21" s="34"/>
      <c r="K21" s="34"/>
      <c r="L21" s="50"/>
      <c r="M21" s="34"/>
      <c r="N21" s="34"/>
      <c r="O21" s="52" t="str">
        <f aca="false">IF(A21="","",IFERROR(INDEX(CRT_TIER,MATCH(A21&amp;"|Current",CRT_KEY,0)),"Not classified"))</f>
        <v/>
      </c>
      <c r="P21" s="52" t="str">
        <f aca="false">IF(A21="","",IFERROR(INDEX(CRT_APPRDISP,MATCH(A21&amp;"|Current",CRT_KEY,0)),"Not classified"))</f>
        <v/>
      </c>
      <c r="Q21" s="53" t="str">
        <f aca="false">IF(A21="","",IF(MAX(_xlfn.MAXIFS(CRT_DATE,CRT_SUP,A21),_xlfn.MAXIFS(RSK_ASSDATE,RSK_SUP,A21))=0,"",MAX(_xlfn.MAXIFS(CRT_DATE,CRT_SUP,A21),_xlfn.MAXIFS(RSK_ASSDATE,RSK_SUP,A21))))</f>
        <v/>
      </c>
      <c r="R21" s="54" t="str">
        <f aca="false">IF(A21="","",IFERROR(IF(LEFT(INDEX(DEC_CURR,MATCH(A21&amp;"|Latest",DEC_KEY,0)),10)="Authorised",INDEX(DEC_FINAL,MATCH(A21&amp;"|Latest",DEC_KEY,0)),IF(INDEX(DEC_CURR,MATCH(A21&amp;"|Latest",DEC_KEY,0))="Review due soon",INDEX(DEC_FINAL,MATCH(A21&amp;"|Latest",DEC_KEY,0))&amp;" (review due soon)",INDEX(DEC_CURR,MATCH(A21&amp;"|Latest",DEC_KEY,0)))),IF(COUNTIFS(DEC_SUP,A21,DEC_LEVEL,"Yes")&gt;0,"Pending - no dated decision record","No decision recorded")))</f>
        <v/>
      </c>
      <c r="S21" s="53" t="str">
        <f aca="false">IF(A21="","",IFERROR(INDEX(MON_NEXTREV,MATCH(A21&amp;"|Latest",MON_KEY,0)),IF(Q21="","",IFERROR(EDATE(Q21,INDEX(TierMonths,MATCH(O21,TierNames,0))),""))))</f>
        <v/>
      </c>
      <c r="T21" s="54" t="str">
        <f aca="false">IF(A21="","",IF(G21="Exited","Not applicable (exited)",IF(S21="","Not scheduled",IF(S21&lt;AsOf,"Overdue (late - administrative, not a finding)",IF(S21&lt;=AsOf+WarnReviewDays,"Due soon","On schedule")))))</f>
        <v/>
      </c>
      <c r="U21" s="52" t="str">
        <f aca="false">IF(A21="","",IF(COUNTIF(INV_ID,A21)&gt;1,"CHECK: duplicate Supplier ID","OK"))</f>
        <v/>
      </c>
      <c r="V21" s="54" t="str">
        <f aca="false">IF(A21="","",IF(W21="","Complete","Incomplete: "&amp;W21))</f>
        <v/>
      </c>
      <c r="W21" s="52" t="str">
        <f aca="false">IF(A21="","",IF(B21="","name; ","")&amp;IF(C21="","service description; ","")&amp;IF(D21="","business owner; ","")&amp;IF(E21="","relationship owner; ","")&amp;IF(OR(AND(H21&lt;&gt;"",NOT(ISNUMBER(H21))),AND(I21&lt;&gt;"",NOT(ISNUMBER(I21))),AND(ISNUMBER(H21),ISNUMBER(I21),I21&lt;H21)),"contract dates invalid; ","")&amp;IF(OR(O21="Not classified",O21="Incomplete"),"classification incomplete; ",""))</f>
        <v/>
      </c>
    </row>
    <row r="22" customFormat="false" ht="15" hidden="false" customHeight="false" outlineLevel="0" collapsed="false">
      <c r="A22" s="50"/>
      <c r="B22" s="34"/>
      <c r="C22" s="34"/>
      <c r="D22" s="34"/>
      <c r="E22" s="34"/>
      <c r="F22" s="34"/>
      <c r="G22" s="50"/>
      <c r="H22" s="51"/>
      <c r="I22" s="51"/>
      <c r="J22" s="34"/>
      <c r="K22" s="34"/>
      <c r="L22" s="50"/>
      <c r="M22" s="34"/>
      <c r="N22" s="34"/>
      <c r="O22" s="52" t="str">
        <f aca="false">IF(A22="","",IFERROR(INDEX(CRT_TIER,MATCH(A22&amp;"|Current",CRT_KEY,0)),"Not classified"))</f>
        <v/>
      </c>
      <c r="P22" s="52" t="str">
        <f aca="false">IF(A22="","",IFERROR(INDEX(CRT_APPRDISP,MATCH(A22&amp;"|Current",CRT_KEY,0)),"Not classified"))</f>
        <v/>
      </c>
      <c r="Q22" s="53" t="str">
        <f aca="false">IF(A22="","",IF(MAX(_xlfn.MAXIFS(CRT_DATE,CRT_SUP,A22),_xlfn.MAXIFS(RSK_ASSDATE,RSK_SUP,A22))=0,"",MAX(_xlfn.MAXIFS(CRT_DATE,CRT_SUP,A22),_xlfn.MAXIFS(RSK_ASSDATE,RSK_SUP,A22))))</f>
        <v/>
      </c>
      <c r="R22" s="54" t="str">
        <f aca="false">IF(A22="","",IFERROR(IF(LEFT(INDEX(DEC_CURR,MATCH(A22&amp;"|Latest",DEC_KEY,0)),10)="Authorised",INDEX(DEC_FINAL,MATCH(A22&amp;"|Latest",DEC_KEY,0)),IF(INDEX(DEC_CURR,MATCH(A22&amp;"|Latest",DEC_KEY,0))="Review due soon",INDEX(DEC_FINAL,MATCH(A22&amp;"|Latest",DEC_KEY,0))&amp;" (review due soon)",INDEX(DEC_CURR,MATCH(A22&amp;"|Latest",DEC_KEY,0)))),IF(COUNTIFS(DEC_SUP,A22,DEC_LEVEL,"Yes")&gt;0,"Pending - no dated decision record","No decision recorded")))</f>
        <v/>
      </c>
      <c r="S22" s="53" t="str">
        <f aca="false">IF(A22="","",IFERROR(INDEX(MON_NEXTREV,MATCH(A22&amp;"|Latest",MON_KEY,0)),IF(Q22="","",IFERROR(EDATE(Q22,INDEX(TierMonths,MATCH(O22,TierNames,0))),""))))</f>
        <v/>
      </c>
      <c r="T22" s="54" t="str">
        <f aca="false">IF(A22="","",IF(G22="Exited","Not applicable (exited)",IF(S22="","Not scheduled",IF(S22&lt;AsOf,"Overdue (late - administrative, not a finding)",IF(S22&lt;=AsOf+WarnReviewDays,"Due soon","On schedule")))))</f>
        <v/>
      </c>
      <c r="U22" s="52" t="str">
        <f aca="false">IF(A22="","",IF(COUNTIF(INV_ID,A22)&gt;1,"CHECK: duplicate Supplier ID","OK"))</f>
        <v/>
      </c>
      <c r="V22" s="54" t="str">
        <f aca="false">IF(A22="","",IF(W22="","Complete","Incomplete: "&amp;W22))</f>
        <v/>
      </c>
      <c r="W22" s="52" t="str">
        <f aca="false">IF(A22="","",IF(B22="","name; ","")&amp;IF(C22="","service description; ","")&amp;IF(D22="","business owner; ","")&amp;IF(E22="","relationship owner; ","")&amp;IF(OR(AND(H22&lt;&gt;"",NOT(ISNUMBER(H22))),AND(I22&lt;&gt;"",NOT(ISNUMBER(I22))),AND(ISNUMBER(H22),ISNUMBER(I22),I22&lt;H22)),"contract dates invalid; ","")&amp;IF(OR(O22="Not classified",O22="Incomplete"),"classification incomplete; ",""))</f>
        <v/>
      </c>
    </row>
    <row r="23" customFormat="false" ht="15" hidden="false" customHeight="false" outlineLevel="0" collapsed="false">
      <c r="A23" s="50"/>
      <c r="B23" s="34"/>
      <c r="C23" s="34"/>
      <c r="D23" s="34"/>
      <c r="E23" s="34"/>
      <c r="F23" s="34"/>
      <c r="G23" s="50"/>
      <c r="H23" s="51"/>
      <c r="I23" s="51"/>
      <c r="J23" s="34"/>
      <c r="K23" s="34"/>
      <c r="L23" s="50"/>
      <c r="M23" s="34"/>
      <c r="N23" s="34"/>
      <c r="O23" s="52" t="str">
        <f aca="false">IF(A23="","",IFERROR(INDEX(CRT_TIER,MATCH(A23&amp;"|Current",CRT_KEY,0)),"Not classified"))</f>
        <v/>
      </c>
      <c r="P23" s="52" t="str">
        <f aca="false">IF(A23="","",IFERROR(INDEX(CRT_APPRDISP,MATCH(A23&amp;"|Current",CRT_KEY,0)),"Not classified"))</f>
        <v/>
      </c>
      <c r="Q23" s="53" t="str">
        <f aca="false">IF(A23="","",IF(MAX(_xlfn.MAXIFS(CRT_DATE,CRT_SUP,A23),_xlfn.MAXIFS(RSK_ASSDATE,RSK_SUP,A23))=0,"",MAX(_xlfn.MAXIFS(CRT_DATE,CRT_SUP,A23),_xlfn.MAXIFS(RSK_ASSDATE,RSK_SUP,A23))))</f>
        <v/>
      </c>
      <c r="R23" s="54" t="str">
        <f aca="false">IF(A23="","",IFERROR(IF(LEFT(INDEX(DEC_CURR,MATCH(A23&amp;"|Latest",DEC_KEY,0)),10)="Authorised",INDEX(DEC_FINAL,MATCH(A23&amp;"|Latest",DEC_KEY,0)),IF(INDEX(DEC_CURR,MATCH(A23&amp;"|Latest",DEC_KEY,0))="Review due soon",INDEX(DEC_FINAL,MATCH(A23&amp;"|Latest",DEC_KEY,0))&amp;" (review due soon)",INDEX(DEC_CURR,MATCH(A23&amp;"|Latest",DEC_KEY,0)))),IF(COUNTIFS(DEC_SUP,A23,DEC_LEVEL,"Yes")&gt;0,"Pending - no dated decision record","No decision recorded")))</f>
        <v/>
      </c>
      <c r="S23" s="53" t="str">
        <f aca="false">IF(A23="","",IFERROR(INDEX(MON_NEXTREV,MATCH(A23&amp;"|Latest",MON_KEY,0)),IF(Q23="","",IFERROR(EDATE(Q23,INDEX(TierMonths,MATCH(O23,TierNames,0))),""))))</f>
        <v/>
      </c>
      <c r="T23" s="54" t="str">
        <f aca="false">IF(A23="","",IF(G23="Exited","Not applicable (exited)",IF(S23="","Not scheduled",IF(S23&lt;AsOf,"Overdue (late - administrative, not a finding)",IF(S23&lt;=AsOf+WarnReviewDays,"Due soon","On schedule")))))</f>
        <v/>
      </c>
      <c r="U23" s="52" t="str">
        <f aca="false">IF(A23="","",IF(COUNTIF(INV_ID,A23)&gt;1,"CHECK: duplicate Supplier ID","OK"))</f>
        <v/>
      </c>
      <c r="V23" s="54" t="str">
        <f aca="false">IF(A23="","",IF(W23="","Complete","Incomplete: "&amp;W23))</f>
        <v/>
      </c>
      <c r="W23" s="52" t="str">
        <f aca="false">IF(A23="","",IF(B23="","name; ","")&amp;IF(C23="","service description; ","")&amp;IF(D23="","business owner; ","")&amp;IF(E23="","relationship owner; ","")&amp;IF(OR(AND(H23&lt;&gt;"",NOT(ISNUMBER(H23))),AND(I23&lt;&gt;"",NOT(ISNUMBER(I23))),AND(ISNUMBER(H23),ISNUMBER(I23),I23&lt;H23)),"contract dates invalid; ","")&amp;IF(OR(O23="Not classified",O23="Incomplete"),"classification incomplete; ",""))</f>
        <v/>
      </c>
    </row>
    <row r="24" customFormat="false" ht="15" hidden="false" customHeight="false" outlineLevel="0" collapsed="false">
      <c r="A24" s="50"/>
      <c r="B24" s="34"/>
      <c r="C24" s="34"/>
      <c r="D24" s="34"/>
      <c r="E24" s="34"/>
      <c r="F24" s="34"/>
      <c r="G24" s="50"/>
      <c r="H24" s="51"/>
      <c r="I24" s="51"/>
      <c r="J24" s="34"/>
      <c r="K24" s="34"/>
      <c r="L24" s="50"/>
      <c r="M24" s="34"/>
      <c r="N24" s="34"/>
      <c r="O24" s="52" t="str">
        <f aca="false">IF(A24="","",IFERROR(INDEX(CRT_TIER,MATCH(A24&amp;"|Current",CRT_KEY,0)),"Not classified"))</f>
        <v/>
      </c>
      <c r="P24" s="52" t="str">
        <f aca="false">IF(A24="","",IFERROR(INDEX(CRT_APPRDISP,MATCH(A24&amp;"|Current",CRT_KEY,0)),"Not classified"))</f>
        <v/>
      </c>
      <c r="Q24" s="53" t="str">
        <f aca="false">IF(A24="","",IF(MAX(_xlfn.MAXIFS(CRT_DATE,CRT_SUP,A24),_xlfn.MAXIFS(RSK_ASSDATE,RSK_SUP,A24))=0,"",MAX(_xlfn.MAXIFS(CRT_DATE,CRT_SUP,A24),_xlfn.MAXIFS(RSK_ASSDATE,RSK_SUP,A24))))</f>
        <v/>
      </c>
      <c r="R24" s="54" t="str">
        <f aca="false">IF(A24="","",IFERROR(IF(LEFT(INDEX(DEC_CURR,MATCH(A24&amp;"|Latest",DEC_KEY,0)),10)="Authorised",INDEX(DEC_FINAL,MATCH(A24&amp;"|Latest",DEC_KEY,0)),IF(INDEX(DEC_CURR,MATCH(A24&amp;"|Latest",DEC_KEY,0))="Review due soon",INDEX(DEC_FINAL,MATCH(A24&amp;"|Latest",DEC_KEY,0))&amp;" (review due soon)",INDEX(DEC_CURR,MATCH(A24&amp;"|Latest",DEC_KEY,0)))),IF(COUNTIFS(DEC_SUP,A24,DEC_LEVEL,"Yes")&gt;0,"Pending - no dated decision record","No decision recorded")))</f>
        <v/>
      </c>
      <c r="S24" s="53" t="str">
        <f aca="false">IF(A24="","",IFERROR(INDEX(MON_NEXTREV,MATCH(A24&amp;"|Latest",MON_KEY,0)),IF(Q24="","",IFERROR(EDATE(Q24,INDEX(TierMonths,MATCH(O24,TierNames,0))),""))))</f>
        <v/>
      </c>
      <c r="T24" s="54" t="str">
        <f aca="false">IF(A24="","",IF(G24="Exited","Not applicable (exited)",IF(S24="","Not scheduled",IF(S24&lt;AsOf,"Overdue (late - administrative, not a finding)",IF(S24&lt;=AsOf+WarnReviewDays,"Due soon","On schedule")))))</f>
        <v/>
      </c>
      <c r="U24" s="52" t="str">
        <f aca="false">IF(A24="","",IF(COUNTIF(INV_ID,A24)&gt;1,"CHECK: duplicate Supplier ID","OK"))</f>
        <v/>
      </c>
      <c r="V24" s="54" t="str">
        <f aca="false">IF(A24="","",IF(W24="","Complete","Incomplete: "&amp;W24))</f>
        <v/>
      </c>
      <c r="W24" s="52" t="str">
        <f aca="false">IF(A24="","",IF(B24="","name; ","")&amp;IF(C24="","service description; ","")&amp;IF(D24="","business owner; ","")&amp;IF(E24="","relationship owner; ","")&amp;IF(OR(AND(H24&lt;&gt;"",NOT(ISNUMBER(H24))),AND(I24&lt;&gt;"",NOT(ISNUMBER(I24))),AND(ISNUMBER(H24),ISNUMBER(I24),I24&lt;H24)),"contract dates invalid; ","")&amp;IF(OR(O24="Not classified",O24="Incomplete"),"classification incomplete; ",""))</f>
        <v/>
      </c>
    </row>
    <row r="25" customFormat="false" ht="15" hidden="false" customHeight="false" outlineLevel="0" collapsed="false">
      <c r="A25" s="50"/>
      <c r="B25" s="34"/>
      <c r="C25" s="34"/>
      <c r="D25" s="34"/>
      <c r="E25" s="34"/>
      <c r="F25" s="34"/>
      <c r="G25" s="50"/>
      <c r="H25" s="51"/>
      <c r="I25" s="51"/>
      <c r="J25" s="34"/>
      <c r="K25" s="34"/>
      <c r="L25" s="50"/>
      <c r="M25" s="34"/>
      <c r="N25" s="34"/>
      <c r="O25" s="52" t="str">
        <f aca="false">IF(A25="","",IFERROR(INDEX(CRT_TIER,MATCH(A25&amp;"|Current",CRT_KEY,0)),"Not classified"))</f>
        <v/>
      </c>
      <c r="P25" s="52" t="str">
        <f aca="false">IF(A25="","",IFERROR(INDEX(CRT_APPRDISP,MATCH(A25&amp;"|Current",CRT_KEY,0)),"Not classified"))</f>
        <v/>
      </c>
      <c r="Q25" s="53" t="str">
        <f aca="false">IF(A25="","",IF(MAX(_xlfn.MAXIFS(CRT_DATE,CRT_SUP,A25),_xlfn.MAXIFS(RSK_ASSDATE,RSK_SUP,A25))=0,"",MAX(_xlfn.MAXIFS(CRT_DATE,CRT_SUP,A25),_xlfn.MAXIFS(RSK_ASSDATE,RSK_SUP,A25))))</f>
        <v/>
      </c>
      <c r="R25" s="54" t="str">
        <f aca="false">IF(A25="","",IFERROR(IF(LEFT(INDEX(DEC_CURR,MATCH(A25&amp;"|Latest",DEC_KEY,0)),10)="Authorised",INDEX(DEC_FINAL,MATCH(A25&amp;"|Latest",DEC_KEY,0)),IF(INDEX(DEC_CURR,MATCH(A25&amp;"|Latest",DEC_KEY,0))="Review due soon",INDEX(DEC_FINAL,MATCH(A25&amp;"|Latest",DEC_KEY,0))&amp;" (review due soon)",INDEX(DEC_CURR,MATCH(A25&amp;"|Latest",DEC_KEY,0)))),IF(COUNTIFS(DEC_SUP,A25,DEC_LEVEL,"Yes")&gt;0,"Pending - no dated decision record","No decision recorded")))</f>
        <v/>
      </c>
      <c r="S25" s="53" t="str">
        <f aca="false">IF(A25="","",IFERROR(INDEX(MON_NEXTREV,MATCH(A25&amp;"|Latest",MON_KEY,0)),IF(Q25="","",IFERROR(EDATE(Q25,INDEX(TierMonths,MATCH(O25,TierNames,0))),""))))</f>
        <v/>
      </c>
      <c r="T25" s="54" t="str">
        <f aca="false">IF(A25="","",IF(G25="Exited","Not applicable (exited)",IF(S25="","Not scheduled",IF(S25&lt;AsOf,"Overdue (late - administrative, not a finding)",IF(S25&lt;=AsOf+WarnReviewDays,"Due soon","On schedule")))))</f>
        <v/>
      </c>
      <c r="U25" s="52" t="str">
        <f aca="false">IF(A25="","",IF(COUNTIF(INV_ID,A25)&gt;1,"CHECK: duplicate Supplier ID","OK"))</f>
        <v/>
      </c>
      <c r="V25" s="54" t="str">
        <f aca="false">IF(A25="","",IF(W25="","Complete","Incomplete: "&amp;W25))</f>
        <v/>
      </c>
      <c r="W25" s="52" t="str">
        <f aca="false">IF(A25="","",IF(B25="","name; ","")&amp;IF(C25="","service description; ","")&amp;IF(D25="","business owner; ","")&amp;IF(E25="","relationship owner; ","")&amp;IF(OR(AND(H25&lt;&gt;"",NOT(ISNUMBER(H25))),AND(I25&lt;&gt;"",NOT(ISNUMBER(I25))),AND(ISNUMBER(H25),ISNUMBER(I25),I25&lt;H25)),"contract dates invalid; ","")&amp;IF(OR(O25="Not classified",O25="Incomplete"),"classification incomplete; ",""))</f>
        <v/>
      </c>
    </row>
    <row r="26" customFormat="false" ht="15" hidden="false" customHeight="false" outlineLevel="0" collapsed="false">
      <c r="A26" s="50"/>
      <c r="B26" s="34"/>
      <c r="C26" s="34"/>
      <c r="D26" s="34"/>
      <c r="E26" s="34"/>
      <c r="F26" s="34"/>
      <c r="G26" s="50"/>
      <c r="H26" s="51"/>
      <c r="I26" s="51"/>
      <c r="J26" s="34"/>
      <c r="K26" s="34"/>
      <c r="L26" s="50"/>
      <c r="M26" s="34"/>
      <c r="N26" s="34"/>
      <c r="O26" s="52" t="str">
        <f aca="false">IF(A26="","",IFERROR(INDEX(CRT_TIER,MATCH(A26&amp;"|Current",CRT_KEY,0)),"Not classified"))</f>
        <v/>
      </c>
      <c r="P26" s="52" t="str">
        <f aca="false">IF(A26="","",IFERROR(INDEX(CRT_APPRDISP,MATCH(A26&amp;"|Current",CRT_KEY,0)),"Not classified"))</f>
        <v/>
      </c>
      <c r="Q26" s="53" t="str">
        <f aca="false">IF(A26="","",IF(MAX(_xlfn.MAXIFS(CRT_DATE,CRT_SUP,A26),_xlfn.MAXIFS(RSK_ASSDATE,RSK_SUP,A26))=0,"",MAX(_xlfn.MAXIFS(CRT_DATE,CRT_SUP,A26),_xlfn.MAXIFS(RSK_ASSDATE,RSK_SUP,A26))))</f>
        <v/>
      </c>
      <c r="R26" s="54" t="str">
        <f aca="false">IF(A26="","",IFERROR(IF(LEFT(INDEX(DEC_CURR,MATCH(A26&amp;"|Latest",DEC_KEY,0)),10)="Authorised",INDEX(DEC_FINAL,MATCH(A26&amp;"|Latest",DEC_KEY,0)),IF(INDEX(DEC_CURR,MATCH(A26&amp;"|Latest",DEC_KEY,0))="Review due soon",INDEX(DEC_FINAL,MATCH(A26&amp;"|Latest",DEC_KEY,0))&amp;" (review due soon)",INDEX(DEC_CURR,MATCH(A26&amp;"|Latest",DEC_KEY,0)))),IF(COUNTIFS(DEC_SUP,A26,DEC_LEVEL,"Yes")&gt;0,"Pending - no dated decision record","No decision recorded")))</f>
        <v/>
      </c>
      <c r="S26" s="53" t="str">
        <f aca="false">IF(A26="","",IFERROR(INDEX(MON_NEXTREV,MATCH(A26&amp;"|Latest",MON_KEY,0)),IF(Q26="","",IFERROR(EDATE(Q26,INDEX(TierMonths,MATCH(O26,TierNames,0))),""))))</f>
        <v/>
      </c>
      <c r="T26" s="54" t="str">
        <f aca="false">IF(A26="","",IF(G26="Exited","Not applicable (exited)",IF(S26="","Not scheduled",IF(S26&lt;AsOf,"Overdue (late - administrative, not a finding)",IF(S26&lt;=AsOf+WarnReviewDays,"Due soon","On schedule")))))</f>
        <v/>
      </c>
      <c r="U26" s="52" t="str">
        <f aca="false">IF(A26="","",IF(COUNTIF(INV_ID,A26)&gt;1,"CHECK: duplicate Supplier ID","OK"))</f>
        <v/>
      </c>
      <c r="V26" s="54" t="str">
        <f aca="false">IF(A26="","",IF(W26="","Complete","Incomplete: "&amp;W26))</f>
        <v/>
      </c>
      <c r="W26" s="52" t="str">
        <f aca="false">IF(A26="","",IF(B26="","name; ","")&amp;IF(C26="","service description; ","")&amp;IF(D26="","business owner; ","")&amp;IF(E26="","relationship owner; ","")&amp;IF(OR(AND(H26&lt;&gt;"",NOT(ISNUMBER(H26))),AND(I26&lt;&gt;"",NOT(ISNUMBER(I26))),AND(ISNUMBER(H26),ISNUMBER(I26),I26&lt;H26)),"contract dates invalid; ","")&amp;IF(OR(O26="Not classified",O26="Incomplete"),"classification incomplete; ",""))</f>
        <v/>
      </c>
    </row>
    <row r="27" customFormat="false" ht="15" hidden="false" customHeight="false" outlineLevel="0" collapsed="false">
      <c r="A27" s="50"/>
      <c r="B27" s="34"/>
      <c r="C27" s="34"/>
      <c r="D27" s="34"/>
      <c r="E27" s="34"/>
      <c r="F27" s="34"/>
      <c r="G27" s="50"/>
      <c r="H27" s="51"/>
      <c r="I27" s="51"/>
      <c r="J27" s="34"/>
      <c r="K27" s="34"/>
      <c r="L27" s="50"/>
      <c r="M27" s="34"/>
      <c r="N27" s="34"/>
      <c r="O27" s="52" t="str">
        <f aca="false">IF(A27="","",IFERROR(INDEX(CRT_TIER,MATCH(A27&amp;"|Current",CRT_KEY,0)),"Not classified"))</f>
        <v/>
      </c>
      <c r="P27" s="52" t="str">
        <f aca="false">IF(A27="","",IFERROR(INDEX(CRT_APPRDISP,MATCH(A27&amp;"|Current",CRT_KEY,0)),"Not classified"))</f>
        <v/>
      </c>
      <c r="Q27" s="53" t="str">
        <f aca="false">IF(A27="","",IF(MAX(_xlfn.MAXIFS(CRT_DATE,CRT_SUP,A27),_xlfn.MAXIFS(RSK_ASSDATE,RSK_SUP,A27))=0,"",MAX(_xlfn.MAXIFS(CRT_DATE,CRT_SUP,A27),_xlfn.MAXIFS(RSK_ASSDATE,RSK_SUP,A27))))</f>
        <v/>
      </c>
      <c r="R27" s="54" t="str">
        <f aca="false">IF(A27="","",IFERROR(IF(LEFT(INDEX(DEC_CURR,MATCH(A27&amp;"|Latest",DEC_KEY,0)),10)="Authorised",INDEX(DEC_FINAL,MATCH(A27&amp;"|Latest",DEC_KEY,0)),IF(INDEX(DEC_CURR,MATCH(A27&amp;"|Latest",DEC_KEY,0))="Review due soon",INDEX(DEC_FINAL,MATCH(A27&amp;"|Latest",DEC_KEY,0))&amp;" (review due soon)",INDEX(DEC_CURR,MATCH(A27&amp;"|Latest",DEC_KEY,0)))),IF(COUNTIFS(DEC_SUP,A27,DEC_LEVEL,"Yes")&gt;0,"Pending - no dated decision record","No decision recorded")))</f>
        <v/>
      </c>
      <c r="S27" s="53" t="str">
        <f aca="false">IF(A27="","",IFERROR(INDEX(MON_NEXTREV,MATCH(A27&amp;"|Latest",MON_KEY,0)),IF(Q27="","",IFERROR(EDATE(Q27,INDEX(TierMonths,MATCH(O27,TierNames,0))),""))))</f>
        <v/>
      </c>
      <c r="T27" s="54" t="str">
        <f aca="false">IF(A27="","",IF(G27="Exited","Not applicable (exited)",IF(S27="","Not scheduled",IF(S27&lt;AsOf,"Overdue (late - administrative, not a finding)",IF(S27&lt;=AsOf+WarnReviewDays,"Due soon","On schedule")))))</f>
        <v/>
      </c>
      <c r="U27" s="52" t="str">
        <f aca="false">IF(A27="","",IF(COUNTIF(INV_ID,A27)&gt;1,"CHECK: duplicate Supplier ID","OK"))</f>
        <v/>
      </c>
      <c r="V27" s="54" t="str">
        <f aca="false">IF(A27="","",IF(W27="","Complete","Incomplete: "&amp;W27))</f>
        <v/>
      </c>
      <c r="W27" s="52" t="str">
        <f aca="false">IF(A27="","",IF(B27="","name; ","")&amp;IF(C27="","service description; ","")&amp;IF(D27="","business owner; ","")&amp;IF(E27="","relationship owner; ","")&amp;IF(OR(AND(H27&lt;&gt;"",NOT(ISNUMBER(H27))),AND(I27&lt;&gt;"",NOT(ISNUMBER(I27))),AND(ISNUMBER(H27),ISNUMBER(I27),I27&lt;H27)),"contract dates invalid; ","")&amp;IF(OR(O27="Not classified",O27="Incomplete"),"classification incomplete; ",""))</f>
        <v/>
      </c>
    </row>
    <row r="28" customFormat="false" ht="15" hidden="false" customHeight="false" outlineLevel="0" collapsed="false">
      <c r="A28" s="50"/>
      <c r="B28" s="34"/>
      <c r="C28" s="34"/>
      <c r="D28" s="34"/>
      <c r="E28" s="34"/>
      <c r="F28" s="34"/>
      <c r="G28" s="50"/>
      <c r="H28" s="51"/>
      <c r="I28" s="51"/>
      <c r="J28" s="34"/>
      <c r="K28" s="34"/>
      <c r="L28" s="50"/>
      <c r="M28" s="34"/>
      <c r="N28" s="34"/>
      <c r="O28" s="52" t="str">
        <f aca="false">IF(A28="","",IFERROR(INDEX(CRT_TIER,MATCH(A28&amp;"|Current",CRT_KEY,0)),"Not classified"))</f>
        <v/>
      </c>
      <c r="P28" s="52" t="str">
        <f aca="false">IF(A28="","",IFERROR(INDEX(CRT_APPRDISP,MATCH(A28&amp;"|Current",CRT_KEY,0)),"Not classified"))</f>
        <v/>
      </c>
      <c r="Q28" s="53" t="str">
        <f aca="false">IF(A28="","",IF(MAX(_xlfn.MAXIFS(CRT_DATE,CRT_SUP,A28),_xlfn.MAXIFS(RSK_ASSDATE,RSK_SUP,A28))=0,"",MAX(_xlfn.MAXIFS(CRT_DATE,CRT_SUP,A28),_xlfn.MAXIFS(RSK_ASSDATE,RSK_SUP,A28))))</f>
        <v/>
      </c>
      <c r="R28" s="54" t="str">
        <f aca="false">IF(A28="","",IFERROR(IF(LEFT(INDEX(DEC_CURR,MATCH(A28&amp;"|Latest",DEC_KEY,0)),10)="Authorised",INDEX(DEC_FINAL,MATCH(A28&amp;"|Latest",DEC_KEY,0)),IF(INDEX(DEC_CURR,MATCH(A28&amp;"|Latest",DEC_KEY,0))="Review due soon",INDEX(DEC_FINAL,MATCH(A28&amp;"|Latest",DEC_KEY,0))&amp;" (review due soon)",INDEX(DEC_CURR,MATCH(A28&amp;"|Latest",DEC_KEY,0)))),IF(COUNTIFS(DEC_SUP,A28,DEC_LEVEL,"Yes")&gt;0,"Pending - no dated decision record","No decision recorded")))</f>
        <v/>
      </c>
      <c r="S28" s="53" t="str">
        <f aca="false">IF(A28="","",IFERROR(INDEX(MON_NEXTREV,MATCH(A28&amp;"|Latest",MON_KEY,0)),IF(Q28="","",IFERROR(EDATE(Q28,INDEX(TierMonths,MATCH(O28,TierNames,0))),""))))</f>
        <v/>
      </c>
      <c r="T28" s="54" t="str">
        <f aca="false">IF(A28="","",IF(G28="Exited","Not applicable (exited)",IF(S28="","Not scheduled",IF(S28&lt;AsOf,"Overdue (late - administrative, not a finding)",IF(S28&lt;=AsOf+WarnReviewDays,"Due soon","On schedule")))))</f>
        <v/>
      </c>
      <c r="U28" s="52" t="str">
        <f aca="false">IF(A28="","",IF(COUNTIF(INV_ID,A28)&gt;1,"CHECK: duplicate Supplier ID","OK"))</f>
        <v/>
      </c>
      <c r="V28" s="54" t="str">
        <f aca="false">IF(A28="","",IF(W28="","Complete","Incomplete: "&amp;W28))</f>
        <v/>
      </c>
      <c r="W28" s="52" t="str">
        <f aca="false">IF(A28="","",IF(B28="","name; ","")&amp;IF(C28="","service description; ","")&amp;IF(D28="","business owner; ","")&amp;IF(E28="","relationship owner; ","")&amp;IF(OR(AND(H28&lt;&gt;"",NOT(ISNUMBER(H28))),AND(I28&lt;&gt;"",NOT(ISNUMBER(I28))),AND(ISNUMBER(H28),ISNUMBER(I28),I28&lt;H28)),"contract dates invalid; ","")&amp;IF(OR(O28="Not classified",O28="Incomplete"),"classification incomplete; ",""))</f>
        <v/>
      </c>
    </row>
    <row r="29" customFormat="false" ht="15" hidden="false" customHeight="false" outlineLevel="0" collapsed="false">
      <c r="A29" s="50"/>
      <c r="B29" s="34"/>
      <c r="C29" s="34"/>
      <c r="D29" s="34"/>
      <c r="E29" s="34"/>
      <c r="F29" s="34"/>
      <c r="G29" s="50"/>
      <c r="H29" s="51"/>
      <c r="I29" s="51"/>
      <c r="J29" s="34"/>
      <c r="K29" s="34"/>
      <c r="L29" s="50"/>
      <c r="M29" s="34"/>
      <c r="N29" s="34"/>
      <c r="O29" s="52" t="str">
        <f aca="false">IF(A29="","",IFERROR(INDEX(CRT_TIER,MATCH(A29&amp;"|Current",CRT_KEY,0)),"Not classified"))</f>
        <v/>
      </c>
      <c r="P29" s="52" t="str">
        <f aca="false">IF(A29="","",IFERROR(INDEX(CRT_APPRDISP,MATCH(A29&amp;"|Current",CRT_KEY,0)),"Not classified"))</f>
        <v/>
      </c>
      <c r="Q29" s="53" t="str">
        <f aca="false">IF(A29="","",IF(MAX(_xlfn.MAXIFS(CRT_DATE,CRT_SUP,A29),_xlfn.MAXIFS(RSK_ASSDATE,RSK_SUP,A29))=0,"",MAX(_xlfn.MAXIFS(CRT_DATE,CRT_SUP,A29),_xlfn.MAXIFS(RSK_ASSDATE,RSK_SUP,A29))))</f>
        <v/>
      </c>
      <c r="R29" s="54" t="str">
        <f aca="false">IF(A29="","",IFERROR(IF(LEFT(INDEX(DEC_CURR,MATCH(A29&amp;"|Latest",DEC_KEY,0)),10)="Authorised",INDEX(DEC_FINAL,MATCH(A29&amp;"|Latest",DEC_KEY,0)),IF(INDEX(DEC_CURR,MATCH(A29&amp;"|Latest",DEC_KEY,0))="Review due soon",INDEX(DEC_FINAL,MATCH(A29&amp;"|Latest",DEC_KEY,0))&amp;" (review due soon)",INDEX(DEC_CURR,MATCH(A29&amp;"|Latest",DEC_KEY,0)))),IF(COUNTIFS(DEC_SUP,A29,DEC_LEVEL,"Yes")&gt;0,"Pending - no dated decision record","No decision recorded")))</f>
        <v/>
      </c>
      <c r="S29" s="53" t="str">
        <f aca="false">IF(A29="","",IFERROR(INDEX(MON_NEXTREV,MATCH(A29&amp;"|Latest",MON_KEY,0)),IF(Q29="","",IFERROR(EDATE(Q29,INDEX(TierMonths,MATCH(O29,TierNames,0))),""))))</f>
        <v/>
      </c>
      <c r="T29" s="54" t="str">
        <f aca="false">IF(A29="","",IF(G29="Exited","Not applicable (exited)",IF(S29="","Not scheduled",IF(S29&lt;AsOf,"Overdue (late - administrative, not a finding)",IF(S29&lt;=AsOf+WarnReviewDays,"Due soon","On schedule")))))</f>
        <v/>
      </c>
      <c r="U29" s="52" t="str">
        <f aca="false">IF(A29="","",IF(COUNTIF(INV_ID,A29)&gt;1,"CHECK: duplicate Supplier ID","OK"))</f>
        <v/>
      </c>
      <c r="V29" s="54" t="str">
        <f aca="false">IF(A29="","",IF(W29="","Complete","Incomplete: "&amp;W29))</f>
        <v/>
      </c>
      <c r="W29" s="52" t="str">
        <f aca="false">IF(A29="","",IF(B29="","name; ","")&amp;IF(C29="","service description; ","")&amp;IF(D29="","business owner; ","")&amp;IF(E29="","relationship owner; ","")&amp;IF(OR(AND(H29&lt;&gt;"",NOT(ISNUMBER(H29))),AND(I29&lt;&gt;"",NOT(ISNUMBER(I29))),AND(ISNUMBER(H29),ISNUMBER(I29),I29&lt;H29)),"contract dates invalid; ","")&amp;IF(OR(O29="Not classified",O29="Incomplete"),"classification incomplete; ",""))</f>
        <v/>
      </c>
    </row>
    <row r="30" customFormat="false" ht="15" hidden="false" customHeight="false" outlineLevel="0" collapsed="false">
      <c r="A30" s="50"/>
      <c r="B30" s="34"/>
      <c r="C30" s="34"/>
      <c r="D30" s="34"/>
      <c r="E30" s="34"/>
      <c r="F30" s="34"/>
      <c r="G30" s="50"/>
      <c r="H30" s="51"/>
      <c r="I30" s="51"/>
      <c r="J30" s="34"/>
      <c r="K30" s="34"/>
      <c r="L30" s="50"/>
      <c r="M30" s="34"/>
      <c r="N30" s="34"/>
      <c r="O30" s="52" t="str">
        <f aca="false">IF(A30="","",IFERROR(INDEX(CRT_TIER,MATCH(A30&amp;"|Current",CRT_KEY,0)),"Not classified"))</f>
        <v/>
      </c>
      <c r="P30" s="52" t="str">
        <f aca="false">IF(A30="","",IFERROR(INDEX(CRT_APPRDISP,MATCH(A30&amp;"|Current",CRT_KEY,0)),"Not classified"))</f>
        <v/>
      </c>
      <c r="Q30" s="53" t="str">
        <f aca="false">IF(A30="","",IF(MAX(_xlfn.MAXIFS(CRT_DATE,CRT_SUP,A30),_xlfn.MAXIFS(RSK_ASSDATE,RSK_SUP,A30))=0,"",MAX(_xlfn.MAXIFS(CRT_DATE,CRT_SUP,A30),_xlfn.MAXIFS(RSK_ASSDATE,RSK_SUP,A30))))</f>
        <v/>
      </c>
      <c r="R30" s="54" t="str">
        <f aca="false">IF(A30="","",IFERROR(IF(LEFT(INDEX(DEC_CURR,MATCH(A30&amp;"|Latest",DEC_KEY,0)),10)="Authorised",INDEX(DEC_FINAL,MATCH(A30&amp;"|Latest",DEC_KEY,0)),IF(INDEX(DEC_CURR,MATCH(A30&amp;"|Latest",DEC_KEY,0))="Review due soon",INDEX(DEC_FINAL,MATCH(A30&amp;"|Latest",DEC_KEY,0))&amp;" (review due soon)",INDEX(DEC_CURR,MATCH(A30&amp;"|Latest",DEC_KEY,0)))),IF(COUNTIFS(DEC_SUP,A30,DEC_LEVEL,"Yes")&gt;0,"Pending - no dated decision record","No decision recorded")))</f>
        <v/>
      </c>
      <c r="S30" s="53" t="str">
        <f aca="false">IF(A30="","",IFERROR(INDEX(MON_NEXTREV,MATCH(A30&amp;"|Latest",MON_KEY,0)),IF(Q30="","",IFERROR(EDATE(Q30,INDEX(TierMonths,MATCH(O30,TierNames,0))),""))))</f>
        <v/>
      </c>
      <c r="T30" s="54" t="str">
        <f aca="false">IF(A30="","",IF(G30="Exited","Not applicable (exited)",IF(S30="","Not scheduled",IF(S30&lt;AsOf,"Overdue (late - administrative, not a finding)",IF(S30&lt;=AsOf+WarnReviewDays,"Due soon","On schedule")))))</f>
        <v/>
      </c>
      <c r="U30" s="52" t="str">
        <f aca="false">IF(A30="","",IF(COUNTIF(INV_ID,A30)&gt;1,"CHECK: duplicate Supplier ID","OK"))</f>
        <v/>
      </c>
      <c r="V30" s="54" t="str">
        <f aca="false">IF(A30="","",IF(W30="","Complete","Incomplete: "&amp;W30))</f>
        <v/>
      </c>
      <c r="W30" s="52" t="str">
        <f aca="false">IF(A30="","",IF(B30="","name; ","")&amp;IF(C30="","service description; ","")&amp;IF(D30="","business owner; ","")&amp;IF(E30="","relationship owner; ","")&amp;IF(OR(AND(H30&lt;&gt;"",NOT(ISNUMBER(H30))),AND(I30&lt;&gt;"",NOT(ISNUMBER(I30))),AND(ISNUMBER(H30),ISNUMBER(I30),I30&lt;H30)),"contract dates invalid; ","")&amp;IF(OR(O30="Not classified",O30="Incomplete"),"classification incomplete; ",""))</f>
        <v/>
      </c>
    </row>
    <row r="31" customFormat="false" ht="15" hidden="false" customHeight="false" outlineLevel="0" collapsed="false">
      <c r="A31" s="50"/>
      <c r="B31" s="34"/>
      <c r="C31" s="34"/>
      <c r="D31" s="34"/>
      <c r="E31" s="34"/>
      <c r="F31" s="34"/>
      <c r="G31" s="50"/>
      <c r="H31" s="51"/>
      <c r="I31" s="51"/>
      <c r="J31" s="34"/>
      <c r="K31" s="34"/>
      <c r="L31" s="50"/>
      <c r="M31" s="34"/>
      <c r="N31" s="34"/>
      <c r="O31" s="52" t="str">
        <f aca="false">IF(A31="","",IFERROR(INDEX(CRT_TIER,MATCH(A31&amp;"|Current",CRT_KEY,0)),"Not classified"))</f>
        <v/>
      </c>
      <c r="P31" s="52" t="str">
        <f aca="false">IF(A31="","",IFERROR(INDEX(CRT_APPRDISP,MATCH(A31&amp;"|Current",CRT_KEY,0)),"Not classified"))</f>
        <v/>
      </c>
      <c r="Q31" s="53" t="str">
        <f aca="false">IF(A31="","",IF(MAX(_xlfn.MAXIFS(CRT_DATE,CRT_SUP,A31),_xlfn.MAXIFS(RSK_ASSDATE,RSK_SUP,A31))=0,"",MAX(_xlfn.MAXIFS(CRT_DATE,CRT_SUP,A31),_xlfn.MAXIFS(RSK_ASSDATE,RSK_SUP,A31))))</f>
        <v/>
      </c>
      <c r="R31" s="54" t="str">
        <f aca="false">IF(A31="","",IFERROR(IF(LEFT(INDEX(DEC_CURR,MATCH(A31&amp;"|Latest",DEC_KEY,0)),10)="Authorised",INDEX(DEC_FINAL,MATCH(A31&amp;"|Latest",DEC_KEY,0)),IF(INDEX(DEC_CURR,MATCH(A31&amp;"|Latest",DEC_KEY,0))="Review due soon",INDEX(DEC_FINAL,MATCH(A31&amp;"|Latest",DEC_KEY,0))&amp;" (review due soon)",INDEX(DEC_CURR,MATCH(A31&amp;"|Latest",DEC_KEY,0)))),IF(COUNTIFS(DEC_SUP,A31,DEC_LEVEL,"Yes")&gt;0,"Pending - no dated decision record","No decision recorded")))</f>
        <v/>
      </c>
      <c r="S31" s="53" t="str">
        <f aca="false">IF(A31="","",IFERROR(INDEX(MON_NEXTREV,MATCH(A31&amp;"|Latest",MON_KEY,0)),IF(Q31="","",IFERROR(EDATE(Q31,INDEX(TierMonths,MATCH(O31,TierNames,0))),""))))</f>
        <v/>
      </c>
      <c r="T31" s="54" t="str">
        <f aca="false">IF(A31="","",IF(G31="Exited","Not applicable (exited)",IF(S31="","Not scheduled",IF(S31&lt;AsOf,"Overdue (late - administrative, not a finding)",IF(S31&lt;=AsOf+WarnReviewDays,"Due soon","On schedule")))))</f>
        <v/>
      </c>
      <c r="U31" s="52" t="str">
        <f aca="false">IF(A31="","",IF(COUNTIF(INV_ID,A31)&gt;1,"CHECK: duplicate Supplier ID","OK"))</f>
        <v/>
      </c>
      <c r="V31" s="54" t="str">
        <f aca="false">IF(A31="","",IF(W31="","Complete","Incomplete: "&amp;W31))</f>
        <v/>
      </c>
      <c r="W31" s="52" t="str">
        <f aca="false">IF(A31="","",IF(B31="","name; ","")&amp;IF(C31="","service description; ","")&amp;IF(D31="","business owner; ","")&amp;IF(E31="","relationship owner; ","")&amp;IF(OR(AND(H31&lt;&gt;"",NOT(ISNUMBER(H31))),AND(I31&lt;&gt;"",NOT(ISNUMBER(I31))),AND(ISNUMBER(H31),ISNUMBER(I31),I31&lt;H31)),"contract dates invalid; ","")&amp;IF(OR(O31="Not classified",O31="Incomplete"),"classification incomplete; ",""))</f>
        <v/>
      </c>
    </row>
    <row r="32" customFormat="false" ht="15" hidden="false" customHeight="false" outlineLevel="0" collapsed="false">
      <c r="A32" s="50"/>
      <c r="B32" s="34"/>
      <c r="C32" s="34"/>
      <c r="D32" s="34"/>
      <c r="E32" s="34"/>
      <c r="F32" s="34"/>
      <c r="G32" s="50"/>
      <c r="H32" s="51"/>
      <c r="I32" s="51"/>
      <c r="J32" s="34"/>
      <c r="K32" s="34"/>
      <c r="L32" s="50"/>
      <c r="M32" s="34"/>
      <c r="N32" s="34"/>
      <c r="O32" s="52" t="str">
        <f aca="false">IF(A32="","",IFERROR(INDEX(CRT_TIER,MATCH(A32&amp;"|Current",CRT_KEY,0)),"Not classified"))</f>
        <v/>
      </c>
      <c r="P32" s="52" t="str">
        <f aca="false">IF(A32="","",IFERROR(INDEX(CRT_APPRDISP,MATCH(A32&amp;"|Current",CRT_KEY,0)),"Not classified"))</f>
        <v/>
      </c>
      <c r="Q32" s="53" t="str">
        <f aca="false">IF(A32="","",IF(MAX(_xlfn.MAXIFS(CRT_DATE,CRT_SUP,A32),_xlfn.MAXIFS(RSK_ASSDATE,RSK_SUP,A32))=0,"",MAX(_xlfn.MAXIFS(CRT_DATE,CRT_SUP,A32),_xlfn.MAXIFS(RSK_ASSDATE,RSK_SUP,A32))))</f>
        <v/>
      </c>
      <c r="R32" s="54" t="str">
        <f aca="false">IF(A32="","",IFERROR(IF(LEFT(INDEX(DEC_CURR,MATCH(A32&amp;"|Latest",DEC_KEY,0)),10)="Authorised",INDEX(DEC_FINAL,MATCH(A32&amp;"|Latest",DEC_KEY,0)),IF(INDEX(DEC_CURR,MATCH(A32&amp;"|Latest",DEC_KEY,0))="Review due soon",INDEX(DEC_FINAL,MATCH(A32&amp;"|Latest",DEC_KEY,0))&amp;" (review due soon)",INDEX(DEC_CURR,MATCH(A32&amp;"|Latest",DEC_KEY,0)))),IF(COUNTIFS(DEC_SUP,A32,DEC_LEVEL,"Yes")&gt;0,"Pending - no dated decision record","No decision recorded")))</f>
        <v/>
      </c>
      <c r="S32" s="53" t="str">
        <f aca="false">IF(A32="","",IFERROR(INDEX(MON_NEXTREV,MATCH(A32&amp;"|Latest",MON_KEY,0)),IF(Q32="","",IFERROR(EDATE(Q32,INDEX(TierMonths,MATCH(O32,TierNames,0))),""))))</f>
        <v/>
      </c>
      <c r="T32" s="54" t="str">
        <f aca="false">IF(A32="","",IF(G32="Exited","Not applicable (exited)",IF(S32="","Not scheduled",IF(S32&lt;AsOf,"Overdue (late - administrative, not a finding)",IF(S32&lt;=AsOf+WarnReviewDays,"Due soon","On schedule")))))</f>
        <v/>
      </c>
      <c r="U32" s="52" t="str">
        <f aca="false">IF(A32="","",IF(COUNTIF(INV_ID,A32)&gt;1,"CHECK: duplicate Supplier ID","OK"))</f>
        <v/>
      </c>
      <c r="V32" s="54" t="str">
        <f aca="false">IF(A32="","",IF(W32="","Complete","Incomplete: "&amp;W32))</f>
        <v/>
      </c>
      <c r="W32" s="52" t="str">
        <f aca="false">IF(A32="","",IF(B32="","name; ","")&amp;IF(C32="","service description; ","")&amp;IF(D32="","business owner; ","")&amp;IF(E32="","relationship owner; ","")&amp;IF(OR(AND(H32&lt;&gt;"",NOT(ISNUMBER(H32))),AND(I32&lt;&gt;"",NOT(ISNUMBER(I32))),AND(ISNUMBER(H32),ISNUMBER(I32),I32&lt;H32)),"contract dates invalid; ","")&amp;IF(OR(O32="Not classified",O32="Incomplete"),"classification incomplete; ",""))</f>
        <v/>
      </c>
    </row>
    <row r="33" customFormat="false" ht="15" hidden="false" customHeight="false" outlineLevel="0" collapsed="false">
      <c r="A33" s="50"/>
      <c r="B33" s="34"/>
      <c r="C33" s="34"/>
      <c r="D33" s="34"/>
      <c r="E33" s="34"/>
      <c r="F33" s="34"/>
      <c r="G33" s="50"/>
      <c r="H33" s="51"/>
      <c r="I33" s="51"/>
      <c r="J33" s="34"/>
      <c r="K33" s="34"/>
      <c r="L33" s="50"/>
      <c r="M33" s="34"/>
      <c r="N33" s="34"/>
      <c r="O33" s="52" t="str">
        <f aca="false">IF(A33="","",IFERROR(INDEX(CRT_TIER,MATCH(A33&amp;"|Current",CRT_KEY,0)),"Not classified"))</f>
        <v/>
      </c>
      <c r="P33" s="52" t="str">
        <f aca="false">IF(A33="","",IFERROR(INDEX(CRT_APPRDISP,MATCH(A33&amp;"|Current",CRT_KEY,0)),"Not classified"))</f>
        <v/>
      </c>
      <c r="Q33" s="53" t="str">
        <f aca="false">IF(A33="","",IF(MAX(_xlfn.MAXIFS(CRT_DATE,CRT_SUP,A33),_xlfn.MAXIFS(RSK_ASSDATE,RSK_SUP,A33))=0,"",MAX(_xlfn.MAXIFS(CRT_DATE,CRT_SUP,A33),_xlfn.MAXIFS(RSK_ASSDATE,RSK_SUP,A33))))</f>
        <v/>
      </c>
      <c r="R33" s="54" t="str">
        <f aca="false">IF(A33="","",IFERROR(IF(LEFT(INDEX(DEC_CURR,MATCH(A33&amp;"|Latest",DEC_KEY,0)),10)="Authorised",INDEX(DEC_FINAL,MATCH(A33&amp;"|Latest",DEC_KEY,0)),IF(INDEX(DEC_CURR,MATCH(A33&amp;"|Latest",DEC_KEY,0))="Review due soon",INDEX(DEC_FINAL,MATCH(A33&amp;"|Latest",DEC_KEY,0))&amp;" (review due soon)",INDEX(DEC_CURR,MATCH(A33&amp;"|Latest",DEC_KEY,0)))),IF(COUNTIFS(DEC_SUP,A33,DEC_LEVEL,"Yes")&gt;0,"Pending - no dated decision record","No decision recorded")))</f>
        <v/>
      </c>
      <c r="S33" s="53" t="str">
        <f aca="false">IF(A33="","",IFERROR(INDEX(MON_NEXTREV,MATCH(A33&amp;"|Latest",MON_KEY,0)),IF(Q33="","",IFERROR(EDATE(Q33,INDEX(TierMonths,MATCH(O33,TierNames,0))),""))))</f>
        <v/>
      </c>
      <c r="T33" s="54" t="str">
        <f aca="false">IF(A33="","",IF(G33="Exited","Not applicable (exited)",IF(S33="","Not scheduled",IF(S33&lt;AsOf,"Overdue (late - administrative, not a finding)",IF(S33&lt;=AsOf+WarnReviewDays,"Due soon","On schedule")))))</f>
        <v/>
      </c>
      <c r="U33" s="52" t="str">
        <f aca="false">IF(A33="","",IF(COUNTIF(INV_ID,A33)&gt;1,"CHECK: duplicate Supplier ID","OK"))</f>
        <v/>
      </c>
      <c r="V33" s="54" t="str">
        <f aca="false">IF(A33="","",IF(W33="","Complete","Incomplete: "&amp;W33))</f>
        <v/>
      </c>
      <c r="W33" s="52" t="str">
        <f aca="false">IF(A33="","",IF(B33="","name; ","")&amp;IF(C33="","service description; ","")&amp;IF(D33="","business owner; ","")&amp;IF(E33="","relationship owner; ","")&amp;IF(OR(AND(H33&lt;&gt;"",NOT(ISNUMBER(H33))),AND(I33&lt;&gt;"",NOT(ISNUMBER(I33))),AND(ISNUMBER(H33),ISNUMBER(I33),I33&lt;H33)),"contract dates invalid; ","")&amp;IF(OR(O33="Not classified",O33="Incomplete"),"classification incomplete; ",""))</f>
        <v/>
      </c>
    </row>
    <row r="34" customFormat="false" ht="15" hidden="false" customHeight="false" outlineLevel="0" collapsed="false">
      <c r="A34" s="50"/>
      <c r="B34" s="34"/>
      <c r="C34" s="34"/>
      <c r="D34" s="34"/>
      <c r="E34" s="34"/>
      <c r="F34" s="34"/>
      <c r="G34" s="50"/>
      <c r="H34" s="51"/>
      <c r="I34" s="51"/>
      <c r="J34" s="34"/>
      <c r="K34" s="34"/>
      <c r="L34" s="50"/>
      <c r="M34" s="34"/>
      <c r="N34" s="34"/>
      <c r="O34" s="52" t="str">
        <f aca="false">IF(A34="","",IFERROR(INDEX(CRT_TIER,MATCH(A34&amp;"|Current",CRT_KEY,0)),"Not classified"))</f>
        <v/>
      </c>
      <c r="P34" s="52" t="str">
        <f aca="false">IF(A34="","",IFERROR(INDEX(CRT_APPRDISP,MATCH(A34&amp;"|Current",CRT_KEY,0)),"Not classified"))</f>
        <v/>
      </c>
      <c r="Q34" s="53" t="str">
        <f aca="false">IF(A34="","",IF(MAX(_xlfn.MAXIFS(CRT_DATE,CRT_SUP,A34),_xlfn.MAXIFS(RSK_ASSDATE,RSK_SUP,A34))=0,"",MAX(_xlfn.MAXIFS(CRT_DATE,CRT_SUP,A34),_xlfn.MAXIFS(RSK_ASSDATE,RSK_SUP,A34))))</f>
        <v/>
      </c>
      <c r="R34" s="54" t="str">
        <f aca="false">IF(A34="","",IFERROR(IF(LEFT(INDEX(DEC_CURR,MATCH(A34&amp;"|Latest",DEC_KEY,0)),10)="Authorised",INDEX(DEC_FINAL,MATCH(A34&amp;"|Latest",DEC_KEY,0)),IF(INDEX(DEC_CURR,MATCH(A34&amp;"|Latest",DEC_KEY,0))="Review due soon",INDEX(DEC_FINAL,MATCH(A34&amp;"|Latest",DEC_KEY,0))&amp;" (review due soon)",INDEX(DEC_CURR,MATCH(A34&amp;"|Latest",DEC_KEY,0)))),IF(COUNTIFS(DEC_SUP,A34,DEC_LEVEL,"Yes")&gt;0,"Pending - no dated decision record","No decision recorded")))</f>
        <v/>
      </c>
      <c r="S34" s="53" t="str">
        <f aca="false">IF(A34="","",IFERROR(INDEX(MON_NEXTREV,MATCH(A34&amp;"|Latest",MON_KEY,0)),IF(Q34="","",IFERROR(EDATE(Q34,INDEX(TierMonths,MATCH(O34,TierNames,0))),""))))</f>
        <v/>
      </c>
      <c r="T34" s="54" t="str">
        <f aca="false">IF(A34="","",IF(G34="Exited","Not applicable (exited)",IF(S34="","Not scheduled",IF(S34&lt;AsOf,"Overdue (late - administrative, not a finding)",IF(S34&lt;=AsOf+WarnReviewDays,"Due soon","On schedule")))))</f>
        <v/>
      </c>
      <c r="U34" s="52" t="str">
        <f aca="false">IF(A34="","",IF(COUNTIF(INV_ID,A34)&gt;1,"CHECK: duplicate Supplier ID","OK"))</f>
        <v/>
      </c>
      <c r="V34" s="54" t="str">
        <f aca="false">IF(A34="","",IF(W34="","Complete","Incomplete: "&amp;W34))</f>
        <v/>
      </c>
      <c r="W34" s="52" t="str">
        <f aca="false">IF(A34="","",IF(B34="","name; ","")&amp;IF(C34="","service description; ","")&amp;IF(D34="","business owner; ","")&amp;IF(E34="","relationship owner; ","")&amp;IF(OR(AND(H34&lt;&gt;"",NOT(ISNUMBER(H34))),AND(I34&lt;&gt;"",NOT(ISNUMBER(I34))),AND(ISNUMBER(H34),ISNUMBER(I34),I34&lt;H34)),"contract dates invalid; ","")&amp;IF(OR(O34="Not classified",O34="Incomplete"),"classification incomplete; ",""))</f>
        <v/>
      </c>
    </row>
    <row r="35" customFormat="false" ht="15" hidden="false" customHeight="false" outlineLevel="0" collapsed="false">
      <c r="A35" s="50"/>
      <c r="B35" s="34"/>
      <c r="C35" s="34"/>
      <c r="D35" s="34"/>
      <c r="E35" s="34"/>
      <c r="F35" s="34"/>
      <c r="G35" s="50"/>
      <c r="H35" s="51"/>
      <c r="I35" s="51"/>
      <c r="J35" s="34"/>
      <c r="K35" s="34"/>
      <c r="L35" s="50"/>
      <c r="M35" s="34"/>
      <c r="N35" s="34"/>
      <c r="O35" s="52" t="str">
        <f aca="false">IF(A35="","",IFERROR(INDEX(CRT_TIER,MATCH(A35&amp;"|Current",CRT_KEY,0)),"Not classified"))</f>
        <v/>
      </c>
      <c r="P35" s="52" t="str">
        <f aca="false">IF(A35="","",IFERROR(INDEX(CRT_APPRDISP,MATCH(A35&amp;"|Current",CRT_KEY,0)),"Not classified"))</f>
        <v/>
      </c>
      <c r="Q35" s="53" t="str">
        <f aca="false">IF(A35="","",IF(MAX(_xlfn.MAXIFS(CRT_DATE,CRT_SUP,A35),_xlfn.MAXIFS(RSK_ASSDATE,RSK_SUP,A35))=0,"",MAX(_xlfn.MAXIFS(CRT_DATE,CRT_SUP,A35),_xlfn.MAXIFS(RSK_ASSDATE,RSK_SUP,A35))))</f>
        <v/>
      </c>
      <c r="R35" s="54" t="str">
        <f aca="false">IF(A35="","",IFERROR(IF(LEFT(INDEX(DEC_CURR,MATCH(A35&amp;"|Latest",DEC_KEY,0)),10)="Authorised",INDEX(DEC_FINAL,MATCH(A35&amp;"|Latest",DEC_KEY,0)),IF(INDEX(DEC_CURR,MATCH(A35&amp;"|Latest",DEC_KEY,0))="Review due soon",INDEX(DEC_FINAL,MATCH(A35&amp;"|Latest",DEC_KEY,0))&amp;" (review due soon)",INDEX(DEC_CURR,MATCH(A35&amp;"|Latest",DEC_KEY,0)))),IF(COUNTIFS(DEC_SUP,A35,DEC_LEVEL,"Yes")&gt;0,"Pending - no dated decision record","No decision recorded")))</f>
        <v/>
      </c>
      <c r="S35" s="53" t="str">
        <f aca="false">IF(A35="","",IFERROR(INDEX(MON_NEXTREV,MATCH(A35&amp;"|Latest",MON_KEY,0)),IF(Q35="","",IFERROR(EDATE(Q35,INDEX(TierMonths,MATCH(O35,TierNames,0))),""))))</f>
        <v/>
      </c>
      <c r="T35" s="54" t="str">
        <f aca="false">IF(A35="","",IF(G35="Exited","Not applicable (exited)",IF(S35="","Not scheduled",IF(S35&lt;AsOf,"Overdue (late - administrative, not a finding)",IF(S35&lt;=AsOf+WarnReviewDays,"Due soon","On schedule")))))</f>
        <v/>
      </c>
      <c r="U35" s="52" t="str">
        <f aca="false">IF(A35="","",IF(COUNTIF(INV_ID,A35)&gt;1,"CHECK: duplicate Supplier ID","OK"))</f>
        <v/>
      </c>
      <c r="V35" s="54" t="str">
        <f aca="false">IF(A35="","",IF(W35="","Complete","Incomplete: "&amp;W35))</f>
        <v/>
      </c>
      <c r="W35" s="52" t="str">
        <f aca="false">IF(A35="","",IF(B35="","name; ","")&amp;IF(C35="","service description; ","")&amp;IF(D35="","business owner; ","")&amp;IF(E35="","relationship owner; ","")&amp;IF(OR(AND(H35&lt;&gt;"",NOT(ISNUMBER(H35))),AND(I35&lt;&gt;"",NOT(ISNUMBER(I35))),AND(ISNUMBER(H35),ISNUMBER(I35),I35&lt;H35)),"contract dates invalid; ","")&amp;IF(OR(O35="Not classified",O35="Incomplete"),"classification incomplete; ",""))</f>
        <v/>
      </c>
    </row>
    <row r="36" customFormat="false" ht="15" hidden="false" customHeight="false" outlineLevel="0" collapsed="false">
      <c r="A36" s="50"/>
      <c r="B36" s="34"/>
      <c r="C36" s="34"/>
      <c r="D36" s="34"/>
      <c r="E36" s="34"/>
      <c r="F36" s="34"/>
      <c r="G36" s="50"/>
      <c r="H36" s="51"/>
      <c r="I36" s="51"/>
      <c r="J36" s="34"/>
      <c r="K36" s="34"/>
      <c r="L36" s="50"/>
      <c r="M36" s="34"/>
      <c r="N36" s="34"/>
      <c r="O36" s="52" t="str">
        <f aca="false">IF(A36="","",IFERROR(INDEX(CRT_TIER,MATCH(A36&amp;"|Current",CRT_KEY,0)),"Not classified"))</f>
        <v/>
      </c>
      <c r="P36" s="52" t="str">
        <f aca="false">IF(A36="","",IFERROR(INDEX(CRT_APPRDISP,MATCH(A36&amp;"|Current",CRT_KEY,0)),"Not classified"))</f>
        <v/>
      </c>
      <c r="Q36" s="53" t="str">
        <f aca="false">IF(A36="","",IF(MAX(_xlfn.MAXIFS(CRT_DATE,CRT_SUP,A36),_xlfn.MAXIFS(RSK_ASSDATE,RSK_SUP,A36))=0,"",MAX(_xlfn.MAXIFS(CRT_DATE,CRT_SUP,A36),_xlfn.MAXIFS(RSK_ASSDATE,RSK_SUP,A36))))</f>
        <v/>
      </c>
      <c r="R36" s="54" t="str">
        <f aca="false">IF(A36="","",IFERROR(IF(LEFT(INDEX(DEC_CURR,MATCH(A36&amp;"|Latest",DEC_KEY,0)),10)="Authorised",INDEX(DEC_FINAL,MATCH(A36&amp;"|Latest",DEC_KEY,0)),IF(INDEX(DEC_CURR,MATCH(A36&amp;"|Latest",DEC_KEY,0))="Review due soon",INDEX(DEC_FINAL,MATCH(A36&amp;"|Latest",DEC_KEY,0))&amp;" (review due soon)",INDEX(DEC_CURR,MATCH(A36&amp;"|Latest",DEC_KEY,0)))),IF(COUNTIFS(DEC_SUP,A36,DEC_LEVEL,"Yes")&gt;0,"Pending - no dated decision record","No decision recorded")))</f>
        <v/>
      </c>
      <c r="S36" s="53" t="str">
        <f aca="false">IF(A36="","",IFERROR(INDEX(MON_NEXTREV,MATCH(A36&amp;"|Latest",MON_KEY,0)),IF(Q36="","",IFERROR(EDATE(Q36,INDEX(TierMonths,MATCH(O36,TierNames,0))),""))))</f>
        <v/>
      </c>
      <c r="T36" s="54" t="str">
        <f aca="false">IF(A36="","",IF(G36="Exited","Not applicable (exited)",IF(S36="","Not scheduled",IF(S36&lt;AsOf,"Overdue (late - administrative, not a finding)",IF(S36&lt;=AsOf+WarnReviewDays,"Due soon","On schedule")))))</f>
        <v/>
      </c>
      <c r="U36" s="52" t="str">
        <f aca="false">IF(A36="","",IF(COUNTIF(INV_ID,A36)&gt;1,"CHECK: duplicate Supplier ID","OK"))</f>
        <v/>
      </c>
      <c r="V36" s="54" t="str">
        <f aca="false">IF(A36="","",IF(W36="","Complete","Incomplete: "&amp;W36))</f>
        <v/>
      </c>
      <c r="W36" s="52" t="str">
        <f aca="false">IF(A36="","",IF(B36="","name; ","")&amp;IF(C36="","service description; ","")&amp;IF(D36="","business owner; ","")&amp;IF(E36="","relationship owner; ","")&amp;IF(OR(AND(H36&lt;&gt;"",NOT(ISNUMBER(H36))),AND(I36&lt;&gt;"",NOT(ISNUMBER(I36))),AND(ISNUMBER(H36),ISNUMBER(I36),I36&lt;H36)),"contract dates invalid; ","")&amp;IF(OR(O36="Not classified",O36="Incomplete"),"classification incomplete; ",""))</f>
        <v/>
      </c>
    </row>
    <row r="37" customFormat="false" ht="15" hidden="false" customHeight="false" outlineLevel="0" collapsed="false">
      <c r="A37" s="50"/>
      <c r="B37" s="34"/>
      <c r="C37" s="34"/>
      <c r="D37" s="34"/>
      <c r="E37" s="34"/>
      <c r="F37" s="34"/>
      <c r="G37" s="50"/>
      <c r="H37" s="51"/>
      <c r="I37" s="51"/>
      <c r="J37" s="34"/>
      <c r="K37" s="34"/>
      <c r="L37" s="50"/>
      <c r="M37" s="34"/>
      <c r="N37" s="34"/>
      <c r="O37" s="52" t="str">
        <f aca="false">IF(A37="","",IFERROR(INDEX(CRT_TIER,MATCH(A37&amp;"|Current",CRT_KEY,0)),"Not classified"))</f>
        <v/>
      </c>
      <c r="P37" s="52" t="str">
        <f aca="false">IF(A37="","",IFERROR(INDEX(CRT_APPRDISP,MATCH(A37&amp;"|Current",CRT_KEY,0)),"Not classified"))</f>
        <v/>
      </c>
      <c r="Q37" s="53" t="str">
        <f aca="false">IF(A37="","",IF(MAX(_xlfn.MAXIFS(CRT_DATE,CRT_SUP,A37),_xlfn.MAXIFS(RSK_ASSDATE,RSK_SUP,A37))=0,"",MAX(_xlfn.MAXIFS(CRT_DATE,CRT_SUP,A37),_xlfn.MAXIFS(RSK_ASSDATE,RSK_SUP,A37))))</f>
        <v/>
      </c>
      <c r="R37" s="54" t="str">
        <f aca="false">IF(A37="","",IFERROR(IF(LEFT(INDEX(DEC_CURR,MATCH(A37&amp;"|Latest",DEC_KEY,0)),10)="Authorised",INDEX(DEC_FINAL,MATCH(A37&amp;"|Latest",DEC_KEY,0)),IF(INDEX(DEC_CURR,MATCH(A37&amp;"|Latest",DEC_KEY,0))="Review due soon",INDEX(DEC_FINAL,MATCH(A37&amp;"|Latest",DEC_KEY,0))&amp;" (review due soon)",INDEX(DEC_CURR,MATCH(A37&amp;"|Latest",DEC_KEY,0)))),IF(COUNTIFS(DEC_SUP,A37,DEC_LEVEL,"Yes")&gt;0,"Pending - no dated decision record","No decision recorded")))</f>
        <v/>
      </c>
      <c r="S37" s="53" t="str">
        <f aca="false">IF(A37="","",IFERROR(INDEX(MON_NEXTREV,MATCH(A37&amp;"|Latest",MON_KEY,0)),IF(Q37="","",IFERROR(EDATE(Q37,INDEX(TierMonths,MATCH(O37,TierNames,0))),""))))</f>
        <v/>
      </c>
      <c r="T37" s="54" t="str">
        <f aca="false">IF(A37="","",IF(G37="Exited","Not applicable (exited)",IF(S37="","Not scheduled",IF(S37&lt;AsOf,"Overdue (late - administrative, not a finding)",IF(S37&lt;=AsOf+WarnReviewDays,"Due soon","On schedule")))))</f>
        <v/>
      </c>
      <c r="U37" s="52" t="str">
        <f aca="false">IF(A37="","",IF(COUNTIF(INV_ID,A37)&gt;1,"CHECK: duplicate Supplier ID","OK"))</f>
        <v/>
      </c>
      <c r="V37" s="54" t="str">
        <f aca="false">IF(A37="","",IF(W37="","Complete","Incomplete: "&amp;W37))</f>
        <v/>
      </c>
      <c r="W37" s="52" t="str">
        <f aca="false">IF(A37="","",IF(B37="","name; ","")&amp;IF(C37="","service description; ","")&amp;IF(D37="","business owner; ","")&amp;IF(E37="","relationship owner; ","")&amp;IF(OR(AND(H37&lt;&gt;"",NOT(ISNUMBER(H37))),AND(I37&lt;&gt;"",NOT(ISNUMBER(I37))),AND(ISNUMBER(H37),ISNUMBER(I37),I37&lt;H37)),"contract dates invalid; ","")&amp;IF(OR(O37="Not classified",O37="Incomplete"),"classification incomplete; ",""))</f>
        <v/>
      </c>
    </row>
    <row r="38" customFormat="false" ht="15" hidden="false" customHeight="false" outlineLevel="0" collapsed="false">
      <c r="A38" s="50"/>
      <c r="B38" s="34"/>
      <c r="C38" s="34"/>
      <c r="D38" s="34"/>
      <c r="E38" s="34"/>
      <c r="F38" s="34"/>
      <c r="G38" s="50"/>
      <c r="H38" s="51"/>
      <c r="I38" s="51"/>
      <c r="J38" s="34"/>
      <c r="K38" s="34"/>
      <c r="L38" s="50"/>
      <c r="M38" s="34"/>
      <c r="N38" s="34"/>
      <c r="O38" s="52" t="str">
        <f aca="false">IF(A38="","",IFERROR(INDEX(CRT_TIER,MATCH(A38&amp;"|Current",CRT_KEY,0)),"Not classified"))</f>
        <v/>
      </c>
      <c r="P38" s="52" t="str">
        <f aca="false">IF(A38="","",IFERROR(INDEX(CRT_APPRDISP,MATCH(A38&amp;"|Current",CRT_KEY,0)),"Not classified"))</f>
        <v/>
      </c>
      <c r="Q38" s="53" t="str">
        <f aca="false">IF(A38="","",IF(MAX(_xlfn.MAXIFS(CRT_DATE,CRT_SUP,A38),_xlfn.MAXIFS(RSK_ASSDATE,RSK_SUP,A38))=0,"",MAX(_xlfn.MAXIFS(CRT_DATE,CRT_SUP,A38),_xlfn.MAXIFS(RSK_ASSDATE,RSK_SUP,A38))))</f>
        <v/>
      </c>
      <c r="R38" s="54" t="str">
        <f aca="false">IF(A38="","",IFERROR(IF(LEFT(INDEX(DEC_CURR,MATCH(A38&amp;"|Latest",DEC_KEY,0)),10)="Authorised",INDEX(DEC_FINAL,MATCH(A38&amp;"|Latest",DEC_KEY,0)),IF(INDEX(DEC_CURR,MATCH(A38&amp;"|Latest",DEC_KEY,0))="Review due soon",INDEX(DEC_FINAL,MATCH(A38&amp;"|Latest",DEC_KEY,0))&amp;" (review due soon)",INDEX(DEC_CURR,MATCH(A38&amp;"|Latest",DEC_KEY,0)))),IF(COUNTIFS(DEC_SUP,A38,DEC_LEVEL,"Yes")&gt;0,"Pending - no dated decision record","No decision recorded")))</f>
        <v/>
      </c>
      <c r="S38" s="53" t="str">
        <f aca="false">IF(A38="","",IFERROR(INDEX(MON_NEXTREV,MATCH(A38&amp;"|Latest",MON_KEY,0)),IF(Q38="","",IFERROR(EDATE(Q38,INDEX(TierMonths,MATCH(O38,TierNames,0))),""))))</f>
        <v/>
      </c>
      <c r="T38" s="54" t="str">
        <f aca="false">IF(A38="","",IF(G38="Exited","Not applicable (exited)",IF(S38="","Not scheduled",IF(S38&lt;AsOf,"Overdue (late - administrative, not a finding)",IF(S38&lt;=AsOf+WarnReviewDays,"Due soon","On schedule")))))</f>
        <v/>
      </c>
      <c r="U38" s="52" t="str">
        <f aca="false">IF(A38="","",IF(COUNTIF(INV_ID,A38)&gt;1,"CHECK: duplicate Supplier ID","OK"))</f>
        <v/>
      </c>
      <c r="V38" s="54" t="str">
        <f aca="false">IF(A38="","",IF(W38="","Complete","Incomplete: "&amp;W38))</f>
        <v/>
      </c>
      <c r="W38" s="52" t="str">
        <f aca="false">IF(A38="","",IF(B38="","name; ","")&amp;IF(C38="","service description; ","")&amp;IF(D38="","business owner; ","")&amp;IF(E38="","relationship owner; ","")&amp;IF(OR(AND(H38&lt;&gt;"",NOT(ISNUMBER(H38))),AND(I38&lt;&gt;"",NOT(ISNUMBER(I38))),AND(ISNUMBER(H38),ISNUMBER(I38),I38&lt;H38)),"contract dates invalid; ","")&amp;IF(OR(O38="Not classified",O38="Incomplete"),"classification incomplete; ",""))</f>
        <v/>
      </c>
    </row>
    <row r="39" customFormat="false" ht="15" hidden="false" customHeight="false" outlineLevel="0" collapsed="false">
      <c r="A39" s="50"/>
      <c r="B39" s="34"/>
      <c r="C39" s="34"/>
      <c r="D39" s="34"/>
      <c r="E39" s="34"/>
      <c r="F39" s="34"/>
      <c r="G39" s="50"/>
      <c r="H39" s="51"/>
      <c r="I39" s="51"/>
      <c r="J39" s="34"/>
      <c r="K39" s="34"/>
      <c r="L39" s="50"/>
      <c r="M39" s="34"/>
      <c r="N39" s="34"/>
      <c r="O39" s="52" t="str">
        <f aca="false">IF(A39="","",IFERROR(INDEX(CRT_TIER,MATCH(A39&amp;"|Current",CRT_KEY,0)),"Not classified"))</f>
        <v/>
      </c>
      <c r="P39" s="52" t="str">
        <f aca="false">IF(A39="","",IFERROR(INDEX(CRT_APPRDISP,MATCH(A39&amp;"|Current",CRT_KEY,0)),"Not classified"))</f>
        <v/>
      </c>
      <c r="Q39" s="53" t="str">
        <f aca="false">IF(A39="","",IF(MAX(_xlfn.MAXIFS(CRT_DATE,CRT_SUP,A39),_xlfn.MAXIFS(RSK_ASSDATE,RSK_SUP,A39))=0,"",MAX(_xlfn.MAXIFS(CRT_DATE,CRT_SUP,A39),_xlfn.MAXIFS(RSK_ASSDATE,RSK_SUP,A39))))</f>
        <v/>
      </c>
      <c r="R39" s="54" t="str">
        <f aca="false">IF(A39="","",IFERROR(IF(LEFT(INDEX(DEC_CURR,MATCH(A39&amp;"|Latest",DEC_KEY,0)),10)="Authorised",INDEX(DEC_FINAL,MATCH(A39&amp;"|Latest",DEC_KEY,0)),IF(INDEX(DEC_CURR,MATCH(A39&amp;"|Latest",DEC_KEY,0))="Review due soon",INDEX(DEC_FINAL,MATCH(A39&amp;"|Latest",DEC_KEY,0))&amp;" (review due soon)",INDEX(DEC_CURR,MATCH(A39&amp;"|Latest",DEC_KEY,0)))),IF(COUNTIFS(DEC_SUP,A39,DEC_LEVEL,"Yes")&gt;0,"Pending - no dated decision record","No decision recorded")))</f>
        <v/>
      </c>
      <c r="S39" s="53" t="str">
        <f aca="false">IF(A39="","",IFERROR(INDEX(MON_NEXTREV,MATCH(A39&amp;"|Latest",MON_KEY,0)),IF(Q39="","",IFERROR(EDATE(Q39,INDEX(TierMonths,MATCH(O39,TierNames,0))),""))))</f>
        <v/>
      </c>
      <c r="T39" s="54" t="str">
        <f aca="false">IF(A39="","",IF(G39="Exited","Not applicable (exited)",IF(S39="","Not scheduled",IF(S39&lt;AsOf,"Overdue (late - administrative, not a finding)",IF(S39&lt;=AsOf+WarnReviewDays,"Due soon","On schedule")))))</f>
        <v/>
      </c>
      <c r="U39" s="52" t="str">
        <f aca="false">IF(A39="","",IF(COUNTIF(INV_ID,A39)&gt;1,"CHECK: duplicate Supplier ID","OK"))</f>
        <v/>
      </c>
      <c r="V39" s="54" t="str">
        <f aca="false">IF(A39="","",IF(W39="","Complete","Incomplete: "&amp;W39))</f>
        <v/>
      </c>
      <c r="W39" s="52" t="str">
        <f aca="false">IF(A39="","",IF(B39="","name; ","")&amp;IF(C39="","service description; ","")&amp;IF(D39="","business owner; ","")&amp;IF(E39="","relationship owner; ","")&amp;IF(OR(AND(H39&lt;&gt;"",NOT(ISNUMBER(H39))),AND(I39&lt;&gt;"",NOT(ISNUMBER(I39))),AND(ISNUMBER(H39),ISNUMBER(I39),I39&lt;H39)),"contract dates invalid; ","")&amp;IF(OR(O39="Not classified",O39="Incomplete"),"classification incomplete; ",""))</f>
        <v/>
      </c>
    </row>
    <row r="40" customFormat="false" ht="15" hidden="false" customHeight="false" outlineLevel="0" collapsed="false">
      <c r="A40" s="50"/>
      <c r="B40" s="34"/>
      <c r="C40" s="34"/>
      <c r="D40" s="34"/>
      <c r="E40" s="34"/>
      <c r="F40" s="34"/>
      <c r="G40" s="50"/>
      <c r="H40" s="51"/>
      <c r="I40" s="51"/>
      <c r="J40" s="34"/>
      <c r="K40" s="34"/>
      <c r="L40" s="50"/>
      <c r="M40" s="34"/>
      <c r="N40" s="34"/>
      <c r="O40" s="52" t="str">
        <f aca="false">IF(A40="","",IFERROR(INDEX(CRT_TIER,MATCH(A40&amp;"|Current",CRT_KEY,0)),"Not classified"))</f>
        <v/>
      </c>
      <c r="P40" s="52" t="str">
        <f aca="false">IF(A40="","",IFERROR(INDEX(CRT_APPRDISP,MATCH(A40&amp;"|Current",CRT_KEY,0)),"Not classified"))</f>
        <v/>
      </c>
      <c r="Q40" s="53" t="str">
        <f aca="false">IF(A40="","",IF(MAX(_xlfn.MAXIFS(CRT_DATE,CRT_SUP,A40),_xlfn.MAXIFS(RSK_ASSDATE,RSK_SUP,A40))=0,"",MAX(_xlfn.MAXIFS(CRT_DATE,CRT_SUP,A40),_xlfn.MAXIFS(RSK_ASSDATE,RSK_SUP,A40))))</f>
        <v/>
      </c>
      <c r="R40" s="54" t="str">
        <f aca="false">IF(A40="","",IFERROR(IF(LEFT(INDEX(DEC_CURR,MATCH(A40&amp;"|Latest",DEC_KEY,0)),10)="Authorised",INDEX(DEC_FINAL,MATCH(A40&amp;"|Latest",DEC_KEY,0)),IF(INDEX(DEC_CURR,MATCH(A40&amp;"|Latest",DEC_KEY,0))="Review due soon",INDEX(DEC_FINAL,MATCH(A40&amp;"|Latest",DEC_KEY,0))&amp;" (review due soon)",INDEX(DEC_CURR,MATCH(A40&amp;"|Latest",DEC_KEY,0)))),IF(COUNTIFS(DEC_SUP,A40,DEC_LEVEL,"Yes")&gt;0,"Pending - no dated decision record","No decision recorded")))</f>
        <v/>
      </c>
      <c r="S40" s="53" t="str">
        <f aca="false">IF(A40="","",IFERROR(INDEX(MON_NEXTREV,MATCH(A40&amp;"|Latest",MON_KEY,0)),IF(Q40="","",IFERROR(EDATE(Q40,INDEX(TierMonths,MATCH(O40,TierNames,0))),""))))</f>
        <v/>
      </c>
      <c r="T40" s="54" t="str">
        <f aca="false">IF(A40="","",IF(G40="Exited","Not applicable (exited)",IF(S40="","Not scheduled",IF(S40&lt;AsOf,"Overdue (late - administrative, not a finding)",IF(S40&lt;=AsOf+WarnReviewDays,"Due soon","On schedule")))))</f>
        <v/>
      </c>
      <c r="U40" s="52" t="str">
        <f aca="false">IF(A40="","",IF(COUNTIF(INV_ID,A40)&gt;1,"CHECK: duplicate Supplier ID","OK"))</f>
        <v/>
      </c>
      <c r="V40" s="54" t="str">
        <f aca="false">IF(A40="","",IF(W40="","Complete","Incomplete: "&amp;W40))</f>
        <v/>
      </c>
      <c r="W40" s="52" t="str">
        <f aca="false">IF(A40="","",IF(B40="","name; ","")&amp;IF(C40="","service description; ","")&amp;IF(D40="","business owner; ","")&amp;IF(E40="","relationship owner; ","")&amp;IF(OR(AND(H40&lt;&gt;"",NOT(ISNUMBER(H40))),AND(I40&lt;&gt;"",NOT(ISNUMBER(I40))),AND(ISNUMBER(H40),ISNUMBER(I40),I40&lt;H40)),"contract dates invalid; ","")&amp;IF(OR(O40="Not classified",O40="Incomplete"),"classification incomplete; ",""))</f>
        <v/>
      </c>
    </row>
    <row r="41" customFormat="false" ht="15" hidden="false" customHeight="false" outlineLevel="0" collapsed="false">
      <c r="A41" s="50"/>
      <c r="B41" s="34"/>
      <c r="C41" s="34"/>
      <c r="D41" s="34"/>
      <c r="E41" s="34"/>
      <c r="F41" s="34"/>
      <c r="G41" s="50"/>
      <c r="H41" s="51"/>
      <c r="I41" s="51"/>
      <c r="J41" s="34"/>
      <c r="K41" s="34"/>
      <c r="L41" s="50"/>
      <c r="M41" s="34"/>
      <c r="N41" s="34"/>
      <c r="O41" s="52" t="str">
        <f aca="false">IF(A41="","",IFERROR(INDEX(CRT_TIER,MATCH(A41&amp;"|Current",CRT_KEY,0)),"Not classified"))</f>
        <v/>
      </c>
      <c r="P41" s="52" t="str">
        <f aca="false">IF(A41="","",IFERROR(INDEX(CRT_APPRDISP,MATCH(A41&amp;"|Current",CRT_KEY,0)),"Not classified"))</f>
        <v/>
      </c>
      <c r="Q41" s="53" t="str">
        <f aca="false">IF(A41="","",IF(MAX(_xlfn.MAXIFS(CRT_DATE,CRT_SUP,A41),_xlfn.MAXIFS(RSK_ASSDATE,RSK_SUP,A41))=0,"",MAX(_xlfn.MAXIFS(CRT_DATE,CRT_SUP,A41),_xlfn.MAXIFS(RSK_ASSDATE,RSK_SUP,A41))))</f>
        <v/>
      </c>
      <c r="R41" s="54" t="str">
        <f aca="false">IF(A41="","",IFERROR(IF(LEFT(INDEX(DEC_CURR,MATCH(A41&amp;"|Latest",DEC_KEY,0)),10)="Authorised",INDEX(DEC_FINAL,MATCH(A41&amp;"|Latest",DEC_KEY,0)),IF(INDEX(DEC_CURR,MATCH(A41&amp;"|Latest",DEC_KEY,0))="Review due soon",INDEX(DEC_FINAL,MATCH(A41&amp;"|Latest",DEC_KEY,0))&amp;" (review due soon)",INDEX(DEC_CURR,MATCH(A41&amp;"|Latest",DEC_KEY,0)))),IF(COUNTIFS(DEC_SUP,A41,DEC_LEVEL,"Yes")&gt;0,"Pending - no dated decision record","No decision recorded")))</f>
        <v/>
      </c>
      <c r="S41" s="53" t="str">
        <f aca="false">IF(A41="","",IFERROR(INDEX(MON_NEXTREV,MATCH(A41&amp;"|Latest",MON_KEY,0)),IF(Q41="","",IFERROR(EDATE(Q41,INDEX(TierMonths,MATCH(O41,TierNames,0))),""))))</f>
        <v/>
      </c>
      <c r="T41" s="54" t="str">
        <f aca="false">IF(A41="","",IF(G41="Exited","Not applicable (exited)",IF(S41="","Not scheduled",IF(S41&lt;AsOf,"Overdue (late - administrative, not a finding)",IF(S41&lt;=AsOf+WarnReviewDays,"Due soon","On schedule")))))</f>
        <v/>
      </c>
      <c r="U41" s="52" t="str">
        <f aca="false">IF(A41="","",IF(COUNTIF(INV_ID,A41)&gt;1,"CHECK: duplicate Supplier ID","OK"))</f>
        <v/>
      </c>
      <c r="V41" s="54" t="str">
        <f aca="false">IF(A41="","",IF(W41="","Complete","Incomplete: "&amp;W41))</f>
        <v/>
      </c>
      <c r="W41" s="52" t="str">
        <f aca="false">IF(A41="","",IF(B41="","name; ","")&amp;IF(C41="","service description; ","")&amp;IF(D41="","business owner; ","")&amp;IF(E41="","relationship owner; ","")&amp;IF(OR(AND(H41&lt;&gt;"",NOT(ISNUMBER(H41))),AND(I41&lt;&gt;"",NOT(ISNUMBER(I41))),AND(ISNUMBER(H41),ISNUMBER(I41),I41&lt;H41)),"contract dates invalid; ","")&amp;IF(OR(O41="Not classified",O41="Incomplete"),"classification incomplete; ",""))</f>
        <v/>
      </c>
    </row>
    <row r="42" customFormat="false" ht="15" hidden="false" customHeight="false" outlineLevel="0" collapsed="false">
      <c r="A42" s="50"/>
      <c r="B42" s="34"/>
      <c r="C42" s="34"/>
      <c r="D42" s="34"/>
      <c r="E42" s="34"/>
      <c r="F42" s="34"/>
      <c r="G42" s="50"/>
      <c r="H42" s="51"/>
      <c r="I42" s="51"/>
      <c r="J42" s="34"/>
      <c r="K42" s="34"/>
      <c r="L42" s="50"/>
      <c r="M42" s="34"/>
      <c r="N42" s="34"/>
      <c r="O42" s="52" t="str">
        <f aca="false">IF(A42="","",IFERROR(INDEX(CRT_TIER,MATCH(A42&amp;"|Current",CRT_KEY,0)),"Not classified"))</f>
        <v/>
      </c>
      <c r="P42" s="52" t="str">
        <f aca="false">IF(A42="","",IFERROR(INDEX(CRT_APPRDISP,MATCH(A42&amp;"|Current",CRT_KEY,0)),"Not classified"))</f>
        <v/>
      </c>
      <c r="Q42" s="53" t="str">
        <f aca="false">IF(A42="","",IF(MAX(_xlfn.MAXIFS(CRT_DATE,CRT_SUP,A42),_xlfn.MAXIFS(RSK_ASSDATE,RSK_SUP,A42))=0,"",MAX(_xlfn.MAXIFS(CRT_DATE,CRT_SUP,A42),_xlfn.MAXIFS(RSK_ASSDATE,RSK_SUP,A42))))</f>
        <v/>
      </c>
      <c r="R42" s="54" t="str">
        <f aca="false">IF(A42="","",IFERROR(IF(LEFT(INDEX(DEC_CURR,MATCH(A42&amp;"|Latest",DEC_KEY,0)),10)="Authorised",INDEX(DEC_FINAL,MATCH(A42&amp;"|Latest",DEC_KEY,0)),IF(INDEX(DEC_CURR,MATCH(A42&amp;"|Latest",DEC_KEY,0))="Review due soon",INDEX(DEC_FINAL,MATCH(A42&amp;"|Latest",DEC_KEY,0))&amp;" (review due soon)",INDEX(DEC_CURR,MATCH(A42&amp;"|Latest",DEC_KEY,0)))),IF(COUNTIFS(DEC_SUP,A42,DEC_LEVEL,"Yes")&gt;0,"Pending - no dated decision record","No decision recorded")))</f>
        <v/>
      </c>
      <c r="S42" s="53" t="str">
        <f aca="false">IF(A42="","",IFERROR(INDEX(MON_NEXTREV,MATCH(A42&amp;"|Latest",MON_KEY,0)),IF(Q42="","",IFERROR(EDATE(Q42,INDEX(TierMonths,MATCH(O42,TierNames,0))),""))))</f>
        <v/>
      </c>
      <c r="T42" s="54" t="str">
        <f aca="false">IF(A42="","",IF(G42="Exited","Not applicable (exited)",IF(S42="","Not scheduled",IF(S42&lt;AsOf,"Overdue (late - administrative, not a finding)",IF(S42&lt;=AsOf+WarnReviewDays,"Due soon","On schedule")))))</f>
        <v/>
      </c>
      <c r="U42" s="52" t="str">
        <f aca="false">IF(A42="","",IF(COUNTIF(INV_ID,A42)&gt;1,"CHECK: duplicate Supplier ID","OK"))</f>
        <v/>
      </c>
      <c r="V42" s="54" t="str">
        <f aca="false">IF(A42="","",IF(W42="","Complete","Incomplete: "&amp;W42))</f>
        <v/>
      </c>
      <c r="W42" s="52" t="str">
        <f aca="false">IF(A42="","",IF(B42="","name; ","")&amp;IF(C42="","service description; ","")&amp;IF(D42="","business owner; ","")&amp;IF(E42="","relationship owner; ","")&amp;IF(OR(AND(H42&lt;&gt;"",NOT(ISNUMBER(H42))),AND(I42&lt;&gt;"",NOT(ISNUMBER(I42))),AND(ISNUMBER(H42),ISNUMBER(I42),I42&lt;H42)),"contract dates invalid; ","")&amp;IF(OR(O42="Not classified",O42="Incomplete"),"classification incomplete; ",""))</f>
        <v/>
      </c>
    </row>
    <row r="43" customFormat="false" ht="15" hidden="false" customHeight="false" outlineLevel="0" collapsed="false">
      <c r="A43" s="50"/>
      <c r="B43" s="34"/>
      <c r="C43" s="34"/>
      <c r="D43" s="34"/>
      <c r="E43" s="34"/>
      <c r="F43" s="34"/>
      <c r="G43" s="50"/>
      <c r="H43" s="51"/>
      <c r="I43" s="51"/>
      <c r="J43" s="34"/>
      <c r="K43" s="34"/>
      <c r="L43" s="50"/>
      <c r="M43" s="34"/>
      <c r="N43" s="34"/>
      <c r="O43" s="52" t="str">
        <f aca="false">IF(A43="","",IFERROR(INDEX(CRT_TIER,MATCH(A43&amp;"|Current",CRT_KEY,0)),"Not classified"))</f>
        <v/>
      </c>
      <c r="P43" s="52" t="str">
        <f aca="false">IF(A43="","",IFERROR(INDEX(CRT_APPRDISP,MATCH(A43&amp;"|Current",CRT_KEY,0)),"Not classified"))</f>
        <v/>
      </c>
      <c r="Q43" s="53" t="str">
        <f aca="false">IF(A43="","",IF(MAX(_xlfn.MAXIFS(CRT_DATE,CRT_SUP,A43),_xlfn.MAXIFS(RSK_ASSDATE,RSK_SUP,A43))=0,"",MAX(_xlfn.MAXIFS(CRT_DATE,CRT_SUP,A43),_xlfn.MAXIFS(RSK_ASSDATE,RSK_SUP,A43))))</f>
        <v/>
      </c>
      <c r="R43" s="54" t="str">
        <f aca="false">IF(A43="","",IFERROR(IF(LEFT(INDEX(DEC_CURR,MATCH(A43&amp;"|Latest",DEC_KEY,0)),10)="Authorised",INDEX(DEC_FINAL,MATCH(A43&amp;"|Latest",DEC_KEY,0)),IF(INDEX(DEC_CURR,MATCH(A43&amp;"|Latest",DEC_KEY,0))="Review due soon",INDEX(DEC_FINAL,MATCH(A43&amp;"|Latest",DEC_KEY,0))&amp;" (review due soon)",INDEX(DEC_CURR,MATCH(A43&amp;"|Latest",DEC_KEY,0)))),IF(COUNTIFS(DEC_SUP,A43,DEC_LEVEL,"Yes")&gt;0,"Pending - no dated decision record","No decision recorded")))</f>
        <v/>
      </c>
      <c r="S43" s="53" t="str">
        <f aca="false">IF(A43="","",IFERROR(INDEX(MON_NEXTREV,MATCH(A43&amp;"|Latest",MON_KEY,0)),IF(Q43="","",IFERROR(EDATE(Q43,INDEX(TierMonths,MATCH(O43,TierNames,0))),""))))</f>
        <v/>
      </c>
      <c r="T43" s="54" t="str">
        <f aca="false">IF(A43="","",IF(G43="Exited","Not applicable (exited)",IF(S43="","Not scheduled",IF(S43&lt;AsOf,"Overdue (late - administrative, not a finding)",IF(S43&lt;=AsOf+WarnReviewDays,"Due soon","On schedule")))))</f>
        <v/>
      </c>
      <c r="U43" s="52" t="str">
        <f aca="false">IF(A43="","",IF(COUNTIF(INV_ID,A43)&gt;1,"CHECK: duplicate Supplier ID","OK"))</f>
        <v/>
      </c>
      <c r="V43" s="54" t="str">
        <f aca="false">IF(A43="","",IF(W43="","Complete","Incomplete: "&amp;W43))</f>
        <v/>
      </c>
      <c r="W43" s="52" t="str">
        <f aca="false">IF(A43="","",IF(B43="","name; ","")&amp;IF(C43="","service description; ","")&amp;IF(D43="","business owner; ","")&amp;IF(E43="","relationship owner; ","")&amp;IF(OR(AND(H43&lt;&gt;"",NOT(ISNUMBER(H43))),AND(I43&lt;&gt;"",NOT(ISNUMBER(I43))),AND(ISNUMBER(H43),ISNUMBER(I43),I43&lt;H43)),"contract dates invalid; ","")&amp;IF(OR(O43="Not classified",O43="Incomplete"),"classification incomplete; ",""))</f>
        <v/>
      </c>
    </row>
    <row r="44" customFormat="false" ht="15" hidden="false" customHeight="false" outlineLevel="0" collapsed="false">
      <c r="A44" s="50"/>
      <c r="B44" s="34"/>
      <c r="C44" s="34"/>
      <c r="D44" s="34"/>
      <c r="E44" s="34"/>
      <c r="F44" s="34"/>
      <c r="G44" s="50"/>
      <c r="H44" s="51"/>
      <c r="I44" s="51"/>
      <c r="J44" s="34"/>
      <c r="K44" s="34"/>
      <c r="L44" s="50"/>
      <c r="M44" s="34"/>
      <c r="N44" s="34"/>
      <c r="O44" s="52" t="str">
        <f aca="false">IF(A44="","",IFERROR(INDEX(CRT_TIER,MATCH(A44&amp;"|Current",CRT_KEY,0)),"Not classified"))</f>
        <v/>
      </c>
      <c r="P44" s="52" t="str">
        <f aca="false">IF(A44="","",IFERROR(INDEX(CRT_APPRDISP,MATCH(A44&amp;"|Current",CRT_KEY,0)),"Not classified"))</f>
        <v/>
      </c>
      <c r="Q44" s="53" t="str">
        <f aca="false">IF(A44="","",IF(MAX(_xlfn.MAXIFS(CRT_DATE,CRT_SUP,A44),_xlfn.MAXIFS(RSK_ASSDATE,RSK_SUP,A44))=0,"",MAX(_xlfn.MAXIFS(CRT_DATE,CRT_SUP,A44),_xlfn.MAXIFS(RSK_ASSDATE,RSK_SUP,A44))))</f>
        <v/>
      </c>
      <c r="R44" s="54" t="str">
        <f aca="false">IF(A44="","",IFERROR(IF(LEFT(INDEX(DEC_CURR,MATCH(A44&amp;"|Latest",DEC_KEY,0)),10)="Authorised",INDEX(DEC_FINAL,MATCH(A44&amp;"|Latest",DEC_KEY,0)),IF(INDEX(DEC_CURR,MATCH(A44&amp;"|Latest",DEC_KEY,0))="Review due soon",INDEX(DEC_FINAL,MATCH(A44&amp;"|Latest",DEC_KEY,0))&amp;" (review due soon)",INDEX(DEC_CURR,MATCH(A44&amp;"|Latest",DEC_KEY,0)))),IF(COUNTIFS(DEC_SUP,A44,DEC_LEVEL,"Yes")&gt;0,"Pending - no dated decision record","No decision recorded")))</f>
        <v/>
      </c>
      <c r="S44" s="53" t="str">
        <f aca="false">IF(A44="","",IFERROR(INDEX(MON_NEXTREV,MATCH(A44&amp;"|Latest",MON_KEY,0)),IF(Q44="","",IFERROR(EDATE(Q44,INDEX(TierMonths,MATCH(O44,TierNames,0))),""))))</f>
        <v/>
      </c>
      <c r="T44" s="54" t="str">
        <f aca="false">IF(A44="","",IF(G44="Exited","Not applicable (exited)",IF(S44="","Not scheduled",IF(S44&lt;AsOf,"Overdue (late - administrative, not a finding)",IF(S44&lt;=AsOf+WarnReviewDays,"Due soon","On schedule")))))</f>
        <v/>
      </c>
      <c r="U44" s="52" t="str">
        <f aca="false">IF(A44="","",IF(COUNTIF(INV_ID,A44)&gt;1,"CHECK: duplicate Supplier ID","OK"))</f>
        <v/>
      </c>
      <c r="V44" s="54" t="str">
        <f aca="false">IF(A44="","",IF(W44="","Complete","Incomplete: "&amp;W44))</f>
        <v/>
      </c>
      <c r="W44" s="52" t="str">
        <f aca="false">IF(A44="","",IF(B44="","name; ","")&amp;IF(C44="","service description; ","")&amp;IF(D44="","business owner; ","")&amp;IF(E44="","relationship owner; ","")&amp;IF(OR(AND(H44&lt;&gt;"",NOT(ISNUMBER(H44))),AND(I44&lt;&gt;"",NOT(ISNUMBER(I44))),AND(ISNUMBER(H44),ISNUMBER(I44),I44&lt;H44)),"contract dates invalid; ","")&amp;IF(OR(O44="Not classified",O44="Incomplete"),"classification incomplete; ",""))</f>
        <v/>
      </c>
    </row>
    <row r="45" customFormat="false" ht="15" hidden="false" customHeight="false" outlineLevel="0" collapsed="false">
      <c r="A45" s="50"/>
      <c r="B45" s="34"/>
      <c r="C45" s="34"/>
      <c r="D45" s="34"/>
      <c r="E45" s="34"/>
      <c r="F45" s="34"/>
      <c r="G45" s="50"/>
      <c r="H45" s="51"/>
      <c r="I45" s="51"/>
      <c r="J45" s="34"/>
      <c r="K45" s="34"/>
      <c r="L45" s="50"/>
      <c r="M45" s="34"/>
      <c r="N45" s="34"/>
      <c r="O45" s="52" t="str">
        <f aca="false">IF(A45="","",IFERROR(INDEX(CRT_TIER,MATCH(A45&amp;"|Current",CRT_KEY,0)),"Not classified"))</f>
        <v/>
      </c>
      <c r="P45" s="52" t="str">
        <f aca="false">IF(A45="","",IFERROR(INDEX(CRT_APPRDISP,MATCH(A45&amp;"|Current",CRT_KEY,0)),"Not classified"))</f>
        <v/>
      </c>
      <c r="Q45" s="53" t="str">
        <f aca="false">IF(A45="","",IF(MAX(_xlfn.MAXIFS(CRT_DATE,CRT_SUP,A45),_xlfn.MAXIFS(RSK_ASSDATE,RSK_SUP,A45))=0,"",MAX(_xlfn.MAXIFS(CRT_DATE,CRT_SUP,A45),_xlfn.MAXIFS(RSK_ASSDATE,RSK_SUP,A45))))</f>
        <v/>
      </c>
      <c r="R45" s="54" t="str">
        <f aca="false">IF(A45="","",IFERROR(IF(LEFT(INDEX(DEC_CURR,MATCH(A45&amp;"|Latest",DEC_KEY,0)),10)="Authorised",INDEX(DEC_FINAL,MATCH(A45&amp;"|Latest",DEC_KEY,0)),IF(INDEX(DEC_CURR,MATCH(A45&amp;"|Latest",DEC_KEY,0))="Review due soon",INDEX(DEC_FINAL,MATCH(A45&amp;"|Latest",DEC_KEY,0))&amp;" (review due soon)",INDEX(DEC_CURR,MATCH(A45&amp;"|Latest",DEC_KEY,0)))),IF(COUNTIFS(DEC_SUP,A45,DEC_LEVEL,"Yes")&gt;0,"Pending - no dated decision record","No decision recorded")))</f>
        <v/>
      </c>
      <c r="S45" s="53" t="str">
        <f aca="false">IF(A45="","",IFERROR(INDEX(MON_NEXTREV,MATCH(A45&amp;"|Latest",MON_KEY,0)),IF(Q45="","",IFERROR(EDATE(Q45,INDEX(TierMonths,MATCH(O45,TierNames,0))),""))))</f>
        <v/>
      </c>
      <c r="T45" s="54" t="str">
        <f aca="false">IF(A45="","",IF(G45="Exited","Not applicable (exited)",IF(S45="","Not scheduled",IF(S45&lt;AsOf,"Overdue (late - administrative, not a finding)",IF(S45&lt;=AsOf+WarnReviewDays,"Due soon","On schedule")))))</f>
        <v/>
      </c>
      <c r="U45" s="52" t="str">
        <f aca="false">IF(A45="","",IF(COUNTIF(INV_ID,A45)&gt;1,"CHECK: duplicate Supplier ID","OK"))</f>
        <v/>
      </c>
      <c r="V45" s="54" t="str">
        <f aca="false">IF(A45="","",IF(W45="","Complete","Incomplete: "&amp;W45))</f>
        <v/>
      </c>
      <c r="W45" s="52" t="str">
        <f aca="false">IF(A45="","",IF(B45="","name; ","")&amp;IF(C45="","service description; ","")&amp;IF(D45="","business owner; ","")&amp;IF(E45="","relationship owner; ","")&amp;IF(OR(AND(H45&lt;&gt;"",NOT(ISNUMBER(H45))),AND(I45&lt;&gt;"",NOT(ISNUMBER(I45))),AND(ISNUMBER(H45),ISNUMBER(I45),I45&lt;H45)),"contract dates invalid; ","")&amp;IF(OR(O45="Not classified",O45="Incomplete"),"classification incomplete; ",""))</f>
        <v/>
      </c>
    </row>
    <row r="46" customFormat="false" ht="15" hidden="false" customHeight="false" outlineLevel="0" collapsed="false">
      <c r="A46" s="50"/>
      <c r="B46" s="34"/>
      <c r="C46" s="34"/>
      <c r="D46" s="34"/>
      <c r="E46" s="34"/>
      <c r="F46" s="34"/>
      <c r="G46" s="50"/>
      <c r="H46" s="51"/>
      <c r="I46" s="51"/>
      <c r="J46" s="34"/>
      <c r="K46" s="34"/>
      <c r="L46" s="50"/>
      <c r="M46" s="34"/>
      <c r="N46" s="34"/>
      <c r="O46" s="52" t="str">
        <f aca="false">IF(A46="","",IFERROR(INDEX(CRT_TIER,MATCH(A46&amp;"|Current",CRT_KEY,0)),"Not classified"))</f>
        <v/>
      </c>
      <c r="P46" s="52" t="str">
        <f aca="false">IF(A46="","",IFERROR(INDEX(CRT_APPRDISP,MATCH(A46&amp;"|Current",CRT_KEY,0)),"Not classified"))</f>
        <v/>
      </c>
      <c r="Q46" s="53" t="str">
        <f aca="false">IF(A46="","",IF(MAX(_xlfn.MAXIFS(CRT_DATE,CRT_SUP,A46),_xlfn.MAXIFS(RSK_ASSDATE,RSK_SUP,A46))=0,"",MAX(_xlfn.MAXIFS(CRT_DATE,CRT_SUP,A46),_xlfn.MAXIFS(RSK_ASSDATE,RSK_SUP,A46))))</f>
        <v/>
      </c>
      <c r="R46" s="54" t="str">
        <f aca="false">IF(A46="","",IFERROR(IF(LEFT(INDEX(DEC_CURR,MATCH(A46&amp;"|Latest",DEC_KEY,0)),10)="Authorised",INDEX(DEC_FINAL,MATCH(A46&amp;"|Latest",DEC_KEY,0)),IF(INDEX(DEC_CURR,MATCH(A46&amp;"|Latest",DEC_KEY,0))="Review due soon",INDEX(DEC_FINAL,MATCH(A46&amp;"|Latest",DEC_KEY,0))&amp;" (review due soon)",INDEX(DEC_CURR,MATCH(A46&amp;"|Latest",DEC_KEY,0)))),IF(COUNTIFS(DEC_SUP,A46,DEC_LEVEL,"Yes")&gt;0,"Pending - no dated decision record","No decision recorded")))</f>
        <v/>
      </c>
      <c r="S46" s="53" t="str">
        <f aca="false">IF(A46="","",IFERROR(INDEX(MON_NEXTREV,MATCH(A46&amp;"|Latest",MON_KEY,0)),IF(Q46="","",IFERROR(EDATE(Q46,INDEX(TierMonths,MATCH(O46,TierNames,0))),""))))</f>
        <v/>
      </c>
      <c r="T46" s="54" t="str">
        <f aca="false">IF(A46="","",IF(G46="Exited","Not applicable (exited)",IF(S46="","Not scheduled",IF(S46&lt;AsOf,"Overdue (late - administrative, not a finding)",IF(S46&lt;=AsOf+WarnReviewDays,"Due soon","On schedule")))))</f>
        <v/>
      </c>
      <c r="U46" s="52" t="str">
        <f aca="false">IF(A46="","",IF(COUNTIF(INV_ID,A46)&gt;1,"CHECK: duplicate Supplier ID","OK"))</f>
        <v/>
      </c>
      <c r="V46" s="54" t="str">
        <f aca="false">IF(A46="","",IF(W46="","Complete","Incomplete: "&amp;W46))</f>
        <v/>
      </c>
      <c r="W46" s="52" t="str">
        <f aca="false">IF(A46="","",IF(B46="","name; ","")&amp;IF(C46="","service description; ","")&amp;IF(D46="","business owner; ","")&amp;IF(E46="","relationship owner; ","")&amp;IF(OR(AND(H46&lt;&gt;"",NOT(ISNUMBER(H46))),AND(I46&lt;&gt;"",NOT(ISNUMBER(I46))),AND(ISNUMBER(H46),ISNUMBER(I46),I46&lt;H46)),"contract dates invalid; ","")&amp;IF(OR(O46="Not classified",O46="Incomplete"),"classification incomplete; ",""))</f>
        <v/>
      </c>
    </row>
    <row r="47" customFormat="false" ht="15" hidden="false" customHeight="false" outlineLevel="0" collapsed="false">
      <c r="A47" s="50"/>
      <c r="B47" s="34"/>
      <c r="C47" s="34"/>
      <c r="D47" s="34"/>
      <c r="E47" s="34"/>
      <c r="F47" s="34"/>
      <c r="G47" s="50"/>
      <c r="H47" s="51"/>
      <c r="I47" s="51"/>
      <c r="J47" s="34"/>
      <c r="K47" s="34"/>
      <c r="L47" s="50"/>
      <c r="M47" s="34"/>
      <c r="N47" s="34"/>
      <c r="O47" s="52" t="str">
        <f aca="false">IF(A47="","",IFERROR(INDEX(CRT_TIER,MATCH(A47&amp;"|Current",CRT_KEY,0)),"Not classified"))</f>
        <v/>
      </c>
      <c r="P47" s="52" t="str">
        <f aca="false">IF(A47="","",IFERROR(INDEX(CRT_APPRDISP,MATCH(A47&amp;"|Current",CRT_KEY,0)),"Not classified"))</f>
        <v/>
      </c>
      <c r="Q47" s="53" t="str">
        <f aca="false">IF(A47="","",IF(MAX(_xlfn.MAXIFS(CRT_DATE,CRT_SUP,A47),_xlfn.MAXIFS(RSK_ASSDATE,RSK_SUP,A47))=0,"",MAX(_xlfn.MAXIFS(CRT_DATE,CRT_SUP,A47),_xlfn.MAXIFS(RSK_ASSDATE,RSK_SUP,A47))))</f>
        <v/>
      </c>
      <c r="R47" s="54" t="str">
        <f aca="false">IF(A47="","",IFERROR(IF(LEFT(INDEX(DEC_CURR,MATCH(A47&amp;"|Latest",DEC_KEY,0)),10)="Authorised",INDEX(DEC_FINAL,MATCH(A47&amp;"|Latest",DEC_KEY,0)),IF(INDEX(DEC_CURR,MATCH(A47&amp;"|Latest",DEC_KEY,0))="Review due soon",INDEX(DEC_FINAL,MATCH(A47&amp;"|Latest",DEC_KEY,0))&amp;" (review due soon)",INDEX(DEC_CURR,MATCH(A47&amp;"|Latest",DEC_KEY,0)))),IF(COUNTIFS(DEC_SUP,A47,DEC_LEVEL,"Yes")&gt;0,"Pending - no dated decision record","No decision recorded")))</f>
        <v/>
      </c>
      <c r="S47" s="53" t="str">
        <f aca="false">IF(A47="","",IFERROR(INDEX(MON_NEXTREV,MATCH(A47&amp;"|Latest",MON_KEY,0)),IF(Q47="","",IFERROR(EDATE(Q47,INDEX(TierMonths,MATCH(O47,TierNames,0))),""))))</f>
        <v/>
      </c>
      <c r="T47" s="54" t="str">
        <f aca="false">IF(A47="","",IF(G47="Exited","Not applicable (exited)",IF(S47="","Not scheduled",IF(S47&lt;AsOf,"Overdue (late - administrative, not a finding)",IF(S47&lt;=AsOf+WarnReviewDays,"Due soon","On schedule")))))</f>
        <v/>
      </c>
      <c r="U47" s="52" t="str">
        <f aca="false">IF(A47="","",IF(COUNTIF(INV_ID,A47)&gt;1,"CHECK: duplicate Supplier ID","OK"))</f>
        <v/>
      </c>
      <c r="V47" s="54" t="str">
        <f aca="false">IF(A47="","",IF(W47="","Complete","Incomplete: "&amp;W47))</f>
        <v/>
      </c>
      <c r="W47" s="52" t="str">
        <f aca="false">IF(A47="","",IF(B47="","name; ","")&amp;IF(C47="","service description; ","")&amp;IF(D47="","business owner; ","")&amp;IF(E47="","relationship owner; ","")&amp;IF(OR(AND(H47&lt;&gt;"",NOT(ISNUMBER(H47))),AND(I47&lt;&gt;"",NOT(ISNUMBER(I47))),AND(ISNUMBER(H47),ISNUMBER(I47),I47&lt;H47)),"contract dates invalid; ","")&amp;IF(OR(O47="Not classified",O47="Incomplete"),"classification incomplete; ",""))</f>
        <v/>
      </c>
    </row>
    <row r="48" customFormat="false" ht="15" hidden="false" customHeight="false" outlineLevel="0" collapsed="false">
      <c r="A48" s="50"/>
      <c r="B48" s="34"/>
      <c r="C48" s="34"/>
      <c r="D48" s="34"/>
      <c r="E48" s="34"/>
      <c r="F48" s="34"/>
      <c r="G48" s="50"/>
      <c r="H48" s="51"/>
      <c r="I48" s="51"/>
      <c r="J48" s="34"/>
      <c r="K48" s="34"/>
      <c r="L48" s="50"/>
      <c r="M48" s="34"/>
      <c r="N48" s="34"/>
      <c r="O48" s="52" t="str">
        <f aca="false">IF(A48="","",IFERROR(INDEX(CRT_TIER,MATCH(A48&amp;"|Current",CRT_KEY,0)),"Not classified"))</f>
        <v/>
      </c>
      <c r="P48" s="52" t="str">
        <f aca="false">IF(A48="","",IFERROR(INDEX(CRT_APPRDISP,MATCH(A48&amp;"|Current",CRT_KEY,0)),"Not classified"))</f>
        <v/>
      </c>
      <c r="Q48" s="53" t="str">
        <f aca="false">IF(A48="","",IF(MAX(_xlfn.MAXIFS(CRT_DATE,CRT_SUP,A48),_xlfn.MAXIFS(RSK_ASSDATE,RSK_SUP,A48))=0,"",MAX(_xlfn.MAXIFS(CRT_DATE,CRT_SUP,A48),_xlfn.MAXIFS(RSK_ASSDATE,RSK_SUP,A48))))</f>
        <v/>
      </c>
      <c r="R48" s="54" t="str">
        <f aca="false">IF(A48="","",IFERROR(IF(LEFT(INDEX(DEC_CURR,MATCH(A48&amp;"|Latest",DEC_KEY,0)),10)="Authorised",INDEX(DEC_FINAL,MATCH(A48&amp;"|Latest",DEC_KEY,0)),IF(INDEX(DEC_CURR,MATCH(A48&amp;"|Latest",DEC_KEY,0))="Review due soon",INDEX(DEC_FINAL,MATCH(A48&amp;"|Latest",DEC_KEY,0))&amp;" (review due soon)",INDEX(DEC_CURR,MATCH(A48&amp;"|Latest",DEC_KEY,0)))),IF(COUNTIFS(DEC_SUP,A48,DEC_LEVEL,"Yes")&gt;0,"Pending - no dated decision record","No decision recorded")))</f>
        <v/>
      </c>
      <c r="S48" s="53" t="str">
        <f aca="false">IF(A48="","",IFERROR(INDEX(MON_NEXTREV,MATCH(A48&amp;"|Latest",MON_KEY,0)),IF(Q48="","",IFERROR(EDATE(Q48,INDEX(TierMonths,MATCH(O48,TierNames,0))),""))))</f>
        <v/>
      </c>
      <c r="T48" s="54" t="str">
        <f aca="false">IF(A48="","",IF(G48="Exited","Not applicable (exited)",IF(S48="","Not scheduled",IF(S48&lt;AsOf,"Overdue (late - administrative, not a finding)",IF(S48&lt;=AsOf+WarnReviewDays,"Due soon","On schedule")))))</f>
        <v/>
      </c>
      <c r="U48" s="52" t="str">
        <f aca="false">IF(A48="","",IF(COUNTIF(INV_ID,A48)&gt;1,"CHECK: duplicate Supplier ID","OK"))</f>
        <v/>
      </c>
      <c r="V48" s="54" t="str">
        <f aca="false">IF(A48="","",IF(W48="","Complete","Incomplete: "&amp;W48))</f>
        <v/>
      </c>
      <c r="W48" s="52" t="str">
        <f aca="false">IF(A48="","",IF(B48="","name; ","")&amp;IF(C48="","service description; ","")&amp;IF(D48="","business owner; ","")&amp;IF(E48="","relationship owner; ","")&amp;IF(OR(AND(H48&lt;&gt;"",NOT(ISNUMBER(H48))),AND(I48&lt;&gt;"",NOT(ISNUMBER(I48))),AND(ISNUMBER(H48),ISNUMBER(I48),I48&lt;H48)),"contract dates invalid; ","")&amp;IF(OR(O48="Not classified",O48="Incomplete"),"classification incomplete; ",""))</f>
        <v/>
      </c>
    </row>
    <row r="49" customFormat="false" ht="15" hidden="false" customHeight="false" outlineLevel="0" collapsed="false">
      <c r="A49" s="50"/>
      <c r="B49" s="34"/>
      <c r="C49" s="34"/>
      <c r="D49" s="34"/>
      <c r="E49" s="34"/>
      <c r="F49" s="34"/>
      <c r="G49" s="50"/>
      <c r="H49" s="51"/>
      <c r="I49" s="51"/>
      <c r="J49" s="34"/>
      <c r="K49" s="34"/>
      <c r="L49" s="50"/>
      <c r="M49" s="34"/>
      <c r="N49" s="34"/>
      <c r="O49" s="52" t="str">
        <f aca="false">IF(A49="","",IFERROR(INDEX(CRT_TIER,MATCH(A49&amp;"|Current",CRT_KEY,0)),"Not classified"))</f>
        <v/>
      </c>
      <c r="P49" s="52" t="str">
        <f aca="false">IF(A49="","",IFERROR(INDEX(CRT_APPRDISP,MATCH(A49&amp;"|Current",CRT_KEY,0)),"Not classified"))</f>
        <v/>
      </c>
      <c r="Q49" s="53" t="str">
        <f aca="false">IF(A49="","",IF(MAX(_xlfn.MAXIFS(CRT_DATE,CRT_SUP,A49),_xlfn.MAXIFS(RSK_ASSDATE,RSK_SUP,A49))=0,"",MAX(_xlfn.MAXIFS(CRT_DATE,CRT_SUP,A49),_xlfn.MAXIFS(RSK_ASSDATE,RSK_SUP,A49))))</f>
        <v/>
      </c>
      <c r="R49" s="54" t="str">
        <f aca="false">IF(A49="","",IFERROR(IF(LEFT(INDEX(DEC_CURR,MATCH(A49&amp;"|Latest",DEC_KEY,0)),10)="Authorised",INDEX(DEC_FINAL,MATCH(A49&amp;"|Latest",DEC_KEY,0)),IF(INDEX(DEC_CURR,MATCH(A49&amp;"|Latest",DEC_KEY,0))="Review due soon",INDEX(DEC_FINAL,MATCH(A49&amp;"|Latest",DEC_KEY,0))&amp;" (review due soon)",INDEX(DEC_CURR,MATCH(A49&amp;"|Latest",DEC_KEY,0)))),IF(COUNTIFS(DEC_SUP,A49,DEC_LEVEL,"Yes")&gt;0,"Pending - no dated decision record","No decision recorded")))</f>
        <v/>
      </c>
      <c r="S49" s="53" t="str">
        <f aca="false">IF(A49="","",IFERROR(INDEX(MON_NEXTREV,MATCH(A49&amp;"|Latest",MON_KEY,0)),IF(Q49="","",IFERROR(EDATE(Q49,INDEX(TierMonths,MATCH(O49,TierNames,0))),""))))</f>
        <v/>
      </c>
      <c r="T49" s="54" t="str">
        <f aca="false">IF(A49="","",IF(G49="Exited","Not applicable (exited)",IF(S49="","Not scheduled",IF(S49&lt;AsOf,"Overdue (late - administrative, not a finding)",IF(S49&lt;=AsOf+WarnReviewDays,"Due soon","On schedule")))))</f>
        <v/>
      </c>
      <c r="U49" s="52" t="str">
        <f aca="false">IF(A49="","",IF(COUNTIF(INV_ID,A49)&gt;1,"CHECK: duplicate Supplier ID","OK"))</f>
        <v/>
      </c>
      <c r="V49" s="54" t="str">
        <f aca="false">IF(A49="","",IF(W49="","Complete","Incomplete: "&amp;W49))</f>
        <v/>
      </c>
      <c r="W49" s="52" t="str">
        <f aca="false">IF(A49="","",IF(B49="","name; ","")&amp;IF(C49="","service description; ","")&amp;IF(D49="","business owner; ","")&amp;IF(E49="","relationship owner; ","")&amp;IF(OR(AND(H49&lt;&gt;"",NOT(ISNUMBER(H49))),AND(I49&lt;&gt;"",NOT(ISNUMBER(I49))),AND(ISNUMBER(H49),ISNUMBER(I49),I49&lt;H49)),"contract dates invalid; ","")&amp;IF(OR(O49="Not classified",O49="Incomplete"),"classification incomplete; ",""))</f>
        <v/>
      </c>
    </row>
    <row r="50" customFormat="false" ht="15" hidden="false" customHeight="false" outlineLevel="0" collapsed="false">
      <c r="A50" s="50"/>
      <c r="B50" s="34"/>
      <c r="C50" s="34"/>
      <c r="D50" s="34"/>
      <c r="E50" s="34"/>
      <c r="F50" s="34"/>
      <c r="G50" s="50"/>
      <c r="H50" s="51"/>
      <c r="I50" s="51"/>
      <c r="J50" s="34"/>
      <c r="K50" s="34"/>
      <c r="L50" s="50"/>
      <c r="M50" s="34"/>
      <c r="N50" s="34"/>
      <c r="O50" s="52" t="str">
        <f aca="false">IF(A50="","",IFERROR(INDEX(CRT_TIER,MATCH(A50&amp;"|Current",CRT_KEY,0)),"Not classified"))</f>
        <v/>
      </c>
      <c r="P50" s="52" t="str">
        <f aca="false">IF(A50="","",IFERROR(INDEX(CRT_APPRDISP,MATCH(A50&amp;"|Current",CRT_KEY,0)),"Not classified"))</f>
        <v/>
      </c>
      <c r="Q50" s="53" t="str">
        <f aca="false">IF(A50="","",IF(MAX(_xlfn.MAXIFS(CRT_DATE,CRT_SUP,A50),_xlfn.MAXIFS(RSK_ASSDATE,RSK_SUP,A50))=0,"",MAX(_xlfn.MAXIFS(CRT_DATE,CRT_SUP,A50),_xlfn.MAXIFS(RSK_ASSDATE,RSK_SUP,A50))))</f>
        <v/>
      </c>
      <c r="R50" s="54" t="str">
        <f aca="false">IF(A50="","",IFERROR(IF(LEFT(INDEX(DEC_CURR,MATCH(A50&amp;"|Latest",DEC_KEY,0)),10)="Authorised",INDEX(DEC_FINAL,MATCH(A50&amp;"|Latest",DEC_KEY,0)),IF(INDEX(DEC_CURR,MATCH(A50&amp;"|Latest",DEC_KEY,0))="Review due soon",INDEX(DEC_FINAL,MATCH(A50&amp;"|Latest",DEC_KEY,0))&amp;" (review due soon)",INDEX(DEC_CURR,MATCH(A50&amp;"|Latest",DEC_KEY,0)))),IF(COUNTIFS(DEC_SUP,A50,DEC_LEVEL,"Yes")&gt;0,"Pending - no dated decision record","No decision recorded")))</f>
        <v/>
      </c>
      <c r="S50" s="53" t="str">
        <f aca="false">IF(A50="","",IFERROR(INDEX(MON_NEXTREV,MATCH(A50&amp;"|Latest",MON_KEY,0)),IF(Q50="","",IFERROR(EDATE(Q50,INDEX(TierMonths,MATCH(O50,TierNames,0))),""))))</f>
        <v/>
      </c>
      <c r="T50" s="54" t="str">
        <f aca="false">IF(A50="","",IF(G50="Exited","Not applicable (exited)",IF(S50="","Not scheduled",IF(S50&lt;AsOf,"Overdue (late - administrative, not a finding)",IF(S50&lt;=AsOf+WarnReviewDays,"Due soon","On schedule")))))</f>
        <v/>
      </c>
      <c r="U50" s="52" t="str">
        <f aca="false">IF(A50="","",IF(COUNTIF(INV_ID,A50)&gt;1,"CHECK: duplicate Supplier ID","OK"))</f>
        <v/>
      </c>
      <c r="V50" s="54" t="str">
        <f aca="false">IF(A50="","",IF(W50="","Complete","Incomplete: "&amp;W50))</f>
        <v/>
      </c>
      <c r="W50" s="52" t="str">
        <f aca="false">IF(A50="","",IF(B50="","name; ","")&amp;IF(C50="","service description; ","")&amp;IF(D50="","business owner; ","")&amp;IF(E50="","relationship owner; ","")&amp;IF(OR(AND(H50&lt;&gt;"",NOT(ISNUMBER(H50))),AND(I50&lt;&gt;"",NOT(ISNUMBER(I50))),AND(ISNUMBER(H50),ISNUMBER(I50),I50&lt;H50)),"contract dates invalid; ","")&amp;IF(OR(O50="Not classified",O50="Incomplete"),"classification incomplete; ",""))</f>
        <v/>
      </c>
    </row>
    <row r="51" customFormat="false" ht="15" hidden="false" customHeight="false" outlineLevel="0" collapsed="false">
      <c r="A51" s="50"/>
      <c r="B51" s="34"/>
      <c r="C51" s="34"/>
      <c r="D51" s="34"/>
      <c r="E51" s="34"/>
      <c r="F51" s="34"/>
      <c r="G51" s="50"/>
      <c r="H51" s="51"/>
      <c r="I51" s="51"/>
      <c r="J51" s="34"/>
      <c r="K51" s="34"/>
      <c r="L51" s="50"/>
      <c r="M51" s="34"/>
      <c r="N51" s="34"/>
      <c r="O51" s="52" t="str">
        <f aca="false">IF(A51="","",IFERROR(INDEX(CRT_TIER,MATCH(A51&amp;"|Current",CRT_KEY,0)),"Not classified"))</f>
        <v/>
      </c>
      <c r="P51" s="52" t="str">
        <f aca="false">IF(A51="","",IFERROR(INDEX(CRT_APPRDISP,MATCH(A51&amp;"|Current",CRT_KEY,0)),"Not classified"))</f>
        <v/>
      </c>
      <c r="Q51" s="53" t="str">
        <f aca="false">IF(A51="","",IF(MAX(_xlfn.MAXIFS(CRT_DATE,CRT_SUP,A51),_xlfn.MAXIFS(RSK_ASSDATE,RSK_SUP,A51))=0,"",MAX(_xlfn.MAXIFS(CRT_DATE,CRT_SUP,A51),_xlfn.MAXIFS(RSK_ASSDATE,RSK_SUP,A51))))</f>
        <v/>
      </c>
      <c r="R51" s="54" t="str">
        <f aca="false">IF(A51="","",IFERROR(IF(LEFT(INDEX(DEC_CURR,MATCH(A51&amp;"|Latest",DEC_KEY,0)),10)="Authorised",INDEX(DEC_FINAL,MATCH(A51&amp;"|Latest",DEC_KEY,0)),IF(INDEX(DEC_CURR,MATCH(A51&amp;"|Latest",DEC_KEY,0))="Review due soon",INDEX(DEC_FINAL,MATCH(A51&amp;"|Latest",DEC_KEY,0))&amp;" (review due soon)",INDEX(DEC_CURR,MATCH(A51&amp;"|Latest",DEC_KEY,0)))),IF(COUNTIFS(DEC_SUP,A51,DEC_LEVEL,"Yes")&gt;0,"Pending - no dated decision record","No decision recorded")))</f>
        <v/>
      </c>
      <c r="S51" s="53" t="str">
        <f aca="false">IF(A51="","",IFERROR(INDEX(MON_NEXTREV,MATCH(A51&amp;"|Latest",MON_KEY,0)),IF(Q51="","",IFERROR(EDATE(Q51,INDEX(TierMonths,MATCH(O51,TierNames,0))),""))))</f>
        <v/>
      </c>
      <c r="T51" s="54" t="str">
        <f aca="false">IF(A51="","",IF(G51="Exited","Not applicable (exited)",IF(S51="","Not scheduled",IF(S51&lt;AsOf,"Overdue (late - administrative, not a finding)",IF(S51&lt;=AsOf+WarnReviewDays,"Due soon","On schedule")))))</f>
        <v/>
      </c>
      <c r="U51" s="52" t="str">
        <f aca="false">IF(A51="","",IF(COUNTIF(INV_ID,A51)&gt;1,"CHECK: duplicate Supplier ID","OK"))</f>
        <v/>
      </c>
      <c r="V51" s="54" t="str">
        <f aca="false">IF(A51="","",IF(W51="","Complete","Incomplete: "&amp;W51))</f>
        <v/>
      </c>
      <c r="W51" s="52" t="str">
        <f aca="false">IF(A51="","",IF(B51="","name; ","")&amp;IF(C51="","service description; ","")&amp;IF(D51="","business owner; ","")&amp;IF(E51="","relationship owner; ","")&amp;IF(OR(AND(H51&lt;&gt;"",NOT(ISNUMBER(H51))),AND(I51&lt;&gt;"",NOT(ISNUMBER(I51))),AND(ISNUMBER(H51),ISNUMBER(I51),I51&lt;H51)),"contract dates invalid; ","")&amp;IF(OR(O51="Not classified",O51="Incomplete"),"classification incomplete; ",""))</f>
        <v/>
      </c>
    </row>
    <row r="52" customFormat="false" ht="15" hidden="false" customHeight="false" outlineLevel="0" collapsed="false">
      <c r="A52" s="50"/>
      <c r="B52" s="34"/>
      <c r="C52" s="34"/>
      <c r="D52" s="34"/>
      <c r="E52" s="34"/>
      <c r="F52" s="34"/>
      <c r="G52" s="50"/>
      <c r="H52" s="51"/>
      <c r="I52" s="51"/>
      <c r="J52" s="34"/>
      <c r="K52" s="34"/>
      <c r="L52" s="50"/>
      <c r="M52" s="34"/>
      <c r="N52" s="34"/>
      <c r="O52" s="52" t="str">
        <f aca="false">IF(A52="","",IFERROR(INDEX(CRT_TIER,MATCH(A52&amp;"|Current",CRT_KEY,0)),"Not classified"))</f>
        <v/>
      </c>
      <c r="P52" s="52" t="str">
        <f aca="false">IF(A52="","",IFERROR(INDEX(CRT_APPRDISP,MATCH(A52&amp;"|Current",CRT_KEY,0)),"Not classified"))</f>
        <v/>
      </c>
      <c r="Q52" s="53" t="str">
        <f aca="false">IF(A52="","",IF(MAX(_xlfn.MAXIFS(CRT_DATE,CRT_SUP,A52),_xlfn.MAXIFS(RSK_ASSDATE,RSK_SUP,A52))=0,"",MAX(_xlfn.MAXIFS(CRT_DATE,CRT_SUP,A52),_xlfn.MAXIFS(RSK_ASSDATE,RSK_SUP,A52))))</f>
        <v/>
      </c>
      <c r="R52" s="54" t="str">
        <f aca="false">IF(A52="","",IFERROR(IF(LEFT(INDEX(DEC_CURR,MATCH(A52&amp;"|Latest",DEC_KEY,0)),10)="Authorised",INDEX(DEC_FINAL,MATCH(A52&amp;"|Latest",DEC_KEY,0)),IF(INDEX(DEC_CURR,MATCH(A52&amp;"|Latest",DEC_KEY,0))="Review due soon",INDEX(DEC_FINAL,MATCH(A52&amp;"|Latest",DEC_KEY,0))&amp;" (review due soon)",INDEX(DEC_CURR,MATCH(A52&amp;"|Latest",DEC_KEY,0)))),IF(COUNTIFS(DEC_SUP,A52,DEC_LEVEL,"Yes")&gt;0,"Pending - no dated decision record","No decision recorded")))</f>
        <v/>
      </c>
      <c r="S52" s="53" t="str">
        <f aca="false">IF(A52="","",IFERROR(INDEX(MON_NEXTREV,MATCH(A52&amp;"|Latest",MON_KEY,0)),IF(Q52="","",IFERROR(EDATE(Q52,INDEX(TierMonths,MATCH(O52,TierNames,0))),""))))</f>
        <v/>
      </c>
      <c r="T52" s="54" t="str">
        <f aca="false">IF(A52="","",IF(G52="Exited","Not applicable (exited)",IF(S52="","Not scheduled",IF(S52&lt;AsOf,"Overdue (late - administrative, not a finding)",IF(S52&lt;=AsOf+WarnReviewDays,"Due soon","On schedule")))))</f>
        <v/>
      </c>
      <c r="U52" s="52" t="str">
        <f aca="false">IF(A52="","",IF(COUNTIF(INV_ID,A52)&gt;1,"CHECK: duplicate Supplier ID","OK"))</f>
        <v/>
      </c>
      <c r="V52" s="54" t="str">
        <f aca="false">IF(A52="","",IF(W52="","Complete","Incomplete: "&amp;W52))</f>
        <v/>
      </c>
      <c r="W52" s="52" t="str">
        <f aca="false">IF(A52="","",IF(B52="","name; ","")&amp;IF(C52="","service description; ","")&amp;IF(D52="","business owner; ","")&amp;IF(E52="","relationship owner; ","")&amp;IF(OR(AND(H52&lt;&gt;"",NOT(ISNUMBER(H52))),AND(I52&lt;&gt;"",NOT(ISNUMBER(I52))),AND(ISNUMBER(H52),ISNUMBER(I52),I52&lt;H52)),"contract dates invalid; ","")&amp;IF(OR(O52="Not classified",O52="Incomplete"),"classification incomplete; ",""))</f>
        <v/>
      </c>
    </row>
    <row r="53" customFormat="false" ht="15" hidden="false" customHeight="false" outlineLevel="0" collapsed="false">
      <c r="A53" s="50"/>
      <c r="B53" s="34"/>
      <c r="C53" s="34"/>
      <c r="D53" s="34"/>
      <c r="E53" s="34"/>
      <c r="F53" s="34"/>
      <c r="G53" s="50"/>
      <c r="H53" s="51"/>
      <c r="I53" s="51"/>
      <c r="J53" s="34"/>
      <c r="K53" s="34"/>
      <c r="L53" s="50"/>
      <c r="M53" s="34"/>
      <c r="N53" s="34"/>
      <c r="O53" s="52" t="str">
        <f aca="false">IF(A53="","",IFERROR(INDEX(CRT_TIER,MATCH(A53&amp;"|Current",CRT_KEY,0)),"Not classified"))</f>
        <v/>
      </c>
      <c r="P53" s="52" t="str">
        <f aca="false">IF(A53="","",IFERROR(INDEX(CRT_APPRDISP,MATCH(A53&amp;"|Current",CRT_KEY,0)),"Not classified"))</f>
        <v/>
      </c>
      <c r="Q53" s="53" t="str">
        <f aca="false">IF(A53="","",IF(MAX(_xlfn.MAXIFS(CRT_DATE,CRT_SUP,A53),_xlfn.MAXIFS(RSK_ASSDATE,RSK_SUP,A53))=0,"",MAX(_xlfn.MAXIFS(CRT_DATE,CRT_SUP,A53),_xlfn.MAXIFS(RSK_ASSDATE,RSK_SUP,A53))))</f>
        <v/>
      </c>
      <c r="R53" s="54" t="str">
        <f aca="false">IF(A53="","",IFERROR(IF(LEFT(INDEX(DEC_CURR,MATCH(A53&amp;"|Latest",DEC_KEY,0)),10)="Authorised",INDEX(DEC_FINAL,MATCH(A53&amp;"|Latest",DEC_KEY,0)),IF(INDEX(DEC_CURR,MATCH(A53&amp;"|Latest",DEC_KEY,0))="Review due soon",INDEX(DEC_FINAL,MATCH(A53&amp;"|Latest",DEC_KEY,0))&amp;" (review due soon)",INDEX(DEC_CURR,MATCH(A53&amp;"|Latest",DEC_KEY,0)))),IF(COUNTIFS(DEC_SUP,A53,DEC_LEVEL,"Yes")&gt;0,"Pending - no dated decision record","No decision recorded")))</f>
        <v/>
      </c>
      <c r="S53" s="53" t="str">
        <f aca="false">IF(A53="","",IFERROR(INDEX(MON_NEXTREV,MATCH(A53&amp;"|Latest",MON_KEY,0)),IF(Q53="","",IFERROR(EDATE(Q53,INDEX(TierMonths,MATCH(O53,TierNames,0))),""))))</f>
        <v/>
      </c>
      <c r="T53" s="54" t="str">
        <f aca="false">IF(A53="","",IF(G53="Exited","Not applicable (exited)",IF(S53="","Not scheduled",IF(S53&lt;AsOf,"Overdue (late - administrative, not a finding)",IF(S53&lt;=AsOf+WarnReviewDays,"Due soon","On schedule")))))</f>
        <v/>
      </c>
      <c r="U53" s="52" t="str">
        <f aca="false">IF(A53="","",IF(COUNTIF(INV_ID,A53)&gt;1,"CHECK: duplicate Supplier ID","OK"))</f>
        <v/>
      </c>
      <c r="V53" s="54" t="str">
        <f aca="false">IF(A53="","",IF(W53="","Complete","Incomplete: "&amp;W53))</f>
        <v/>
      </c>
      <c r="W53" s="52" t="str">
        <f aca="false">IF(A53="","",IF(B53="","name; ","")&amp;IF(C53="","service description; ","")&amp;IF(D53="","business owner; ","")&amp;IF(E53="","relationship owner; ","")&amp;IF(OR(AND(H53&lt;&gt;"",NOT(ISNUMBER(H53))),AND(I53&lt;&gt;"",NOT(ISNUMBER(I53))),AND(ISNUMBER(H53),ISNUMBER(I53),I53&lt;H53)),"contract dates invalid; ","")&amp;IF(OR(O53="Not classified",O53="Incomplete"),"classification incomplete; ",""))</f>
        <v/>
      </c>
    </row>
    <row r="54" customFormat="false" ht="15" hidden="false" customHeight="false" outlineLevel="0" collapsed="false">
      <c r="A54" s="50"/>
      <c r="B54" s="34"/>
      <c r="C54" s="34"/>
      <c r="D54" s="34"/>
      <c r="E54" s="34"/>
      <c r="F54" s="34"/>
      <c r="G54" s="50"/>
      <c r="H54" s="51"/>
      <c r="I54" s="51"/>
      <c r="J54" s="34"/>
      <c r="K54" s="34"/>
      <c r="L54" s="50"/>
      <c r="M54" s="34"/>
      <c r="N54" s="34"/>
      <c r="O54" s="52" t="str">
        <f aca="false">IF(A54="","",IFERROR(INDEX(CRT_TIER,MATCH(A54&amp;"|Current",CRT_KEY,0)),"Not classified"))</f>
        <v/>
      </c>
      <c r="P54" s="52" t="str">
        <f aca="false">IF(A54="","",IFERROR(INDEX(CRT_APPRDISP,MATCH(A54&amp;"|Current",CRT_KEY,0)),"Not classified"))</f>
        <v/>
      </c>
      <c r="Q54" s="53" t="str">
        <f aca="false">IF(A54="","",IF(MAX(_xlfn.MAXIFS(CRT_DATE,CRT_SUP,A54),_xlfn.MAXIFS(RSK_ASSDATE,RSK_SUP,A54))=0,"",MAX(_xlfn.MAXIFS(CRT_DATE,CRT_SUP,A54),_xlfn.MAXIFS(RSK_ASSDATE,RSK_SUP,A54))))</f>
        <v/>
      </c>
      <c r="R54" s="54" t="str">
        <f aca="false">IF(A54="","",IFERROR(IF(LEFT(INDEX(DEC_CURR,MATCH(A54&amp;"|Latest",DEC_KEY,0)),10)="Authorised",INDEX(DEC_FINAL,MATCH(A54&amp;"|Latest",DEC_KEY,0)),IF(INDEX(DEC_CURR,MATCH(A54&amp;"|Latest",DEC_KEY,0))="Review due soon",INDEX(DEC_FINAL,MATCH(A54&amp;"|Latest",DEC_KEY,0))&amp;" (review due soon)",INDEX(DEC_CURR,MATCH(A54&amp;"|Latest",DEC_KEY,0)))),IF(COUNTIFS(DEC_SUP,A54,DEC_LEVEL,"Yes")&gt;0,"Pending - no dated decision record","No decision recorded")))</f>
        <v/>
      </c>
      <c r="S54" s="53" t="str">
        <f aca="false">IF(A54="","",IFERROR(INDEX(MON_NEXTREV,MATCH(A54&amp;"|Latest",MON_KEY,0)),IF(Q54="","",IFERROR(EDATE(Q54,INDEX(TierMonths,MATCH(O54,TierNames,0))),""))))</f>
        <v/>
      </c>
      <c r="T54" s="54" t="str">
        <f aca="false">IF(A54="","",IF(G54="Exited","Not applicable (exited)",IF(S54="","Not scheduled",IF(S54&lt;AsOf,"Overdue (late - administrative, not a finding)",IF(S54&lt;=AsOf+WarnReviewDays,"Due soon","On schedule")))))</f>
        <v/>
      </c>
      <c r="U54" s="52" t="str">
        <f aca="false">IF(A54="","",IF(COUNTIF(INV_ID,A54)&gt;1,"CHECK: duplicate Supplier ID","OK"))</f>
        <v/>
      </c>
      <c r="V54" s="54" t="str">
        <f aca="false">IF(A54="","",IF(W54="","Complete","Incomplete: "&amp;W54))</f>
        <v/>
      </c>
      <c r="W54" s="52" t="str">
        <f aca="false">IF(A54="","",IF(B54="","name; ","")&amp;IF(C54="","service description; ","")&amp;IF(D54="","business owner; ","")&amp;IF(E54="","relationship owner; ","")&amp;IF(OR(AND(H54&lt;&gt;"",NOT(ISNUMBER(H54))),AND(I54&lt;&gt;"",NOT(ISNUMBER(I54))),AND(ISNUMBER(H54),ISNUMBER(I54),I54&lt;H54)),"contract dates invalid; ","")&amp;IF(OR(O54="Not classified",O54="Incomplete"),"classification incomplete; ",""))</f>
        <v/>
      </c>
    </row>
    <row r="55" customFormat="false" ht="15" hidden="false" customHeight="false" outlineLevel="0" collapsed="false">
      <c r="A55" s="50"/>
      <c r="B55" s="34"/>
      <c r="C55" s="34"/>
      <c r="D55" s="34"/>
      <c r="E55" s="34"/>
      <c r="F55" s="34"/>
      <c r="G55" s="50"/>
      <c r="H55" s="51"/>
      <c r="I55" s="51"/>
      <c r="J55" s="34"/>
      <c r="K55" s="34"/>
      <c r="L55" s="50"/>
      <c r="M55" s="34"/>
      <c r="N55" s="34"/>
      <c r="O55" s="52" t="str">
        <f aca="false">IF(A55="","",IFERROR(INDEX(CRT_TIER,MATCH(A55&amp;"|Current",CRT_KEY,0)),"Not classified"))</f>
        <v/>
      </c>
      <c r="P55" s="52" t="str">
        <f aca="false">IF(A55="","",IFERROR(INDEX(CRT_APPRDISP,MATCH(A55&amp;"|Current",CRT_KEY,0)),"Not classified"))</f>
        <v/>
      </c>
      <c r="Q55" s="53" t="str">
        <f aca="false">IF(A55="","",IF(MAX(_xlfn.MAXIFS(CRT_DATE,CRT_SUP,A55),_xlfn.MAXIFS(RSK_ASSDATE,RSK_SUP,A55))=0,"",MAX(_xlfn.MAXIFS(CRT_DATE,CRT_SUP,A55),_xlfn.MAXIFS(RSK_ASSDATE,RSK_SUP,A55))))</f>
        <v/>
      </c>
      <c r="R55" s="54" t="str">
        <f aca="false">IF(A55="","",IFERROR(IF(LEFT(INDEX(DEC_CURR,MATCH(A55&amp;"|Latest",DEC_KEY,0)),10)="Authorised",INDEX(DEC_FINAL,MATCH(A55&amp;"|Latest",DEC_KEY,0)),IF(INDEX(DEC_CURR,MATCH(A55&amp;"|Latest",DEC_KEY,0))="Review due soon",INDEX(DEC_FINAL,MATCH(A55&amp;"|Latest",DEC_KEY,0))&amp;" (review due soon)",INDEX(DEC_CURR,MATCH(A55&amp;"|Latest",DEC_KEY,0)))),IF(COUNTIFS(DEC_SUP,A55,DEC_LEVEL,"Yes")&gt;0,"Pending - no dated decision record","No decision recorded")))</f>
        <v/>
      </c>
      <c r="S55" s="53" t="str">
        <f aca="false">IF(A55="","",IFERROR(INDEX(MON_NEXTREV,MATCH(A55&amp;"|Latest",MON_KEY,0)),IF(Q55="","",IFERROR(EDATE(Q55,INDEX(TierMonths,MATCH(O55,TierNames,0))),""))))</f>
        <v/>
      </c>
      <c r="T55" s="54" t="str">
        <f aca="false">IF(A55="","",IF(G55="Exited","Not applicable (exited)",IF(S55="","Not scheduled",IF(S55&lt;AsOf,"Overdue (late - administrative, not a finding)",IF(S55&lt;=AsOf+WarnReviewDays,"Due soon","On schedule")))))</f>
        <v/>
      </c>
      <c r="U55" s="52" t="str">
        <f aca="false">IF(A55="","",IF(COUNTIF(INV_ID,A55)&gt;1,"CHECK: duplicate Supplier ID","OK"))</f>
        <v/>
      </c>
      <c r="V55" s="54" t="str">
        <f aca="false">IF(A55="","",IF(W55="","Complete","Incomplete: "&amp;W55))</f>
        <v/>
      </c>
      <c r="W55" s="52" t="str">
        <f aca="false">IF(A55="","",IF(B55="","name; ","")&amp;IF(C55="","service description; ","")&amp;IF(D55="","business owner; ","")&amp;IF(E55="","relationship owner; ","")&amp;IF(OR(AND(H55&lt;&gt;"",NOT(ISNUMBER(H55))),AND(I55&lt;&gt;"",NOT(ISNUMBER(I55))),AND(ISNUMBER(H55),ISNUMBER(I55),I55&lt;H55)),"contract dates invalid; ","")&amp;IF(OR(O55="Not classified",O55="Incomplete"),"classification incomplete; ",""))</f>
        <v/>
      </c>
    </row>
    <row r="56" customFormat="false" ht="15" hidden="false" customHeight="false" outlineLevel="0" collapsed="false">
      <c r="A56" s="50"/>
      <c r="B56" s="34"/>
      <c r="C56" s="34"/>
      <c r="D56" s="34"/>
      <c r="E56" s="34"/>
      <c r="F56" s="34"/>
      <c r="G56" s="50"/>
      <c r="H56" s="51"/>
      <c r="I56" s="51"/>
      <c r="J56" s="34"/>
      <c r="K56" s="34"/>
      <c r="L56" s="50"/>
      <c r="M56" s="34"/>
      <c r="N56" s="34"/>
      <c r="O56" s="52" t="str">
        <f aca="false">IF(A56="","",IFERROR(INDEX(CRT_TIER,MATCH(A56&amp;"|Current",CRT_KEY,0)),"Not classified"))</f>
        <v/>
      </c>
      <c r="P56" s="52" t="str">
        <f aca="false">IF(A56="","",IFERROR(INDEX(CRT_APPRDISP,MATCH(A56&amp;"|Current",CRT_KEY,0)),"Not classified"))</f>
        <v/>
      </c>
      <c r="Q56" s="53" t="str">
        <f aca="false">IF(A56="","",IF(MAX(_xlfn.MAXIFS(CRT_DATE,CRT_SUP,A56),_xlfn.MAXIFS(RSK_ASSDATE,RSK_SUP,A56))=0,"",MAX(_xlfn.MAXIFS(CRT_DATE,CRT_SUP,A56),_xlfn.MAXIFS(RSK_ASSDATE,RSK_SUP,A56))))</f>
        <v/>
      </c>
      <c r="R56" s="54" t="str">
        <f aca="false">IF(A56="","",IFERROR(IF(LEFT(INDEX(DEC_CURR,MATCH(A56&amp;"|Latest",DEC_KEY,0)),10)="Authorised",INDEX(DEC_FINAL,MATCH(A56&amp;"|Latest",DEC_KEY,0)),IF(INDEX(DEC_CURR,MATCH(A56&amp;"|Latest",DEC_KEY,0))="Review due soon",INDEX(DEC_FINAL,MATCH(A56&amp;"|Latest",DEC_KEY,0))&amp;" (review due soon)",INDEX(DEC_CURR,MATCH(A56&amp;"|Latest",DEC_KEY,0)))),IF(COUNTIFS(DEC_SUP,A56,DEC_LEVEL,"Yes")&gt;0,"Pending - no dated decision record","No decision recorded")))</f>
        <v/>
      </c>
      <c r="S56" s="53" t="str">
        <f aca="false">IF(A56="","",IFERROR(INDEX(MON_NEXTREV,MATCH(A56&amp;"|Latest",MON_KEY,0)),IF(Q56="","",IFERROR(EDATE(Q56,INDEX(TierMonths,MATCH(O56,TierNames,0))),""))))</f>
        <v/>
      </c>
      <c r="T56" s="54" t="str">
        <f aca="false">IF(A56="","",IF(G56="Exited","Not applicable (exited)",IF(S56="","Not scheduled",IF(S56&lt;AsOf,"Overdue (late - administrative, not a finding)",IF(S56&lt;=AsOf+WarnReviewDays,"Due soon","On schedule")))))</f>
        <v/>
      </c>
      <c r="U56" s="52" t="str">
        <f aca="false">IF(A56="","",IF(COUNTIF(INV_ID,A56)&gt;1,"CHECK: duplicate Supplier ID","OK"))</f>
        <v/>
      </c>
      <c r="V56" s="54" t="str">
        <f aca="false">IF(A56="","",IF(W56="","Complete","Incomplete: "&amp;W56))</f>
        <v/>
      </c>
      <c r="W56" s="52" t="str">
        <f aca="false">IF(A56="","",IF(B56="","name; ","")&amp;IF(C56="","service description; ","")&amp;IF(D56="","business owner; ","")&amp;IF(E56="","relationship owner; ","")&amp;IF(OR(AND(H56&lt;&gt;"",NOT(ISNUMBER(H56))),AND(I56&lt;&gt;"",NOT(ISNUMBER(I56))),AND(ISNUMBER(H56),ISNUMBER(I56),I56&lt;H56)),"contract dates invalid; ","")&amp;IF(OR(O56="Not classified",O56="Incomplete"),"classification incomplete; ",""))</f>
        <v/>
      </c>
    </row>
    <row r="57" customFormat="false" ht="15" hidden="false" customHeight="false" outlineLevel="0" collapsed="false">
      <c r="A57" s="50"/>
      <c r="B57" s="34"/>
      <c r="C57" s="34"/>
      <c r="D57" s="34"/>
      <c r="E57" s="34"/>
      <c r="F57" s="34"/>
      <c r="G57" s="50"/>
      <c r="H57" s="51"/>
      <c r="I57" s="51"/>
      <c r="J57" s="34"/>
      <c r="K57" s="34"/>
      <c r="L57" s="50"/>
      <c r="M57" s="34"/>
      <c r="N57" s="34"/>
      <c r="O57" s="52" t="str">
        <f aca="false">IF(A57="","",IFERROR(INDEX(CRT_TIER,MATCH(A57&amp;"|Current",CRT_KEY,0)),"Not classified"))</f>
        <v/>
      </c>
      <c r="P57" s="52" t="str">
        <f aca="false">IF(A57="","",IFERROR(INDEX(CRT_APPRDISP,MATCH(A57&amp;"|Current",CRT_KEY,0)),"Not classified"))</f>
        <v/>
      </c>
      <c r="Q57" s="53" t="str">
        <f aca="false">IF(A57="","",IF(MAX(_xlfn.MAXIFS(CRT_DATE,CRT_SUP,A57),_xlfn.MAXIFS(RSK_ASSDATE,RSK_SUP,A57))=0,"",MAX(_xlfn.MAXIFS(CRT_DATE,CRT_SUP,A57),_xlfn.MAXIFS(RSK_ASSDATE,RSK_SUP,A57))))</f>
        <v/>
      </c>
      <c r="R57" s="54" t="str">
        <f aca="false">IF(A57="","",IFERROR(IF(LEFT(INDEX(DEC_CURR,MATCH(A57&amp;"|Latest",DEC_KEY,0)),10)="Authorised",INDEX(DEC_FINAL,MATCH(A57&amp;"|Latest",DEC_KEY,0)),IF(INDEX(DEC_CURR,MATCH(A57&amp;"|Latest",DEC_KEY,0))="Review due soon",INDEX(DEC_FINAL,MATCH(A57&amp;"|Latest",DEC_KEY,0))&amp;" (review due soon)",INDEX(DEC_CURR,MATCH(A57&amp;"|Latest",DEC_KEY,0)))),IF(COUNTIFS(DEC_SUP,A57,DEC_LEVEL,"Yes")&gt;0,"Pending - no dated decision record","No decision recorded")))</f>
        <v/>
      </c>
      <c r="S57" s="53" t="str">
        <f aca="false">IF(A57="","",IFERROR(INDEX(MON_NEXTREV,MATCH(A57&amp;"|Latest",MON_KEY,0)),IF(Q57="","",IFERROR(EDATE(Q57,INDEX(TierMonths,MATCH(O57,TierNames,0))),""))))</f>
        <v/>
      </c>
      <c r="T57" s="54" t="str">
        <f aca="false">IF(A57="","",IF(G57="Exited","Not applicable (exited)",IF(S57="","Not scheduled",IF(S57&lt;AsOf,"Overdue (late - administrative, not a finding)",IF(S57&lt;=AsOf+WarnReviewDays,"Due soon","On schedule")))))</f>
        <v/>
      </c>
      <c r="U57" s="52" t="str">
        <f aca="false">IF(A57="","",IF(COUNTIF(INV_ID,A57)&gt;1,"CHECK: duplicate Supplier ID","OK"))</f>
        <v/>
      </c>
      <c r="V57" s="54" t="str">
        <f aca="false">IF(A57="","",IF(W57="","Complete","Incomplete: "&amp;W57))</f>
        <v/>
      </c>
      <c r="W57" s="52" t="str">
        <f aca="false">IF(A57="","",IF(B57="","name; ","")&amp;IF(C57="","service description; ","")&amp;IF(D57="","business owner; ","")&amp;IF(E57="","relationship owner; ","")&amp;IF(OR(AND(H57&lt;&gt;"",NOT(ISNUMBER(H57))),AND(I57&lt;&gt;"",NOT(ISNUMBER(I57))),AND(ISNUMBER(H57),ISNUMBER(I57),I57&lt;H57)),"contract dates invalid; ","")&amp;IF(OR(O57="Not classified",O57="Incomplete"),"classification incomplete; ",""))</f>
        <v/>
      </c>
    </row>
    <row r="58" customFormat="false" ht="15" hidden="false" customHeight="false" outlineLevel="0" collapsed="false">
      <c r="A58" s="50"/>
      <c r="B58" s="34"/>
      <c r="C58" s="34"/>
      <c r="D58" s="34"/>
      <c r="E58" s="34"/>
      <c r="F58" s="34"/>
      <c r="G58" s="50"/>
      <c r="H58" s="51"/>
      <c r="I58" s="51"/>
      <c r="J58" s="34"/>
      <c r="K58" s="34"/>
      <c r="L58" s="50"/>
      <c r="M58" s="34"/>
      <c r="N58" s="34"/>
      <c r="O58" s="52" t="str">
        <f aca="false">IF(A58="","",IFERROR(INDEX(CRT_TIER,MATCH(A58&amp;"|Current",CRT_KEY,0)),"Not classified"))</f>
        <v/>
      </c>
      <c r="P58" s="52" t="str">
        <f aca="false">IF(A58="","",IFERROR(INDEX(CRT_APPRDISP,MATCH(A58&amp;"|Current",CRT_KEY,0)),"Not classified"))</f>
        <v/>
      </c>
      <c r="Q58" s="53" t="str">
        <f aca="false">IF(A58="","",IF(MAX(_xlfn.MAXIFS(CRT_DATE,CRT_SUP,A58),_xlfn.MAXIFS(RSK_ASSDATE,RSK_SUP,A58))=0,"",MAX(_xlfn.MAXIFS(CRT_DATE,CRT_SUP,A58),_xlfn.MAXIFS(RSK_ASSDATE,RSK_SUP,A58))))</f>
        <v/>
      </c>
      <c r="R58" s="54" t="str">
        <f aca="false">IF(A58="","",IFERROR(IF(LEFT(INDEX(DEC_CURR,MATCH(A58&amp;"|Latest",DEC_KEY,0)),10)="Authorised",INDEX(DEC_FINAL,MATCH(A58&amp;"|Latest",DEC_KEY,0)),IF(INDEX(DEC_CURR,MATCH(A58&amp;"|Latest",DEC_KEY,0))="Review due soon",INDEX(DEC_FINAL,MATCH(A58&amp;"|Latest",DEC_KEY,0))&amp;" (review due soon)",INDEX(DEC_CURR,MATCH(A58&amp;"|Latest",DEC_KEY,0)))),IF(COUNTIFS(DEC_SUP,A58,DEC_LEVEL,"Yes")&gt;0,"Pending - no dated decision record","No decision recorded")))</f>
        <v/>
      </c>
      <c r="S58" s="53" t="str">
        <f aca="false">IF(A58="","",IFERROR(INDEX(MON_NEXTREV,MATCH(A58&amp;"|Latest",MON_KEY,0)),IF(Q58="","",IFERROR(EDATE(Q58,INDEX(TierMonths,MATCH(O58,TierNames,0))),""))))</f>
        <v/>
      </c>
      <c r="T58" s="54" t="str">
        <f aca="false">IF(A58="","",IF(G58="Exited","Not applicable (exited)",IF(S58="","Not scheduled",IF(S58&lt;AsOf,"Overdue (late - administrative, not a finding)",IF(S58&lt;=AsOf+WarnReviewDays,"Due soon","On schedule")))))</f>
        <v/>
      </c>
      <c r="U58" s="52" t="str">
        <f aca="false">IF(A58="","",IF(COUNTIF(INV_ID,A58)&gt;1,"CHECK: duplicate Supplier ID","OK"))</f>
        <v/>
      </c>
      <c r="V58" s="54" t="str">
        <f aca="false">IF(A58="","",IF(W58="","Complete","Incomplete: "&amp;W58))</f>
        <v/>
      </c>
      <c r="W58" s="52" t="str">
        <f aca="false">IF(A58="","",IF(B58="","name; ","")&amp;IF(C58="","service description; ","")&amp;IF(D58="","business owner; ","")&amp;IF(E58="","relationship owner; ","")&amp;IF(OR(AND(H58&lt;&gt;"",NOT(ISNUMBER(H58))),AND(I58&lt;&gt;"",NOT(ISNUMBER(I58))),AND(ISNUMBER(H58),ISNUMBER(I58),I58&lt;H58)),"contract dates invalid; ","")&amp;IF(OR(O58="Not classified",O58="Incomplete"),"classification incomplete; ",""))</f>
        <v/>
      </c>
    </row>
    <row r="59" customFormat="false" ht="15" hidden="false" customHeight="false" outlineLevel="0" collapsed="false">
      <c r="A59" s="50"/>
      <c r="B59" s="34"/>
      <c r="C59" s="34"/>
      <c r="D59" s="34"/>
      <c r="E59" s="34"/>
      <c r="F59" s="34"/>
      <c r="G59" s="50"/>
      <c r="H59" s="51"/>
      <c r="I59" s="51"/>
      <c r="J59" s="34"/>
      <c r="K59" s="34"/>
      <c r="L59" s="50"/>
      <c r="M59" s="34"/>
      <c r="N59" s="34"/>
      <c r="O59" s="52" t="str">
        <f aca="false">IF(A59="","",IFERROR(INDEX(CRT_TIER,MATCH(A59&amp;"|Current",CRT_KEY,0)),"Not classified"))</f>
        <v/>
      </c>
      <c r="P59" s="52" t="str">
        <f aca="false">IF(A59="","",IFERROR(INDEX(CRT_APPRDISP,MATCH(A59&amp;"|Current",CRT_KEY,0)),"Not classified"))</f>
        <v/>
      </c>
      <c r="Q59" s="53" t="str">
        <f aca="false">IF(A59="","",IF(MAX(_xlfn.MAXIFS(CRT_DATE,CRT_SUP,A59),_xlfn.MAXIFS(RSK_ASSDATE,RSK_SUP,A59))=0,"",MAX(_xlfn.MAXIFS(CRT_DATE,CRT_SUP,A59),_xlfn.MAXIFS(RSK_ASSDATE,RSK_SUP,A59))))</f>
        <v/>
      </c>
      <c r="R59" s="54" t="str">
        <f aca="false">IF(A59="","",IFERROR(IF(LEFT(INDEX(DEC_CURR,MATCH(A59&amp;"|Latest",DEC_KEY,0)),10)="Authorised",INDEX(DEC_FINAL,MATCH(A59&amp;"|Latest",DEC_KEY,0)),IF(INDEX(DEC_CURR,MATCH(A59&amp;"|Latest",DEC_KEY,0))="Review due soon",INDEX(DEC_FINAL,MATCH(A59&amp;"|Latest",DEC_KEY,0))&amp;" (review due soon)",INDEX(DEC_CURR,MATCH(A59&amp;"|Latest",DEC_KEY,0)))),IF(COUNTIFS(DEC_SUP,A59,DEC_LEVEL,"Yes")&gt;0,"Pending - no dated decision record","No decision recorded")))</f>
        <v/>
      </c>
      <c r="S59" s="53" t="str">
        <f aca="false">IF(A59="","",IFERROR(INDEX(MON_NEXTREV,MATCH(A59&amp;"|Latest",MON_KEY,0)),IF(Q59="","",IFERROR(EDATE(Q59,INDEX(TierMonths,MATCH(O59,TierNames,0))),""))))</f>
        <v/>
      </c>
      <c r="T59" s="54" t="str">
        <f aca="false">IF(A59="","",IF(G59="Exited","Not applicable (exited)",IF(S59="","Not scheduled",IF(S59&lt;AsOf,"Overdue (late - administrative, not a finding)",IF(S59&lt;=AsOf+WarnReviewDays,"Due soon","On schedule")))))</f>
        <v/>
      </c>
      <c r="U59" s="52" t="str">
        <f aca="false">IF(A59="","",IF(COUNTIF(INV_ID,A59)&gt;1,"CHECK: duplicate Supplier ID","OK"))</f>
        <v/>
      </c>
      <c r="V59" s="54" t="str">
        <f aca="false">IF(A59="","",IF(W59="","Complete","Incomplete: "&amp;W59))</f>
        <v/>
      </c>
      <c r="W59" s="52" t="str">
        <f aca="false">IF(A59="","",IF(B59="","name; ","")&amp;IF(C59="","service description; ","")&amp;IF(D59="","business owner; ","")&amp;IF(E59="","relationship owner; ","")&amp;IF(OR(AND(H59&lt;&gt;"",NOT(ISNUMBER(H59))),AND(I59&lt;&gt;"",NOT(ISNUMBER(I59))),AND(ISNUMBER(H59),ISNUMBER(I59),I59&lt;H59)),"contract dates invalid; ","")&amp;IF(OR(O59="Not classified",O59="Incomplete"),"classification incomplete; ",""))</f>
        <v/>
      </c>
    </row>
    <row r="60" customFormat="false" ht="15" hidden="false" customHeight="false" outlineLevel="0" collapsed="false">
      <c r="A60" s="50"/>
      <c r="B60" s="34"/>
      <c r="C60" s="34"/>
      <c r="D60" s="34"/>
      <c r="E60" s="34"/>
      <c r="F60" s="34"/>
      <c r="G60" s="50"/>
      <c r="H60" s="51"/>
      <c r="I60" s="51"/>
      <c r="J60" s="34"/>
      <c r="K60" s="34"/>
      <c r="L60" s="50"/>
      <c r="M60" s="34"/>
      <c r="N60" s="34"/>
      <c r="O60" s="52" t="str">
        <f aca="false">IF(A60="","",IFERROR(INDEX(CRT_TIER,MATCH(A60&amp;"|Current",CRT_KEY,0)),"Not classified"))</f>
        <v/>
      </c>
      <c r="P60" s="52" t="str">
        <f aca="false">IF(A60="","",IFERROR(INDEX(CRT_APPRDISP,MATCH(A60&amp;"|Current",CRT_KEY,0)),"Not classified"))</f>
        <v/>
      </c>
      <c r="Q60" s="53" t="str">
        <f aca="false">IF(A60="","",IF(MAX(_xlfn.MAXIFS(CRT_DATE,CRT_SUP,A60),_xlfn.MAXIFS(RSK_ASSDATE,RSK_SUP,A60))=0,"",MAX(_xlfn.MAXIFS(CRT_DATE,CRT_SUP,A60),_xlfn.MAXIFS(RSK_ASSDATE,RSK_SUP,A60))))</f>
        <v/>
      </c>
      <c r="R60" s="54" t="str">
        <f aca="false">IF(A60="","",IFERROR(IF(LEFT(INDEX(DEC_CURR,MATCH(A60&amp;"|Latest",DEC_KEY,0)),10)="Authorised",INDEX(DEC_FINAL,MATCH(A60&amp;"|Latest",DEC_KEY,0)),IF(INDEX(DEC_CURR,MATCH(A60&amp;"|Latest",DEC_KEY,0))="Review due soon",INDEX(DEC_FINAL,MATCH(A60&amp;"|Latest",DEC_KEY,0))&amp;" (review due soon)",INDEX(DEC_CURR,MATCH(A60&amp;"|Latest",DEC_KEY,0)))),IF(COUNTIFS(DEC_SUP,A60,DEC_LEVEL,"Yes")&gt;0,"Pending - no dated decision record","No decision recorded")))</f>
        <v/>
      </c>
      <c r="S60" s="53" t="str">
        <f aca="false">IF(A60="","",IFERROR(INDEX(MON_NEXTREV,MATCH(A60&amp;"|Latest",MON_KEY,0)),IF(Q60="","",IFERROR(EDATE(Q60,INDEX(TierMonths,MATCH(O60,TierNames,0))),""))))</f>
        <v/>
      </c>
      <c r="T60" s="54" t="str">
        <f aca="false">IF(A60="","",IF(G60="Exited","Not applicable (exited)",IF(S60="","Not scheduled",IF(S60&lt;AsOf,"Overdue (late - administrative, not a finding)",IF(S60&lt;=AsOf+WarnReviewDays,"Due soon","On schedule")))))</f>
        <v/>
      </c>
      <c r="U60" s="52" t="str">
        <f aca="false">IF(A60="","",IF(COUNTIF(INV_ID,A60)&gt;1,"CHECK: duplicate Supplier ID","OK"))</f>
        <v/>
      </c>
      <c r="V60" s="54" t="str">
        <f aca="false">IF(A60="","",IF(W60="","Complete","Incomplete: "&amp;W60))</f>
        <v/>
      </c>
      <c r="W60" s="52" t="str">
        <f aca="false">IF(A60="","",IF(B60="","name; ","")&amp;IF(C60="","service description; ","")&amp;IF(D60="","business owner; ","")&amp;IF(E60="","relationship owner; ","")&amp;IF(OR(AND(H60&lt;&gt;"",NOT(ISNUMBER(H60))),AND(I60&lt;&gt;"",NOT(ISNUMBER(I60))),AND(ISNUMBER(H60),ISNUMBER(I60),I60&lt;H60)),"contract dates invalid; ","")&amp;IF(OR(O60="Not classified",O60="Incomplete"),"classification incomplete; ",""))</f>
        <v/>
      </c>
    </row>
    <row r="61" customFormat="false" ht="15" hidden="false" customHeight="false" outlineLevel="0" collapsed="false">
      <c r="A61" s="50"/>
      <c r="B61" s="34"/>
      <c r="C61" s="34"/>
      <c r="D61" s="34"/>
      <c r="E61" s="34"/>
      <c r="F61" s="34"/>
      <c r="G61" s="50"/>
      <c r="H61" s="51"/>
      <c r="I61" s="51"/>
      <c r="J61" s="34"/>
      <c r="K61" s="34"/>
      <c r="L61" s="50"/>
      <c r="M61" s="34"/>
      <c r="N61" s="34"/>
      <c r="O61" s="52" t="str">
        <f aca="false">IF(A61="","",IFERROR(INDEX(CRT_TIER,MATCH(A61&amp;"|Current",CRT_KEY,0)),"Not classified"))</f>
        <v/>
      </c>
      <c r="P61" s="52" t="str">
        <f aca="false">IF(A61="","",IFERROR(INDEX(CRT_APPRDISP,MATCH(A61&amp;"|Current",CRT_KEY,0)),"Not classified"))</f>
        <v/>
      </c>
      <c r="Q61" s="53" t="str">
        <f aca="false">IF(A61="","",IF(MAX(_xlfn.MAXIFS(CRT_DATE,CRT_SUP,A61),_xlfn.MAXIFS(RSK_ASSDATE,RSK_SUP,A61))=0,"",MAX(_xlfn.MAXIFS(CRT_DATE,CRT_SUP,A61),_xlfn.MAXIFS(RSK_ASSDATE,RSK_SUP,A61))))</f>
        <v/>
      </c>
      <c r="R61" s="54" t="str">
        <f aca="false">IF(A61="","",IFERROR(IF(LEFT(INDEX(DEC_CURR,MATCH(A61&amp;"|Latest",DEC_KEY,0)),10)="Authorised",INDEX(DEC_FINAL,MATCH(A61&amp;"|Latest",DEC_KEY,0)),IF(INDEX(DEC_CURR,MATCH(A61&amp;"|Latest",DEC_KEY,0))="Review due soon",INDEX(DEC_FINAL,MATCH(A61&amp;"|Latest",DEC_KEY,0))&amp;" (review due soon)",INDEX(DEC_CURR,MATCH(A61&amp;"|Latest",DEC_KEY,0)))),IF(COUNTIFS(DEC_SUP,A61,DEC_LEVEL,"Yes")&gt;0,"Pending - no dated decision record","No decision recorded")))</f>
        <v/>
      </c>
      <c r="S61" s="53" t="str">
        <f aca="false">IF(A61="","",IFERROR(INDEX(MON_NEXTREV,MATCH(A61&amp;"|Latest",MON_KEY,0)),IF(Q61="","",IFERROR(EDATE(Q61,INDEX(TierMonths,MATCH(O61,TierNames,0))),""))))</f>
        <v/>
      </c>
      <c r="T61" s="54" t="str">
        <f aca="false">IF(A61="","",IF(G61="Exited","Not applicable (exited)",IF(S61="","Not scheduled",IF(S61&lt;AsOf,"Overdue (late - administrative, not a finding)",IF(S61&lt;=AsOf+WarnReviewDays,"Due soon","On schedule")))))</f>
        <v/>
      </c>
      <c r="U61" s="52" t="str">
        <f aca="false">IF(A61="","",IF(COUNTIF(INV_ID,A61)&gt;1,"CHECK: duplicate Supplier ID","OK"))</f>
        <v/>
      </c>
      <c r="V61" s="54" t="str">
        <f aca="false">IF(A61="","",IF(W61="","Complete","Incomplete: "&amp;W61))</f>
        <v/>
      </c>
      <c r="W61" s="52" t="str">
        <f aca="false">IF(A61="","",IF(B61="","name; ","")&amp;IF(C61="","service description; ","")&amp;IF(D61="","business owner; ","")&amp;IF(E61="","relationship owner; ","")&amp;IF(OR(AND(H61&lt;&gt;"",NOT(ISNUMBER(H61))),AND(I61&lt;&gt;"",NOT(ISNUMBER(I61))),AND(ISNUMBER(H61),ISNUMBER(I61),I61&lt;H61)),"contract dates invalid; ","")&amp;IF(OR(O61="Not classified",O61="Incomplete"),"classification incomplete; ",""))</f>
        <v/>
      </c>
    </row>
    <row r="62" customFormat="false" ht="15" hidden="false" customHeight="false" outlineLevel="0" collapsed="false">
      <c r="A62" s="50"/>
      <c r="B62" s="34"/>
      <c r="C62" s="34"/>
      <c r="D62" s="34"/>
      <c r="E62" s="34"/>
      <c r="F62" s="34"/>
      <c r="G62" s="50"/>
      <c r="H62" s="51"/>
      <c r="I62" s="51"/>
      <c r="J62" s="34"/>
      <c r="K62" s="34"/>
      <c r="L62" s="50"/>
      <c r="M62" s="34"/>
      <c r="N62" s="34"/>
      <c r="O62" s="52" t="str">
        <f aca="false">IF(A62="","",IFERROR(INDEX(CRT_TIER,MATCH(A62&amp;"|Current",CRT_KEY,0)),"Not classified"))</f>
        <v/>
      </c>
      <c r="P62" s="52" t="str">
        <f aca="false">IF(A62="","",IFERROR(INDEX(CRT_APPRDISP,MATCH(A62&amp;"|Current",CRT_KEY,0)),"Not classified"))</f>
        <v/>
      </c>
      <c r="Q62" s="53" t="str">
        <f aca="false">IF(A62="","",IF(MAX(_xlfn.MAXIFS(CRT_DATE,CRT_SUP,A62),_xlfn.MAXIFS(RSK_ASSDATE,RSK_SUP,A62))=0,"",MAX(_xlfn.MAXIFS(CRT_DATE,CRT_SUP,A62),_xlfn.MAXIFS(RSK_ASSDATE,RSK_SUP,A62))))</f>
        <v/>
      </c>
      <c r="R62" s="54" t="str">
        <f aca="false">IF(A62="","",IFERROR(IF(LEFT(INDEX(DEC_CURR,MATCH(A62&amp;"|Latest",DEC_KEY,0)),10)="Authorised",INDEX(DEC_FINAL,MATCH(A62&amp;"|Latest",DEC_KEY,0)),IF(INDEX(DEC_CURR,MATCH(A62&amp;"|Latest",DEC_KEY,0))="Review due soon",INDEX(DEC_FINAL,MATCH(A62&amp;"|Latest",DEC_KEY,0))&amp;" (review due soon)",INDEX(DEC_CURR,MATCH(A62&amp;"|Latest",DEC_KEY,0)))),IF(COUNTIFS(DEC_SUP,A62,DEC_LEVEL,"Yes")&gt;0,"Pending - no dated decision record","No decision recorded")))</f>
        <v/>
      </c>
      <c r="S62" s="53" t="str">
        <f aca="false">IF(A62="","",IFERROR(INDEX(MON_NEXTREV,MATCH(A62&amp;"|Latest",MON_KEY,0)),IF(Q62="","",IFERROR(EDATE(Q62,INDEX(TierMonths,MATCH(O62,TierNames,0))),""))))</f>
        <v/>
      </c>
      <c r="T62" s="54" t="str">
        <f aca="false">IF(A62="","",IF(G62="Exited","Not applicable (exited)",IF(S62="","Not scheduled",IF(S62&lt;AsOf,"Overdue (late - administrative, not a finding)",IF(S62&lt;=AsOf+WarnReviewDays,"Due soon","On schedule")))))</f>
        <v/>
      </c>
      <c r="U62" s="52" t="str">
        <f aca="false">IF(A62="","",IF(COUNTIF(INV_ID,A62)&gt;1,"CHECK: duplicate Supplier ID","OK"))</f>
        <v/>
      </c>
      <c r="V62" s="54" t="str">
        <f aca="false">IF(A62="","",IF(W62="","Complete","Incomplete: "&amp;W62))</f>
        <v/>
      </c>
      <c r="W62" s="52" t="str">
        <f aca="false">IF(A62="","",IF(B62="","name; ","")&amp;IF(C62="","service description; ","")&amp;IF(D62="","business owner; ","")&amp;IF(E62="","relationship owner; ","")&amp;IF(OR(AND(H62&lt;&gt;"",NOT(ISNUMBER(H62))),AND(I62&lt;&gt;"",NOT(ISNUMBER(I62))),AND(ISNUMBER(H62),ISNUMBER(I62),I62&lt;H62)),"contract dates invalid; ","")&amp;IF(OR(O62="Not classified",O62="Incomplete"),"classification incomplete; ",""))</f>
        <v/>
      </c>
    </row>
    <row r="63" customFormat="false" ht="15" hidden="false" customHeight="false" outlineLevel="0" collapsed="false">
      <c r="A63" s="50"/>
      <c r="B63" s="34"/>
      <c r="C63" s="34"/>
      <c r="D63" s="34"/>
      <c r="E63" s="34"/>
      <c r="F63" s="34"/>
      <c r="G63" s="50"/>
      <c r="H63" s="51"/>
      <c r="I63" s="51"/>
      <c r="J63" s="34"/>
      <c r="K63" s="34"/>
      <c r="L63" s="50"/>
      <c r="M63" s="34"/>
      <c r="N63" s="34"/>
      <c r="O63" s="52" t="str">
        <f aca="false">IF(A63="","",IFERROR(INDEX(CRT_TIER,MATCH(A63&amp;"|Current",CRT_KEY,0)),"Not classified"))</f>
        <v/>
      </c>
      <c r="P63" s="52" t="str">
        <f aca="false">IF(A63="","",IFERROR(INDEX(CRT_APPRDISP,MATCH(A63&amp;"|Current",CRT_KEY,0)),"Not classified"))</f>
        <v/>
      </c>
      <c r="Q63" s="53" t="str">
        <f aca="false">IF(A63="","",IF(MAX(_xlfn.MAXIFS(CRT_DATE,CRT_SUP,A63),_xlfn.MAXIFS(RSK_ASSDATE,RSK_SUP,A63))=0,"",MAX(_xlfn.MAXIFS(CRT_DATE,CRT_SUP,A63),_xlfn.MAXIFS(RSK_ASSDATE,RSK_SUP,A63))))</f>
        <v/>
      </c>
      <c r="R63" s="54" t="str">
        <f aca="false">IF(A63="","",IFERROR(IF(LEFT(INDEX(DEC_CURR,MATCH(A63&amp;"|Latest",DEC_KEY,0)),10)="Authorised",INDEX(DEC_FINAL,MATCH(A63&amp;"|Latest",DEC_KEY,0)),IF(INDEX(DEC_CURR,MATCH(A63&amp;"|Latest",DEC_KEY,0))="Review due soon",INDEX(DEC_FINAL,MATCH(A63&amp;"|Latest",DEC_KEY,0))&amp;" (review due soon)",INDEX(DEC_CURR,MATCH(A63&amp;"|Latest",DEC_KEY,0)))),IF(COUNTIFS(DEC_SUP,A63,DEC_LEVEL,"Yes")&gt;0,"Pending - no dated decision record","No decision recorded")))</f>
        <v/>
      </c>
      <c r="S63" s="53" t="str">
        <f aca="false">IF(A63="","",IFERROR(INDEX(MON_NEXTREV,MATCH(A63&amp;"|Latest",MON_KEY,0)),IF(Q63="","",IFERROR(EDATE(Q63,INDEX(TierMonths,MATCH(O63,TierNames,0))),""))))</f>
        <v/>
      </c>
      <c r="T63" s="54" t="str">
        <f aca="false">IF(A63="","",IF(G63="Exited","Not applicable (exited)",IF(S63="","Not scheduled",IF(S63&lt;AsOf,"Overdue (late - administrative, not a finding)",IF(S63&lt;=AsOf+WarnReviewDays,"Due soon","On schedule")))))</f>
        <v/>
      </c>
      <c r="U63" s="52" t="str">
        <f aca="false">IF(A63="","",IF(COUNTIF(INV_ID,A63)&gt;1,"CHECK: duplicate Supplier ID","OK"))</f>
        <v/>
      </c>
      <c r="V63" s="54" t="str">
        <f aca="false">IF(A63="","",IF(W63="","Complete","Incomplete: "&amp;W63))</f>
        <v/>
      </c>
      <c r="W63" s="52" t="str">
        <f aca="false">IF(A63="","",IF(B63="","name; ","")&amp;IF(C63="","service description; ","")&amp;IF(D63="","business owner; ","")&amp;IF(E63="","relationship owner; ","")&amp;IF(OR(AND(H63&lt;&gt;"",NOT(ISNUMBER(H63))),AND(I63&lt;&gt;"",NOT(ISNUMBER(I63))),AND(ISNUMBER(H63),ISNUMBER(I63),I63&lt;H63)),"contract dates invalid; ","")&amp;IF(OR(O63="Not classified",O63="Incomplete"),"classification incomplete; ",""))</f>
        <v/>
      </c>
    </row>
    <row r="64" customFormat="false" ht="15" hidden="false" customHeight="false" outlineLevel="0" collapsed="false">
      <c r="A64" s="50"/>
      <c r="B64" s="34"/>
      <c r="C64" s="34"/>
      <c r="D64" s="34"/>
      <c r="E64" s="34"/>
      <c r="F64" s="34"/>
      <c r="G64" s="50"/>
      <c r="H64" s="51"/>
      <c r="I64" s="51"/>
      <c r="J64" s="34"/>
      <c r="K64" s="34"/>
      <c r="L64" s="50"/>
      <c r="M64" s="34"/>
      <c r="N64" s="34"/>
      <c r="O64" s="52" t="str">
        <f aca="false">IF(A64="","",IFERROR(INDEX(CRT_TIER,MATCH(A64&amp;"|Current",CRT_KEY,0)),"Not classified"))</f>
        <v/>
      </c>
      <c r="P64" s="52" t="str">
        <f aca="false">IF(A64="","",IFERROR(INDEX(CRT_APPRDISP,MATCH(A64&amp;"|Current",CRT_KEY,0)),"Not classified"))</f>
        <v/>
      </c>
      <c r="Q64" s="53" t="str">
        <f aca="false">IF(A64="","",IF(MAX(_xlfn.MAXIFS(CRT_DATE,CRT_SUP,A64),_xlfn.MAXIFS(RSK_ASSDATE,RSK_SUP,A64))=0,"",MAX(_xlfn.MAXIFS(CRT_DATE,CRT_SUP,A64),_xlfn.MAXIFS(RSK_ASSDATE,RSK_SUP,A64))))</f>
        <v/>
      </c>
      <c r="R64" s="54" t="str">
        <f aca="false">IF(A64="","",IFERROR(IF(LEFT(INDEX(DEC_CURR,MATCH(A64&amp;"|Latest",DEC_KEY,0)),10)="Authorised",INDEX(DEC_FINAL,MATCH(A64&amp;"|Latest",DEC_KEY,0)),IF(INDEX(DEC_CURR,MATCH(A64&amp;"|Latest",DEC_KEY,0))="Review due soon",INDEX(DEC_FINAL,MATCH(A64&amp;"|Latest",DEC_KEY,0))&amp;" (review due soon)",INDEX(DEC_CURR,MATCH(A64&amp;"|Latest",DEC_KEY,0)))),IF(COUNTIFS(DEC_SUP,A64,DEC_LEVEL,"Yes")&gt;0,"Pending - no dated decision record","No decision recorded")))</f>
        <v/>
      </c>
      <c r="S64" s="53" t="str">
        <f aca="false">IF(A64="","",IFERROR(INDEX(MON_NEXTREV,MATCH(A64&amp;"|Latest",MON_KEY,0)),IF(Q64="","",IFERROR(EDATE(Q64,INDEX(TierMonths,MATCH(O64,TierNames,0))),""))))</f>
        <v/>
      </c>
      <c r="T64" s="54" t="str">
        <f aca="false">IF(A64="","",IF(G64="Exited","Not applicable (exited)",IF(S64="","Not scheduled",IF(S64&lt;AsOf,"Overdue (late - administrative, not a finding)",IF(S64&lt;=AsOf+WarnReviewDays,"Due soon","On schedule")))))</f>
        <v/>
      </c>
      <c r="U64" s="52" t="str">
        <f aca="false">IF(A64="","",IF(COUNTIF(INV_ID,A64)&gt;1,"CHECK: duplicate Supplier ID","OK"))</f>
        <v/>
      </c>
      <c r="V64" s="54" t="str">
        <f aca="false">IF(A64="","",IF(W64="","Complete","Incomplete: "&amp;W64))</f>
        <v/>
      </c>
      <c r="W64" s="52" t="str">
        <f aca="false">IF(A64="","",IF(B64="","name; ","")&amp;IF(C64="","service description; ","")&amp;IF(D64="","business owner; ","")&amp;IF(E64="","relationship owner; ","")&amp;IF(OR(AND(H64&lt;&gt;"",NOT(ISNUMBER(H64))),AND(I64&lt;&gt;"",NOT(ISNUMBER(I64))),AND(ISNUMBER(H64),ISNUMBER(I64),I64&lt;H64)),"contract dates invalid; ","")&amp;IF(OR(O64="Not classified",O64="Incomplete"),"classification incomplete; ",""))</f>
        <v/>
      </c>
    </row>
    <row r="65" customFormat="false" ht="15" hidden="false" customHeight="false" outlineLevel="0" collapsed="false">
      <c r="A65" s="50"/>
      <c r="B65" s="34"/>
      <c r="C65" s="34"/>
      <c r="D65" s="34"/>
      <c r="E65" s="34"/>
      <c r="F65" s="34"/>
      <c r="G65" s="50"/>
      <c r="H65" s="51"/>
      <c r="I65" s="51"/>
      <c r="J65" s="34"/>
      <c r="K65" s="34"/>
      <c r="L65" s="50"/>
      <c r="M65" s="34"/>
      <c r="N65" s="34"/>
      <c r="O65" s="52" t="str">
        <f aca="false">IF(A65="","",IFERROR(INDEX(CRT_TIER,MATCH(A65&amp;"|Current",CRT_KEY,0)),"Not classified"))</f>
        <v/>
      </c>
      <c r="P65" s="52" t="str">
        <f aca="false">IF(A65="","",IFERROR(INDEX(CRT_APPRDISP,MATCH(A65&amp;"|Current",CRT_KEY,0)),"Not classified"))</f>
        <v/>
      </c>
      <c r="Q65" s="53" t="str">
        <f aca="false">IF(A65="","",IF(MAX(_xlfn.MAXIFS(CRT_DATE,CRT_SUP,A65),_xlfn.MAXIFS(RSK_ASSDATE,RSK_SUP,A65))=0,"",MAX(_xlfn.MAXIFS(CRT_DATE,CRT_SUP,A65),_xlfn.MAXIFS(RSK_ASSDATE,RSK_SUP,A65))))</f>
        <v/>
      </c>
      <c r="R65" s="54" t="str">
        <f aca="false">IF(A65="","",IFERROR(IF(LEFT(INDEX(DEC_CURR,MATCH(A65&amp;"|Latest",DEC_KEY,0)),10)="Authorised",INDEX(DEC_FINAL,MATCH(A65&amp;"|Latest",DEC_KEY,0)),IF(INDEX(DEC_CURR,MATCH(A65&amp;"|Latest",DEC_KEY,0))="Review due soon",INDEX(DEC_FINAL,MATCH(A65&amp;"|Latest",DEC_KEY,0))&amp;" (review due soon)",INDEX(DEC_CURR,MATCH(A65&amp;"|Latest",DEC_KEY,0)))),IF(COUNTIFS(DEC_SUP,A65,DEC_LEVEL,"Yes")&gt;0,"Pending - no dated decision record","No decision recorded")))</f>
        <v/>
      </c>
      <c r="S65" s="53" t="str">
        <f aca="false">IF(A65="","",IFERROR(INDEX(MON_NEXTREV,MATCH(A65&amp;"|Latest",MON_KEY,0)),IF(Q65="","",IFERROR(EDATE(Q65,INDEX(TierMonths,MATCH(O65,TierNames,0))),""))))</f>
        <v/>
      </c>
      <c r="T65" s="54" t="str">
        <f aca="false">IF(A65="","",IF(G65="Exited","Not applicable (exited)",IF(S65="","Not scheduled",IF(S65&lt;AsOf,"Overdue (late - administrative, not a finding)",IF(S65&lt;=AsOf+WarnReviewDays,"Due soon","On schedule")))))</f>
        <v/>
      </c>
      <c r="U65" s="52" t="str">
        <f aca="false">IF(A65="","",IF(COUNTIF(INV_ID,A65)&gt;1,"CHECK: duplicate Supplier ID","OK"))</f>
        <v/>
      </c>
      <c r="V65" s="54" t="str">
        <f aca="false">IF(A65="","",IF(W65="","Complete","Incomplete: "&amp;W65))</f>
        <v/>
      </c>
      <c r="W65" s="52" t="str">
        <f aca="false">IF(A65="","",IF(B65="","name; ","")&amp;IF(C65="","service description; ","")&amp;IF(D65="","business owner; ","")&amp;IF(E65="","relationship owner; ","")&amp;IF(OR(AND(H65&lt;&gt;"",NOT(ISNUMBER(H65))),AND(I65&lt;&gt;"",NOT(ISNUMBER(I65))),AND(ISNUMBER(H65),ISNUMBER(I65),I65&lt;H65)),"contract dates invalid; ","")&amp;IF(OR(O65="Not classified",O65="Incomplete"),"classification incomplete; ",""))</f>
        <v/>
      </c>
    </row>
    <row r="66" customFormat="false" ht="15" hidden="false" customHeight="false" outlineLevel="0" collapsed="false">
      <c r="A66" s="50"/>
      <c r="B66" s="34"/>
      <c r="C66" s="34"/>
      <c r="D66" s="34"/>
      <c r="E66" s="34"/>
      <c r="F66" s="34"/>
      <c r="G66" s="50"/>
      <c r="H66" s="51"/>
      <c r="I66" s="51"/>
      <c r="J66" s="34"/>
      <c r="K66" s="34"/>
      <c r="L66" s="50"/>
      <c r="M66" s="34"/>
      <c r="N66" s="34"/>
      <c r="O66" s="52" t="str">
        <f aca="false">IF(A66="","",IFERROR(INDEX(CRT_TIER,MATCH(A66&amp;"|Current",CRT_KEY,0)),"Not classified"))</f>
        <v/>
      </c>
      <c r="P66" s="52" t="str">
        <f aca="false">IF(A66="","",IFERROR(INDEX(CRT_APPRDISP,MATCH(A66&amp;"|Current",CRT_KEY,0)),"Not classified"))</f>
        <v/>
      </c>
      <c r="Q66" s="53" t="str">
        <f aca="false">IF(A66="","",IF(MAX(_xlfn.MAXIFS(CRT_DATE,CRT_SUP,A66),_xlfn.MAXIFS(RSK_ASSDATE,RSK_SUP,A66))=0,"",MAX(_xlfn.MAXIFS(CRT_DATE,CRT_SUP,A66),_xlfn.MAXIFS(RSK_ASSDATE,RSK_SUP,A66))))</f>
        <v/>
      </c>
      <c r="R66" s="54" t="str">
        <f aca="false">IF(A66="","",IFERROR(IF(LEFT(INDEX(DEC_CURR,MATCH(A66&amp;"|Latest",DEC_KEY,0)),10)="Authorised",INDEX(DEC_FINAL,MATCH(A66&amp;"|Latest",DEC_KEY,0)),IF(INDEX(DEC_CURR,MATCH(A66&amp;"|Latest",DEC_KEY,0))="Review due soon",INDEX(DEC_FINAL,MATCH(A66&amp;"|Latest",DEC_KEY,0))&amp;" (review due soon)",INDEX(DEC_CURR,MATCH(A66&amp;"|Latest",DEC_KEY,0)))),IF(COUNTIFS(DEC_SUP,A66,DEC_LEVEL,"Yes")&gt;0,"Pending - no dated decision record","No decision recorded")))</f>
        <v/>
      </c>
      <c r="S66" s="53" t="str">
        <f aca="false">IF(A66="","",IFERROR(INDEX(MON_NEXTREV,MATCH(A66&amp;"|Latest",MON_KEY,0)),IF(Q66="","",IFERROR(EDATE(Q66,INDEX(TierMonths,MATCH(O66,TierNames,0))),""))))</f>
        <v/>
      </c>
      <c r="T66" s="54" t="str">
        <f aca="false">IF(A66="","",IF(G66="Exited","Not applicable (exited)",IF(S66="","Not scheduled",IF(S66&lt;AsOf,"Overdue (late - administrative, not a finding)",IF(S66&lt;=AsOf+WarnReviewDays,"Due soon","On schedule")))))</f>
        <v/>
      </c>
      <c r="U66" s="52" t="str">
        <f aca="false">IF(A66="","",IF(COUNTIF(INV_ID,A66)&gt;1,"CHECK: duplicate Supplier ID","OK"))</f>
        <v/>
      </c>
      <c r="V66" s="54" t="str">
        <f aca="false">IF(A66="","",IF(W66="","Complete","Incomplete: "&amp;W66))</f>
        <v/>
      </c>
      <c r="W66" s="52" t="str">
        <f aca="false">IF(A66="","",IF(B66="","name; ","")&amp;IF(C66="","service description; ","")&amp;IF(D66="","business owner; ","")&amp;IF(E66="","relationship owner; ","")&amp;IF(OR(AND(H66&lt;&gt;"",NOT(ISNUMBER(H66))),AND(I66&lt;&gt;"",NOT(ISNUMBER(I66))),AND(ISNUMBER(H66),ISNUMBER(I66),I66&lt;H66)),"contract dates invalid; ","")&amp;IF(OR(O66="Not classified",O66="Incomplete"),"classification incomplete; ",""))</f>
        <v/>
      </c>
    </row>
  </sheetData>
  <sheetProtection sheet="true" formatColumns="false" formatRows="false" sort="false" autoFilter="false"/>
  <conditionalFormatting sqref="P7:P66">
    <cfRule type="expression" priority="2" aboveAverage="0" equalAverage="0" bottom="0" percent="0" rank="0" text="" dxfId="0">
      <formula>OR(ISNUMBER(SEARCH("Above appetite",P7)),ISNUMBER(SEARCH("Overdue",P7)),ISNUMBER(SEARCH("Expired",P7)),ISNUMBER(SEARCH("Breach",P7)),ISNUMBER(SEARCH("CHECK",P7)),ISNUMBER(SEARCH("Not ready",P7)),ISNUMBER(SEARCH("REMAINS",P7)),ISNUMBER(SEARCH("Failed",P7)),ISNUMBER(SEARCH("Cannot assess",P7)))</formula>
    </cfRule>
    <cfRule type="expression" priority="3" aboveAverage="0" equalAverage="0" bottom="0" percent="0" rank="0" text="" dxfId="21">
      <formula>OR(ISNUMBER(SEARCH("Incomplete",P7)),ISNUMBER(SEARCH("Pending",P7)),ISNUMBER(SEARCH("Approaching",P7)),ISNUMBER(SEARCH("insufficient",P7)),ISNUMBER(SEARCH("Awaiting",P7)),ISNUMBER(SEARCH("Review due",P7)),ISNUMBER(SEARCH("Not configured",P7)),ISNUMBER(SEARCH("Not classified",P7)),ISNUMBER(SEARCH("Proposed",P7)),ISNUMBER(SEARCH("Verification",P7)),ISNUMBER(SEARCH("Scope limitation",P7)),ISNUMBER(SEARCH("Follow-up",P7)),ISNUMBER(SEARCH("Open gap",P7)),ISNUMBER(SEARCH("Delivered - verification",P7)),ISNUMBER(SEARCH("Historical",P7)),ISNUMBER(SEARCH("Not scheduled",P7)),ISNUMBER(SEARCH("Not determined",P7)),ISNUMBER(SEARCH("Decision record",P7)),ISNUMBER(SEARCH("Due soon",P7)),ISNUMBER(SEARCH("Not reviewed",P7)),ISNUMBER(SEARCH("Tier not",P7)),ISNUMBER(SEARCH("No decision",P7)),ISNUMBER(SEARCH("Superseded",P7)),ISNUMBER(SEARCH("Optional",P7)),ISNUMBER(SEARCH("legal review",P7)),ISNUMBER(SEARCH("No treatment",P7)),ISNUMBER(SEARCH("not recorded",P7)),ISNUMBER(SEARCH("consider",P7)),ISNUMBER(SEARCH("Not set",P7)),ISNUMBER(SEARCH("Not started",P7)),ISNUMBER(SEARCH("No expiry",P7)),ISNUMBER(SEARCH("No KRI",P7)),ISNUMBER(SEARCH("no reassessment",P7)),ISNUMBER(SEARCH("Applicability",P7)),ISNUMBER(SEARCH("Not current",P7)),ISNUMBER(SEARCH("assess relevance",P7)))</formula>
    </cfRule>
    <cfRule type="expression" priority="4" aboveAverage="0" equalAverage="0" bottom="0" percent="0" rank="0" text="" dxfId="22">
      <formula>OR(LEFT(P7,2)="OK",LEFT(P7,8)="Complete",LEFT(P7,7)="Current",LEFT(P7,10)="Authorised",LEFT(P7,6)="Within",LEFT(P7,11)="On schedule",LEFT(P7,17)="Ready for closure",LEFT(P7,17)="Evidence reviewed",LEFT(P7,19)="Decision referenced",LEFT(P7,27)="Reassessment event recorded",LEFT(P7,14)="Period current",LEFT(P7,17)="Gap dispositioned",LEFT(P7,17)="Reviewed - no gap",LEFT(P7,11)="Recommended",LEFT(P7,17)="Closed - verified")</formula>
    </cfRule>
  </conditionalFormatting>
  <conditionalFormatting sqref="R7:R66">
    <cfRule type="expression" priority="5" aboveAverage="0" equalAverage="0" bottom="0" percent="0" rank="0" text="" dxfId="0">
      <formula>OR(ISNUMBER(SEARCH("Above appetite",R7)),ISNUMBER(SEARCH("Overdue",R7)),ISNUMBER(SEARCH("Expired",R7)),ISNUMBER(SEARCH("Breach",R7)),ISNUMBER(SEARCH("CHECK",R7)),ISNUMBER(SEARCH("Not ready",R7)),ISNUMBER(SEARCH("REMAINS",R7)),ISNUMBER(SEARCH("Failed",R7)),ISNUMBER(SEARCH("Cannot assess",R7)))</formula>
    </cfRule>
    <cfRule type="expression" priority="6" aboveAverage="0" equalAverage="0" bottom="0" percent="0" rank="0" text="" dxfId="21">
      <formula>OR(ISNUMBER(SEARCH("Incomplete",R7)),ISNUMBER(SEARCH("Pending",R7)),ISNUMBER(SEARCH("Approaching",R7)),ISNUMBER(SEARCH("insufficient",R7)),ISNUMBER(SEARCH("Awaiting",R7)),ISNUMBER(SEARCH("Review due",R7)),ISNUMBER(SEARCH("Not configured",R7)),ISNUMBER(SEARCH("Not classified",R7)),ISNUMBER(SEARCH("Proposed",R7)),ISNUMBER(SEARCH("Verification",R7)),ISNUMBER(SEARCH("Scope limitation",R7)),ISNUMBER(SEARCH("Follow-up",R7)),ISNUMBER(SEARCH("Open gap",R7)),ISNUMBER(SEARCH("Delivered - verification",R7)),ISNUMBER(SEARCH("Historical",R7)),ISNUMBER(SEARCH("Not scheduled",R7)),ISNUMBER(SEARCH("Not determined",R7)),ISNUMBER(SEARCH("Decision record",R7)),ISNUMBER(SEARCH("Due soon",R7)),ISNUMBER(SEARCH("Not reviewed",R7)),ISNUMBER(SEARCH("Tier not",R7)),ISNUMBER(SEARCH("No decision",R7)),ISNUMBER(SEARCH("Superseded",R7)),ISNUMBER(SEARCH("Optional",R7)),ISNUMBER(SEARCH("legal review",R7)),ISNUMBER(SEARCH("No treatment",R7)),ISNUMBER(SEARCH("not recorded",R7)),ISNUMBER(SEARCH("consider",R7)),ISNUMBER(SEARCH("Not set",R7)),ISNUMBER(SEARCH("Not started",R7)),ISNUMBER(SEARCH("No expiry",R7)),ISNUMBER(SEARCH("No KRI",R7)),ISNUMBER(SEARCH("no reassessment",R7)),ISNUMBER(SEARCH("Applicability",R7)),ISNUMBER(SEARCH("Not current",R7)),ISNUMBER(SEARCH("assess relevance",R7)))</formula>
    </cfRule>
    <cfRule type="expression" priority="7" aboveAverage="0" equalAverage="0" bottom="0" percent="0" rank="0" text="" dxfId="22">
      <formula>OR(LEFT(R7,2)="OK",LEFT(R7,8)="Complete",LEFT(R7,7)="Current",LEFT(R7,10)="Authorised",LEFT(R7,6)="Within",LEFT(R7,11)="On schedule",LEFT(R7,17)="Ready for closure",LEFT(R7,17)="Evidence reviewed",LEFT(R7,19)="Decision referenced",LEFT(R7,27)="Reassessment event recorded",LEFT(R7,14)="Period current",LEFT(R7,17)="Gap dispositioned",LEFT(R7,17)="Reviewed - no gap",LEFT(R7,11)="Recommended",LEFT(R7,17)="Closed - verified")</formula>
    </cfRule>
  </conditionalFormatting>
  <conditionalFormatting sqref="T7:T66">
    <cfRule type="expression" priority="8" aboveAverage="0" equalAverage="0" bottom="0" percent="0" rank="0" text="" dxfId="0">
      <formula>OR(ISNUMBER(SEARCH("Above appetite",T7)),ISNUMBER(SEARCH("Overdue",T7)),ISNUMBER(SEARCH("Expired",T7)),ISNUMBER(SEARCH("Breach",T7)),ISNUMBER(SEARCH("CHECK",T7)),ISNUMBER(SEARCH("Not ready",T7)),ISNUMBER(SEARCH("REMAINS",T7)),ISNUMBER(SEARCH("Failed",T7)),ISNUMBER(SEARCH("Cannot assess",T7)))</formula>
    </cfRule>
    <cfRule type="expression" priority="9" aboveAverage="0" equalAverage="0" bottom="0" percent="0" rank="0" text="" dxfId="21">
      <formula>OR(ISNUMBER(SEARCH("Incomplete",T7)),ISNUMBER(SEARCH("Pending",T7)),ISNUMBER(SEARCH("Approaching",T7)),ISNUMBER(SEARCH("insufficient",T7)),ISNUMBER(SEARCH("Awaiting",T7)),ISNUMBER(SEARCH("Review due",T7)),ISNUMBER(SEARCH("Not configured",T7)),ISNUMBER(SEARCH("Not classified",T7)),ISNUMBER(SEARCH("Proposed",T7)),ISNUMBER(SEARCH("Verification",T7)),ISNUMBER(SEARCH("Scope limitation",T7)),ISNUMBER(SEARCH("Follow-up",T7)),ISNUMBER(SEARCH("Open gap",T7)),ISNUMBER(SEARCH("Delivered - verification",T7)),ISNUMBER(SEARCH("Historical",T7)),ISNUMBER(SEARCH("Not scheduled",T7)),ISNUMBER(SEARCH("Not determined",T7)),ISNUMBER(SEARCH("Decision record",T7)),ISNUMBER(SEARCH("Due soon",T7)),ISNUMBER(SEARCH("Not reviewed",T7)),ISNUMBER(SEARCH("Tier not",T7)),ISNUMBER(SEARCH("No decision",T7)),ISNUMBER(SEARCH("Superseded",T7)),ISNUMBER(SEARCH("Optional",T7)),ISNUMBER(SEARCH("legal review",T7)),ISNUMBER(SEARCH("No treatment",T7)),ISNUMBER(SEARCH("not recorded",T7)),ISNUMBER(SEARCH("consider",T7)),ISNUMBER(SEARCH("Not set",T7)),ISNUMBER(SEARCH("Not started",T7)),ISNUMBER(SEARCH("No expiry",T7)),ISNUMBER(SEARCH("No KRI",T7)),ISNUMBER(SEARCH("no reassessment",T7)),ISNUMBER(SEARCH("Applicability",T7)),ISNUMBER(SEARCH("Not current",T7)),ISNUMBER(SEARCH("assess relevance",T7)))</formula>
    </cfRule>
    <cfRule type="expression" priority="10" aboveAverage="0" equalAverage="0" bottom="0" percent="0" rank="0" text="" dxfId="22">
      <formula>OR(LEFT(T7,2)="OK",LEFT(T7,8)="Complete",LEFT(T7,7)="Current",LEFT(T7,10)="Authorised",LEFT(T7,6)="Within",LEFT(T7,11)="On schedule",LEFT(T7,17)="Ready for closure",LEFT(T7,17)="Evidence reviewed",LEFT(T7,19)="Decision referenced",LEFT(T7,27)="Reassessment event recorded",LEFT(T7,14)="Period current",LEFT(T7,17)="Gap dispositioned",LEFT(T7,17)="Reviewed - no gap",LEFT(T7,11)="Recommended",LEFT(T7,17)="Closed - verified")</formula>
    </cfRule>
  </conditionalFormatting>
  <conditionalFormatting sqref="U7:U66">
    <cfRule type="expression" priority="11" aboveAverage="0" equalAverage="0" bottom="0" percent="0" rank="0" text="" dxfId="0">
      <formula>OR(ISNUMBER(SEARCH("Above appetite",U7)),ISNUMBER(SEARCH("Overdue",U7)),ISNUMBER(SEARCH("Expired",U7)),ISNUMBER(SEARCH("Breach",U7)),ISNUMBER(SEARCH("CHECK",U7)),ISNUMBER(SEARCH("Not ready",U7)),ISNUMBER(SEARCH("REMAINS",U7)),ISNUMBER(SEARCH("Failed",U7)),ISNUMBER(SEARCH("Cannot assess",U7)))</formula>
    </cfRule>
    <cfRule type="expression" priority="12" aboveAverage="0" equalAverage="0" bottom="0" percent="0" rank="0" text="" dxfId="21">
      <formula>OR(ISNUMBER(SEARCH("Incomplete",U7)),ISNUMBER(SEARCH("Pending",U7)),ISNUMBER(SEARCH("Approaching",U7)),ISNUMBER(SEARCH("insufficient",U7)),ISNUMBER(SEARCH("Awaiting",U7)),ISNUMBER(SEARCH("Review due",U7)),ISNUMBER(SEARCH("Not configured",U7)),ISNUMBER(SEARCH("Not classified",U7)),ISNUMBER(SEARCH("Proposed",U7)),ISNUMBER(SEARCH("Verification",U7)),ISNUMBER(SEARCH("Scope limitation",U7)),ISNUMBER(SEARCH("Follow-up",U7)),ISNUMBER(SEARCH("Open gap",U7)),ISNUMBER(SEARCH("Delivered - verification",U7)),ISNUMBER(SEARCH("Historical",U7)),ISNUMBER(SEARCH("Not scheduled",U7)),ISNUMBER(SEARCH("Not determined",U7)),ISNUMBER(SEARCH("Decision record",U7)),ISNUMBER(SEARCH("Due soon",U7)),ISNUMBER(SEARCH("Not reviewed",U7)),ISNUMBER(SEARCH("Tier not",U7)),ISNUMBER(SEARCH("No decision",U7)),ISNUMBER(SEARCH("Superseded",U7)),ISNUMBER(SEARCH("Optional",U7)),ISNUMBER(SEARCH("legal review",U7)),ISNUMBER(SEARCH("No treatment",U7)),ISNUMBER(SEARCH("not recorded",U7)),ISNUMBER(SEARCH("consider",U7)),ISNUMBER(SEARCH("Not set",U7)),ISNUMBER(SEARCH("Not started",U7)),ISNUMBER(SEARCH("No expiry",U7)),ISNUMBER(SEARCH("No KRI",U7)),ISNUMBER(SEARCH("no reassessment",U7)),ISNUMBER(SEARCH("Applicability",U7)),ISNUMBER(SEARCH("Not current",U7)),ISNUMBER(SEARCH("assess relevance",U7)))</formula>
    </cfRule>
    <cfRule type="expression" priority="13" aboveAverage="0" equalAverage="0" bottom="0" percent="0" rank="0" text="" dxfId="22">
      <formula>OR(LEFT(U7,2)="OK",LEFT(U7,8)="Complete",LEFT(U7,7)="Current",LEFT(U7,10)="Authorised",LEFT(U7,6)="Within",LEFT(U7,11)="On schedule",LEFT(U7,17)="Ready for closure",LEFT(U7,17)="Evidence reviewed",LEFT(U7,19)="Decision referenced",LEFT(U7,27)="Reassessment event recorded",LEFT(U7,14)="Period current",LEFT(U7,17)="Gap dispositioned",LEFT(U7,17)="Reviewed - no gap",LEFT(U7,11)="Recommended",LEFT(U7,17)="Closed - verified")</formula>
    </cfRule>
  </conditionalFormatting>
  <conditionalFormatting sqref="V7:V66">
    <cfRule type="expression" priority="14" aboveAverage="0" equalAverage="0" bottom="0" percent="0" rank="0" text="" dxfId="0">
      <formula>OR(ISNUMBER(SEARCH("Above appetite",V7)),ISNUMBER(SEARCH("Overdue",V7)),ISNUMBER(SEARCH("Expired",V7)),ISNUMBER(SEARCH("Breach",V7)),ISNUMBER(SEARCH("CHECK",V7)),ISNUMBER(SEARCH("Not ready",V7)),ISNUMBER(SEARCH("REMAINS",V7)),ISNUMBER(SEARCH("Failed",V7)),ISNUMBER(SEARCH("Cannot assess",V7)))</formula>
    </cfRule>
    <cfRule type="expression" priority="15" aboveAverage="0" equalAverage="0" bottom="0" percent="0" rank="0" text="" dxfId="21">
      <formula>OR(ISNUMBER(SEARCH("Incomplete",V7)),ISNUMBER(SEARCH("Pending",V7)),ISNUMBER(SEARCH("Approaching",V7)),ISNUMBER(SEARCH("insufficient",V7)),ISNUMBER(SEARCH("Awaiting",V7)),ISNUMBER(SEARCH("Review due",V7)),ISNUMBER(SEARCH("Not configured",V7)),ISNUMBER(SEARCH("Not classified",V7)),ISNUMBER(SEARCH("Proposed",V7)),ISNUMBER(SEARCH("Verification",V7)),ISNUMBER(SEARCH("Scope limitation",V7)),ISNUMBER(SEARCH("Follow-up",V7)),ISNUMBER(SEARCH("Open gap",V7)),ISNUMBER(SEARCH("Delivered - verification",V7)),ISNUMBER(SEARCH("Historical",V7)),ISNUMBER(SEARCH("Not scheduled",V7)),ISNUMBER(SEARCH("Not determined",V7)),ISNUMBER(SEARCH("Decision record",V7)),ISNUMBER(SEARCH("Due soon",V7)),ISNUMBER(SEARCH("Not reviewed",V7)),ISNUMBER(SEARCH("Tier not",V7)),ISNUMBER(SEARCH("No decision",V7)),ISNUMBER(SEARCH("Superseded",V7)),ISNUMBER(SEARCH("Optional",V7)),ISNUMBER(SEARCH("legal review",V7)),ISNUMBER(SEARCH("No treatment",V7)),ISNUMBER(SEARCH("not recorded",V7)),ISNUMBER(SEARCH("consider",V7)),ISNUMBER(SEARCH("Not set",V7)),ISNUMBER(SEARCH("Not started",V7)),ISNUMBER(SEARCH("No expiry",V7)),ISNUMBER(SEARCH("No KRI",V7)),ISNUMBER(SEARCH("no reassessment",V7)),ISNUMBER(SEARCH("Applicability",V7)),ISNUMBER(SEARCH("Not current",V7)),ISNUMBER(SEARCH("assess relevance",V7)))</formula>
    </cfRule>
    <cfRule type="expression" priority="16" aboveAverage="0" equalAverage="0" bottom="0" percent="0" rank="0" text="" dxfId="22">
      <formula>OR(LEFT(V7,2)="OK",LEFT(V7,8)="Complete",LEFT(V7,7)="Current",LEFT(V7,10)="Authorised",LEFT(V7,6)="Within",LEFT(V7,11)="On schedule",LEFT(V7,17)="Ready for closure",LEFT(V7,17)="Evidence reviewed",LEFT(V7,19)="Decision referenced",LEFT(V7,27)="Reassessment event recorded",LEFT(V7,14)="Period current",LEFT(V7,17)="Gap dispositioned",LEFT(V7,17)="Reviewed - no gap",LEFT(V7,11)="Recommended",LEFT(V7,17)="Closed - verified")</formula>
    </cfRule>
  </conditionalFormatting>
  <conditionalFormatting sqref="W7:W66">
    <cfRule type="expression" priority="17" aboveAverage="0" equalAverage="0" bottom="0" percent="0" rank="0" text="" dxfId="0">
      <formula>OR(ISNUMBER(SEARCH("Above appetite",W7)),ISNUMBER(SEARCH("Overdue",W7)),ISNUMBER(SEARCH("Expired",W7)),ISNUMBER(SEARCH("Breach",W7)),ISNUMBER(SEARCH("CHECK",W7)),ISNUMBER(SEARCH("Not ready",W7)),ISNUMBER(SEARCH("REMAINS",W7)),ISNUMBER(SEARCH("Failed",W7)),ISNUMBER(SEARCH("Cannot assess",W7)))</formula>
    </cfRule>
    <cfRule type="expression" priority="18" aboveAverage="0" equalAverage="0" bottom="0" percent="0" rank="0" text="" dxfId="21">
      <formula>OR(ISNUMBER(SEARCH("Incomplete",W7)),ISNUMBER(SEARCH("Pending",W7)),ISNUMBER(SEARCH("Approaching",W7)),ISNUMBER(SEARCH("insufficient",W7)),ISNUMBER(SEARCH("Awaiting",W7)),ISNUMBER(SEARCH("Review due",W7)),ISNUMBER(SEARCH("Not configured",W7)),ISNUMBER(SEARCH("Not classified",W7)),ISNUMBER(SEARCH("Proposed",W7)),ISNUMBER(SEARCH("Verification",W7)),ISNUMBER(SEARCH("Scope limitation",W7)),ISNUMBER(SEARCH("Follow-up",W7)),ISNUMBER(SEARCH("Open gap",W7)),ISNUMBER(SEARCH("Delivered - verification",W7)),ISNUMBER(SEARCH("Historical",W7)),ISNUMBER(SEARCH("Not scheduled",W7)),ISNUMBER(SEARCH("Not determined",W7)),ISNUMBER(SEARCH("Decision record",W7)),ISNUMBER(SEARCH("Due soon",W7)),ISNUMBER(SEARCH("Not reviewed",W7)),ISNUMBER(SEARCH("Tier not",W7)),ISNUMBER(SEARCH("No decision",W7)),ISNUMBER(SEARCH("Superseded",W7)),ISNUMBER(SEARCH("Optional",W7)),ISNUMBER(SEARCH("legal review",W7)),ISNUMBER(SEARCH("No treatment",W7)),ISNUMBER(SEARCH("not recorded",W7)),ISNUMBER(SEARCH("consider",W7)),ISNUMBER(SEARCH("Not set",W7)),ISNUMBER(SEARCH("Not started",W7)),ISNUMBER(SEARCH("No expiry",W7)),ISNUMBER(SEARCH("No KRI",W7)),ISNUMBER(SEARCH("no reassessment",W7)),ISNUMBER(SEARCH("Applicability",W7)),ISNUMBER(SEARCH("Not current",W7)),ISNUMBER(SEARCH("assess relevance",W7)))</formula>
    </cfRule>
    <cfRule type="expression" priority="19" aboveAverage="0" equalAverage="0" bottom="0" percent="0" rank="0" text="" dxfId="22">
      <formula>OR(LEFT(W7,2)="OK",LEFT(W7,8)="Complete",LEFT(W7,7)="Current",LEFT(W7,10)="Authorised",LEFT(W7,6)="Within",LEFT(W7,11)="On schedule",LEFT(W7,17)="Ready for closure",LEFT(W7,17)="Evidence reviewed",LEFT(W7,19)="Decision referenced",LEFT(W7,27)="Reassessment event recorded",LEFT(W7,14)="Period current",LEFT(W7,17)="Gap dispositioned",LEFT(W7,17)="Reviewed - no gap",LEFT(W7,11)="Recommended",LEFT(W7,17)="Closed - verified")</formula>
    </cfRule>
  </conditionalFormatting>
  <conditionalFormatting sqref="A7:A66">
    <cfRule type="expression" priority="20" aboveAverage="0" equalAverage="0" bottom="0" percent="0" rank="0" text="" dxfId="0">
      <formula>AND(A7&lt;&gt;"",COUNTIF($A$7:$A$66,A7)&gt;1)</formula>
    </cfRule>
  </conditionalFormatting>
  <dataValidations count="3">
    <dataValidation allowBlank="true" error="Choose a value from the list (controlled vocabulary or an existing ID)." errorStyle="stop" errorTitle="Invalid entry" operator="between" showDropDown="false" showErrorMessage="true" showInputMessage="false" sqref="G7:G66" type="list">
      <formula1>L_SupStatus</formula1>
      <formula2>0</formula2>
    </dataValidation>
    <dataValidation allowBlank="true" error="Enter a valid date (on or after 1 Jan 2000)." errorStyle="stop" errorTitle="Invalid date" operator="greaterThanOrEqual" showDropDown="false" showErrorMessage="true" showInputMessage="false" sqref="H7:I66" type="date">
      <formula1>36526</formula1>
      <formula2>0</formula2>
    </dataValidation>
    <dataValidation allowBlank="true" error="Choose a value from the list (controlled vocabulary or an existing ID)." errorStyle="stop" errorTitle="Invalid entry" operator="between" showDropDown="false" showErrorMessage="true" showInputMessage="false" sqref="L7:L66" type="list">
      <formula1>L_Hosting</formula1>
      <formula2>0</formula2>
    </dataValidation>
  </dataValidations>
  <hyperlinks>
    <hyperlink ref="H1" r:id="rId1" location="'01%20Start%20Here'!A1" display="&lt;&lt; Back to Start Here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tableParts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Y6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6" topLeftCell="C7" activePane="bottomRight" state="frozen"/>
      <selection pane="topLeft" activeCell="A1" activeCellId="0" sqref="A1"/>
      <selection pane="topRight" activeCell="C1" activeCellId="0" sqref="C1"/>
      <selection pane="bottomLeft" activeCell="A7" activeCellId="0" sqref="A7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2" min="1" style="1" width="12"/>
    <col collapsed="false" customWidth="true" hidden="false" outlineLevel="0" max="3" min="3" style="1" width="26"/>
    <col collapsed="false" customWidth="true" hidden="false" outlineLevel="0" max="4" min="4" style="1" width="13"/>
    <col collapsed="false" customWidth="true" hidden="false" outlineLevel="0" max="8" min="5" style="1" width="12"/>
    <col collapsed="false" customWidth="true" hidden="false" outlineLevel="0" max="9" min="9" style="1" width="14"/>
    <col collapsed="false" customWidth="true" hidden="false" outlineLevel="0" max="14" min="10" style="1" width="28"/>
    <col collapsed="false" customWidth="true" hidden="false" outlineLevel="0" max="15" min="15" style="1" width="16"/>
    <col collapsed="false" customWidth="true" hidden="false" outlineLevel="0" max="16" min="16" style="1" width="18"/>
    <col collapsed="false" customWidth="true" hidden="false" outlineLevel="0" max="17" min="17" style="1" width="13"/>
    <col collapsed="false" customWidth="true" hidden="false" outlineLevel="0" max="18" min="18" style="1" width="22"/>
    <col collapsed="false" customWidth="true" hidden="false" outlineLevel="0" max="19" min="19" style="1" width="14"/>
    <col collapsed="false" customWidth="true" hidden="false" outlineLevel="0" max="20" min="20" style="1" width="34"/>
    <col collapsed="false" customWidth="true" hidden="false" outlineLevel="0" max="21" min="21" style="1" width="26"/>
    <col collapsed="false" customWidth="true" hidden="false" outlineLevel="0" max="22" min="22" style="1" width="24"/>
    <col collapsed="false" customWidth="true" hidden="false" outlineLevel="0" max="23" min="23" style="1" width="12"/>
    <col collapsed="false" customWidth="true" hidden="true" outlineLevel="0" max="24" min="24" style="1" width="10"/>
    <col collapsed="false" customWidth="true" hidden="false" outlineLevel="0" max="25" min="25" style="1" width="30"/>
  </cols>
  <sheetData>
    <row r="1" customFormat="false" ht="17.35" hidden="false" customHeight="false" outlineLevel="0" collapsed="false">
      <c r="A1" s="22" t="s">
        <v>525</v>
      </c>
      <c r="H1" s="10" t="s">
        <v>100</v>
      </c>
    </row>
    <row r="2" customFormat="false" ht="15" hidden="false" customHeight="false" outlineLevel="0" collapsed="false">
      <c r="A2" s="3" t="s">
        <v>526</v>
      </c>
    </row>
    <row r="3" customFormat="false" ht="15" hidden="false" customHeight="false" outlineLevel="0" collapsed="false">
      <c r="A3" s="4" t="s">
        <v>527</v>
      </c>
    </row>
    <row r="4" customFormat="false" ht="24" hidden="false" customHeight="true" outlineLevel="0" collapsed="false">
      <c r="A4" s="45" t="s">
        <v>69</v>
      </c>
      <c r="B4" s="45" t="s">
        <v>69</v>
      </c>
      <c r="C4" s="55" t="s">
        <v>73</v>
      </c>
      <c r="D4" s="45" t="s">
        <v>69</v>
      </c>
      <c r="E4" s="45" t="s">
        <v>69</v>
      </c>
      <c r="F4" s="45" t="s">
        <v>69</v>
      </c>
      <c r="G4" s="45" t="s">
        <v>69</v>
      </c>
      <c r="H4" s="45" t="s">
        <v>69</v>
      </c>
      <c r="I4" s="45" t="s">
        <v>69</v>
      </c>
      <c r="J4" s="45" t="s">
        <v>69</v>
      </c>
      <c r="K4" s="45" t="s">
        <v>69</v>
      </c>
      <c r="L4" s="45" t="s">
        <v>69</v>
      </c>
      <c r="M4" s="45" t="s">
        <v>69</v>
      </c>
      <c r="N4" s="45" t="s">
        <v>69</v>
      </c>
      <c r="O4" s="45" t="s">
        <v>69</v>
      </c>
      <c r="P4" s="45" t="s">
        <v>69</v>
      </c>
      <c r="Q4" s="45" t="s">
        <v>69</v>
      </c>
      <c r="R4" s="56" t="s">
        <v>75</v>
      </c>
      <c r="S4" s="46" t="s">
        <v>442</v>
      </c>
      <c r="T4" s="46" t="s">
        <v>442</v>
      </c>
      <c r="U4" s="46" t="s">
        <v>442</v>
      </c>
      <c r="V4" s="46" t="s">
        <v>442</v>
      </c>
      <c r="W4" s="46" t="s">
        <v>442</v>
      </c>
      <c r="X4" s="46" t="s">
        <v>442</v>
      </c>
      <c r="Y4" s="46" t="s">
        <v>442</v>
      </c>
    </row>
    <row r="5" customFormat="false" ht="30" hidden="false" customHeight="true" outlineLevel="0" collapsed="false">
      <c r="A5" s="47" t="s">
        <v>528</v>
      </c>
      <c r="B5" s="47" t="s">
        <v>443</v>
      </c>
      <c r="C5" s="47"/>
      <c r="D5" s="47" t="s">
        <v>529</v>
      </c>
      <c r="E5" s="47" t="s">
        <v>530</v>
      </c>
      <c r="F5" s="47" t="s">
        <v>530</v>
      </c>
      <c r="G5" s="47" t="s">
        <v>531</v>
      </c>
      <c r="H5" s="47" t="s">
        <v>530</v>
      </c>
      <c r="I5" s="47" t="s">
        <v>531</v>
      </c>
      <c r="J5" s="47" t="s">
        <v>532</v>
      </c>
      <c r="K5" s="47"/>
      <c r="L5" s="47"/>
      <c r="M5" s="47"/>
      <c r="N5" s="47"/>
      <c r="O5" s="47" t="s">
        <v>533</v>
      </c>
      <c r="P5" s="47" t="s">
        <v>534</v>
      </c>
      <c r="Q5" s="47" t="s">
        <v>535</v>
      </c>
      <c r="R5" s="47" t="s">
        <v>536</v>
      </c>
      <c r="S5" s="47"/>
      <c r="T5" s="47"/>
      <c r="U5" s="47"/>
      <c r="V5" s="47"/>
      <c r="W5" s="47"/>
      <c r="X5" s="47"/>
      <c r="Y5" s="47"/>
    </row>
    <row r="6" customFormat="false" ht="48" hidden="false" customHeight="true" outlineLevel="0" collapsed="false">
      <c r="A6" s="48" t="s">
        <v>537</v>
      </c>
      <c r="B6" s="48" t="s">
        <v>456</v>
      </c>
      <c r="C6" s="57" t="s">
        <v>538</v>
      </c>
      <c r="D6" s="48" t="s">
        <v>539</v>
      </c>
      <c r="E6" s="48" t="s">
        <v>540</v>
      </c>
      <c r="F6" s="48" t="s">
        <v>541</v>
      </c>
      <c r="G6" s="48" t="s">
        <v>542</v>
      </c>
      <c r="H6" s="48" t="s">
        <v>543</v>
      </c>
      <c r="I6" s="48" t="s">
        <v>544</v>
      </c>
      <c r="J6" s="48" t="s">
        <v>545</v>
      </c>
      <c r="K6" s="48" t="s">
        <v>546</v>
      </c>
      <c r="L6" s="48" t="s">
        <v>547</v>
      </c>
      <c r="M6" s="48" t="s">
        <v>548</v>
      </c>
      <c r="N6" s="48" t="s">
        <v>549</v>
      </c>
      <c r="O6" s="48" t="s">
        <v>550</v>
      </c>
      <c r="P6" s="48" t="s">
        <v>551</v>
      </c>
      <c r="Q6" s="48" t="s">
        <v>552</v>
      </c>
      <c r="R6" s="58" t="s">
        <v>553</v>
      </c>
      <c r="S6" s="49" t="s">
        <v>554</v>
      </c>
      <c r="T6" s="49" t="s">
        <v>555</v>
      </c>
      <c r="U6" s="49" t="s">
        <v>556</v>
      </c>
      <c r="V6" s="49" t="s">
        <v>557</v>
      </c>
      <c r="W6" s="49" t="s">
        <v>558</v>
      </c>
      <c r="X6" s="49" t="s">
        <v>559</v>
      </c>
      <c r="Y6" s="49" t="s">
        <v>560</v>
      </c>
    </row>
    <row r="7" customFormat="false" ht="46.25" hidden="false" customHeight="false" outlineLevel="0" collapsed="false">
      <c r="A7" s="50" t="s">
        <v>561</v>
      </c>
      <c r="B7" s="50" t="s">
        <v>479</v>
      </c>
      <c r="C7" s="59" t="str">
        <f aca="false">IF(B7="","",IFERROR(INDEX(INV_NAME,MATCH(B7,INV_ID,0)),"CHECK: Supplier ID not found"))</f>
        <v>Northwind Cloud Hosting Ltd</v>
      </c>
      <c r="D7" s="51" t="n">
        <v>46246</v>
      </c>
      <c r="E7" s="50" t="n">
        <v>3</v>
      </c>
      <c r="F7" s="50" t="n">
        <v>3</v>
      </c>
      <c r="G7" s="50" t="n">
        <v>3</v>
      </c>
      <c r="H7" s="50" t="n">
        <v>3</v>
      </c>
      <c r="I7" s="50" t="n">
        <v>3</v>
      </c>
      <c r="J7" s="34" t="s">
        <v>562</v>
      </c>
      <c r="K7" s="34" t="s">
        <v>563</v>
      </c>
      <c r="L7" s="34" t="s">
        <v>564</v>
      </c>
      <c r="M7" s="34" t="s">
        <v>565</v>
      </c>
      <c r="N7" s="34" t="s">
        <v>566</v>
      </c>
      <c r="O7" s="50" t="s">
        <v>318</v>
      </c>
      <c r="P7" s="50" t="s">
        <v>567</v>
      </c>
      <c r="Q7" s="51" t="n">
        <v>46253</v>
      </c>
      <c r="R7" s="60" t="s">
        <v>265</v>
      </c>
      <c r="S7" s="52" t="str">
        <f aca="false">IF(A7="","",IF(COUNTIFS(E7:I7,"&gt;=1",E7:I7,"&lt;=3")&lt;5,"Incomplete",IF(SUMPRODUCT(--(MOD(E7:I7,1)&lt;&gt;0))&gt;0,"Incomplete",IF(MAX(E7:I7)=3,"High",IF(MAX(E7:I7)=2,"Medium","Low")))))</f>
        <v>High</v>
      </c>
      <c r="T7" s="54" t="str">
        <f aca="false">IF(A7="","",IFERROR(INDEX(TierDD,MATCH(S7,TierNames,0)),"Not determined"))</f>
        <v>Full due diligence: tailored questionnaire, independent assurance evidence, control assessment, contract review, senior decision</v>
      </c>
      <c r="U7" s="54" t="str">
        <f aca="false">IF(A7="","",IF(AND(COUNT(E7:I7)=5,COUNTA(J7:N7)=5),"None",IF(COUNT(E7:I7)&lt;5,"Ratings missing: "&amp;(5-COUNT(E7:I7))&amp;". ","")&amp;IF(COUNTA(J7:N7)&lt;5,"Rationale missing: "&amp;(5-COUNTA(J7:N7))&amp;".","")))</f>
        <v>None</v>
      </c>
      <c r="V7" s="54" t="str">
        <f aca="false">IF(A7="","",IF(R7="","Proposed - not confirmed",R7))</f>
        <v>Approved</v>
      </c>
      <c r="W7" s="52" t="str">
        <f aca="false">IF(OR(A7="",B7=""),"",IF(COUNTIFS(CRT_SUP,B7,CRT_DATE,"&gt;"&amp;N(D7))=0,"Current","Superseded"))</f>
        <v>Current</v>
      </c>
      <c r="X7" s="52" t="str">
        <f aca="false">IF(W7="","",B7&amp;"|"&amp;W7)</f>
        <v>SUP-001|Current</v>
      </c>
      <c r="Y7" s="54" t="str">
        <f aca="false">IF(A7="","",IF(COUNTIF(CRT_ID,A7)&gt;1,"CHECK: duplicate ID",IF(B7="","CHECK: Supplier ID missing",IF(COUNTIF(INV_ID,B7)=0,"CHECK: Supplier ID not in inventory",IF(AND(W7="Current",COUNTIF(CRT_KEY,X7)&gt;1),"CHECK: two current assessments for supplier","OK")))))</f>
        <v>OK</v>
      </c>
    </row>
    <row r="8" customFormat="false" ht="46.25" hidden="false" customHeight="false" outlineLevel="0" collapsed="false">
      <c r="A8" s="50" t="s">
        <v>568</v>
      </c>
      <c r="B8" s="50" t="s">
        <v>489</v>
      </c>
      <c r="C8" s="59" t="str">
        <f aca="false">IF(B8="","",IFERROR(INDEX(INV_NAME,MATCH(B8,INV_ID,0)),"CHECK: Supplier ID not found"))</f>
        <v>SupportLoop Ltd</v>
      </c>
      <c r="D8" s="51" t="n">
        <v>46248</v>
      </c>
      <c r="E8" s="50" t="n">
        <v>2</v>
      </c>
      <c r="F8" s="50" t="n">
        <v>3</v>
      </c>
      <c r="G8" s="50" t="n">
        <v>2</v>
      </c>
      <c r="H8" s="50" t="n">
        <v>2</v>
      </c>
      <c r="I8" s="50" t="n">
        <v>2</v>
      </c>
      <c r="J8" s="34" t="s">
        <v>569</v>
      </c>
      <c r="K8" s="34" t="s">
        <v>570</v>
      </c>
      <c r="L8" s="34" t="s">
        <v>571</v>
      </c>
      <c r="M8" s="34" t="s">
        <v>572</v>
      </c>
      <c r="N8" s="34" t="s">
        <v>573</v>
      </c>
      <c r="O8" s="50" t="s">
        <v>318</v>
      </c>
      <c r="P8" s="50" t="s">
        <v>567</v>
      </c>
      <c r="Q8" s="51" t="n">
        <v>46253</v>
      </c>
      <c r="R8" s="60" t="s">
        <v>244</v>
      </c>
      <c r="S8" s="52" t="str">
        <f aca="false">IF(A8="","",IF(COUNTIFS(E8:I8,"&gt;=1",E8:I8,"&lt;=3")&lt;5,"Incomplete",IF(SUMPRODUCT(--(MOD(E8:I8,1)&lt;&gt;0))&gt;0,"Incomplete",IF(MAX(E8:I8)=3,"High",IF(MAX(E8:I8)=2,"Medium","Low")))))</f>
        <v>High</v>
      </c>
      <c r="T8" s="54" t="str">
        <f aca="false">IF(A8="","",IFERROR(INDEX(TierDD,MATCH(S8,TierNames,0)),"Not determined"))</f>
        <v>Full due diligence: tailored questionnaire, independent assurance evidence, control assessment, contract review, senior decision</v>
      </c>
      <c r="U8" s="54" t="str">
        <f aca="false">IF(A8="","",IF(AND(COUNT(E8:I8)=5,COUNTA(J8:N8)=5),"None",IF(COUNT(E8:I8)&lt;5,"Ratings missing: "&amp;(5-COUNT(E8:I8))&amp;". ","")&amp;IF(COUNTA(J8:N8)&lt;5,"Rationale missing: "&amp;(5-COUNTA(J8:N8))&amp;".","")))</f>
        <v>None</v>
      </c>
      <c r="V8" s="54" t="str">
        <f aca="false">IF(A8="","",IF(R8="","Proposed - not confirmed",R8))</f>
        <v>Confirmed by business owner</v>
      </c>
      <c r="W8" s="52" t="str">
        <f aca="false">IF(OR(A8="",B8=""),"",IF(COUNTIFS(CRT_SUP,B8,CRT_DATE,"&gt;"&amp;N(D8))=0,"Current","Superseded"))</f>
        <v>Current</v>
      </c>
      <c r="X8" s="52" t="str">
        <f aca="false">IF(W8="","",B8&amp;"|"&amp;W8)</f>
        <v>SUP-002|Current</v>
      </c>
      <c r="Y8" s="54" t="str">
        <f aca="false">IF(A8="","",IF(COUNTIF(CRT_ID,A8)&gt;1,"CHECK: duplicate ID",IF(B8="","CHECK: Supplier ID missing",IF(COUNTIF(INV_ID,B8)=0,"CHECK: Supplier ID not in inventory",IF(AND(W8="Current",COUNTIF(CRT_KEY,X8)&gt;1),"CHECK: two current assessments for supplier","OK")))))</f>
        <v>OK</v>
      </c>
    </row>
    <row r="9" customFormat="false" ht="23.85" hidden="false" customHeight="false" outlineLevel="0" collapsed="false">
      <c r="A9" s="50" t="s">
        <v>574</v>
      </c>
      <c r="B9" s="50" t="s">
        <v>499</v>
      </c>
      <c r="C9" s="59" t="str">
        <f aca="false">IF(B9="","",IFERROR(INDEX(INV_NAME,MATCH(B9,INV_ID,0)),"CHECK: Supplier ID not found"))</f>
        <v>BrightDesk Office Supplies</v>
      </c>
      <c r="D9" s="51" t="n">
        <v>46248</v>
      </c>
      <c r="E9" s="50" t="n">
        <v>1</v>
      </c>
      <c r="F9" s="50" t="n">
        <v>1</v>
      </c>
      <c r="G9" s="50" t="n">
        <v>1</v>
      </c>
      <c r="H9" s="50" t="n">
        <v>1</v>
      </c>
      <c r="I9" s="50" t="n">
        <v>1</v>
      </c>
      <c r="J9" s="34" t="s">
        <v>575</v>
      </c>
      <c r="K9" s="34" t="s">
        <v>576</v>
      </c>
      <c r="L9" s="34" t="s">
        <v>577</v>
      </c>
      <c r="M9" s="34" t="s">
        <v>578</v>
      </c>
      <c r="N9" s="34" t="s">
        <v>579</v>
      </c>
      <c r="O9" s="50" t="s">
        <v>280</v>
      </c>
      <c r="P9" s="50" t="s">
        <v>567</v>
      </c>
      <c r="Q9" s="51" t="n">
        <v>46253</v>
      </c>
      <c r="R9" s="60"/>
      <c r="S9" s="52" t="str">
        <f aca="false">IF(A9="","",IF(COUNTIFS(E9:I9,"&gt;=1",E9:I9,"&lt;=3")&lt;5,"Incomplete",IF(SUMPRODUCT(--(MOD(E9:I9,1)&lt;&gt;0))&gt;0,"Incomplete",IF(MAX(E9:I9)=3,"High",IF(MAX(E9:I9)=2,"Medium","Low")))))</f>
        <v>Low</v>
      </c>
      <c r="T9" s="54" t="str">
        <f aca="false">IF(A9="","",IFERROR(INDEX(TierDD,MATCH(S9,TierNames,0)),"Not determined"))</f>
        <v>Light-touch: basic checks, standard contract terms, periodic attestation</v>
      </c>
      <c r="U9" s="54" t="str">
        <f aca="false">IF(A9="","",IF(AND(COUNT(E9:I9)=5,COUNTA(J9:N9)=5),"None",IF(COUNT(E9:I9)&lt;5,"Ratings missing: "&amp;(5-COUNT(E9:I9))&amp;". ","")&amp;IF(COUNTA(J9:N9)&lt;5,"Rationale missing: "&amp;(5-COUNTA(J9:N9))&amp;".","")))</f>
        <v>None</v>
      </c>
      <c r="V9" s="54" t="str">
        <f aca="false">IF(A9="","",IF(R9="","Proposed - not confirmed",R9))</f>
        <v>Proposed - not confirmed</v>
      </c>
      <c r="W9" s="52" t="str">
        <f aca="false">IF(OR(A9="",B9=""),"",IF(COUNTIFS(CRT_SUP,B9,CRT_DATE,"&gt;"&amp;N(D9))=0,"Current","Superseded"))</f>
        <v>Current</v>
      </c>
      <c r="X9" s="52" t="str">
        <f aca="false">IF(W9="","",B9&amp;"|"&amp;W9)</f>
        <v>SUP-003|Current</v>
      </c>
      <c r="Y9" s="54" t="str">
        <f aca="false">IF(A9="","",IF(COUNTIF(CRT_ID,A9)&gt;1,"CHECK: duplicate ID",IF(B9="","CHECK: Supplier ID missing",IF(COUNTIF(INV_ID,B9)=0,"CHECK: Supplier ID not in inventory",IF(AND(W9="Current",COUNTIF(CRT_KEY,X9)&gt;1),"CHECK: two current assessments for supplier","OK")))))</f>
        <v>OK</v>
      </c>
    </row>
    <row r="10" customFormat="false" ht="35.05" hidden="false" customHeight="false" outlineLevel="0" collapsed="false">
      <c r="A10" s="50" t="s">
        <v>580</v>
      </c>
      <c r="B10" s="50" t="s">
        <v>506</v>
      </c>
      <c r="C10" s="59" t="str">
        <f aca="false">IF(B10="","",IFERROR(INDEX(INV_NAME,MATCH(B10,INV_ID,0)),"CHECK: Supplier ID not found"))</f>
        <v>Cleanwell Facilities Ltd</v>
      </c>
      <c r="D10" s="51" t="n">
        <v>46249</v>
      </c>
      <c r="E10" s="50" t="n">
        <v>1</v>
      </c>
      <c r="F10" s="50" t="n">
        <v>1</v>
      </c>
      <c r="G10" s="50" t="n">
        <v>2</v>
      </c>
      <c r="H10" s="50" t="n">
        <v>1</v>
      </c>
      <c r="I10" s="50" t="n">
        <v>1</v>
      </c>
      <c r="J10" s="34" t="s">
        <v>581</v>
      </c>
      <c r="K10" s="34" t="s">
        <v>582</v>
      </c>
      <c r="L10" s="34" t="s">
        <v>583</v>
      </c>
      <c r="M10" s="34" t="s">
        <v>584</v>
      </c>
      <c r="N10" s="34" t="s">
        <v>585</v>
      </c>
      <c r="O10" s="50" t="s">
        <v>318</v>
      </c>
      <c r="P10" s="50" t="s">
        <v>567</v>
      </c>
      <c r="Q10" s="51" t="n">
        <v>46253</v>
      </c>
      <c r="R10" s="60" t="s">
        <v>244</v>
      </c>
      <c r="S10" s="52" t="str">
        <f aca="false">IF(A10="","",IF(COUNTIFS(E10:I10,"&gt;=1",E10:I10,"&lt;=3")&lt;5,"Incomplete",IF(SUMPRODUCT(--(MOD(E10:I10,1)&lt;&gt;0))&gt;0,"Incomplete",IF(MAX(E10:I10)=3,"High",IF(MAX(E10:I10)=2,"Medium","Low")))))</f>
        <v>Medium</v>
      </c>
      <c r="T10" s="54" t="str">
        <f aca="false">IF(A10="","",IFERROR(INDEX(TierDD,MATCH(S10,TierNames,0)),"Not determined"))</f>
        <v>Standard due diligence: core questionnaire, key evidence, contract review, risk-owner decision</v>
      </c>
      <c r="U10" s="54" t="str">
        <f aca="false">IF(A10="","",IF(AND(COUNT(E10:I10)=5,COUNTA(J10:N10)=5),"None",IF(COUNT(E10:I10)&lt;5,"Ratings missing: "&amp;(5-COUNT(E10:I10))&amp;". ","")&amp;IF(COUNTA(J10:N10)&lt;5,"Rationale missing: "&amp;(5-COUNTA(J10:N10))&amp;".","")))</f>
        <v>None</v>
      </c>
      <c r="V10" s="54" t="str">
        <f aca="false">IF(A10="","",IF(R10="","Proposed - not confirmed",R10))</f>
        <v>Confirmed by business owner</v>
      </c>
      <c r="W10" s="52" t="str">
        <f aca="false">IF(OR(A10="",B10=""),"",IF(COUNTIFS(CRT_SUP,B10,CRT_DATE,"&gt;"&amp;N(D10))=0,"Current","Superseded"))</f>
        <v>Current</v>
      </c>
      <c r="X10" s="52" t="str">
        <f aca="false">IF(W10="","",B10&amp;"|"&amp;W10)</f>
        <v>SUP-004|Current</v>
      </c>
      <c r="Y10" s="54" t="str">
        <f aca="false">IF(A10="","",IF(COUNTIF(CRT_ID,A10)&gt;1,"CHECK: duplicate ID",IF(B10="","CHECK: Supplier ID missing",IF(COUNTIF(INV_ID,B10)=0,"CHECK: Supplier ID not in inventory",IF(AND(W10="Current",COUNTIF(CRT_KEY,X10)&gt;1),"CHECK: two current assessments for supplier","OK")))))</f>
        <v>OK</v>
      </c>
    </row>
    <row r="11" customFormat="false" ht="46.25" hidden="false" customHeight="false" outlineLevel="0" collapsed="false">
      <c r="A11" s="50" t="s">
        <v>586</v>
      </c>
      <c r="B11" s="50" t="s">
        <v>515</v>
      </c>
      <c r="C11" s="59" t="str">
        <f aca="false">IF(B11="","",IFERROR(INDEX(INV_NAME,MATCH(B11,INV_ID,0)),"CHECK: Supplier ID not found"))</f>
        <v>Datavault Backup Services Ltd</v>
      </c>
      <c r="D11" s="51" t="n">
        <v>46223</v>
      </c>
      <c r="E11" s="50" t="n">
        <v>2</v>
      </c>
      <c r="F11" s="50" t="n">
        <v>3</v>
      </c>
      <c r="G11" s="50" t="n">
        <v>1</v>
      </c>
      <c r="H11" s="50" t="n">
        <v>2</v>
      </c>
      <c r="I11" s="50" t="n">
        <v>2</v>
      </c>
      <c r="J11" s="34" t="s">
        <v>587</v>
      </c>
      <c r="K11" s="34" t="s">
        <v>588</v>
      </c>
      <c r="L11" s="34" t="s">
        <v>589</v>
      </c>
      <c r="M11" s="34" t="s">
        <v>590</v>
      </c>
      <c r="N11" s="34" t="s">
        <v>591</v>
      </c>
      <c r="O11" s="50" t="s">
        <v>318</v>
      </c>
      <c r="P11" s="50" t="s">
        <v>567</v>
      </c>
      <c r="Q11" s="51" t="n">
        <v>46230</v>
      </c>
      <c r="R11" s="60" t="s">
        <v>244</v>
      </c>
      <c r="S11" s="52" t="str">
        <f aca="false">IF(A11="","",IF(COUNTIFS(E11:I11,"&gt;=1",E11:I11,"&lt;=3")&lt;5,"Incomplete",IF(SUMPRODUCT(--(MOD(E11:I11,1)&lt;&gt;0))&gt;0,"Incomplete",IF(MAX(E11:I11)=3,"High",IF(MAX(E11:I11)=2,"Medium","Low")))))</f>
        <v>High</v>
      </c>
      <c r="T11" s="54" t="str">
        <f aca="false">IF(A11="","",IFERROR(INDEX(TierDD,MATCH(S11,TierNames,0)),"Not determined"))</f>
        <v>Full due diligence: tailored questionnaire, independent assurance evidence, control assessment, contract review, senior decision</v>
      </c>
      <c r="U11" s="54" t="str">
        <f aca="false">IF(A11="","",IF(AND(COUNT(E11:I11)=5,COUNTA(J11:N11)=5),"None",IF(COUNT(E11:I11)&lt;5,"Ratings missing: "&amp;(5-COUNT(E11:I11))&amp;". ","")&amp;IF(COUNTA(J11:N11)&lt;5,"Rationale missing: "&amp;(5-COUNTA(J11:N11))&amp;".","")))</f>
        <v>None</v>
      </c>
      <c r="V11" s="54" t="str">
        <f aca="false">IF(A11="","",IF(R11="","Proposed - not confirmed",R11))</f>
        <v>Confirmed by business owner</v>
      </c>
      <c r="W11" s="52" t="str">
        <f aca="false">IF(OR(A11="",B11=""),"",IF(COUNTIFS(CRT_SUP,B11,CRT_DATE,"&gt;"&amp;N(D11))=0,"Current","Superseded"))</f>
        <v>Current</v>
      </c>
      <c r="X11" s="52" t="str">
        <f aca="false">IF(W11="","",B11&amp;"|"&amp;W11)</f>
        <v>SUP-005|Current</v>
      </c>
      <c r="Y11" s="54" t="str">
        <f aca="false">IF(A11="","",IF(COUNTIF(CRT_ID,A11)&gt;1,"CHECK: duplicate ID",IF(B11="","CHECK: Supplier ID missing",IF(COUNTIF(INV_ID,B11)=0,"CHECK: Supplier ID not in inventory",IF(AND(W11="Current",COUNTIF(CRT_KEY,X11)&gt;1),"CHECK: two current assessments for supplier","OK")))))</f>
        <v>OK</v>
      </c>
    </row>
    <row r="12" customFormat="false" ht="15" hidden="false" customHeight="false" outlineLevel="0" collapsed="false">
      <c r="A12" s="50"/>
      <c r="B12" s="50"/>
      <c r="C12" s="59" t="str">
        <f aca="false">IF(B12="","",IFERROR(INDEX(INV_NAME,MATCH(B12,INV_ID,0)),"CHECK: Supplier ID not found"))</f>
        <v/>
      </c>
      <c r="D12" s="51"/>
      <c r="E12" s="50"/>
      <c r="F12" s="50"/>
      <c r="G12" s="50"/>
      <c r="H12" s="50"/>
      <c r="I12" s="50"/>
      <c r="J12" s="34"/>
      <c r="K12" s="34"/>
      <c r="L12" s="34"/>
      <c r="M12" s="34"/>
      <c r="N12" s="34"/>
      <c r="O12" s="50"/>
      <c r="P12" s="50"/>
      <c r="Q12" s="51"/>
      <c r="R12" s="60"/>
      <c r="S12" s="52" t="str">
        <f aca="false">IF(A12="","",IF(COUNTIFS(E12:I12,"&gt;=1",E12:I12,"&lt;=3")&lt;5,"Incomplete",IF(SUMPRODUCT(--(MOD(E12:I12,1)&lt;&gt;0))&gt;0,"Incomplete",IF(MAX(E12:I12)=3,"High",IF(MAX(E12:I12)=2,"Medium","Low")))))</f>
        <v/>
      </c>
      <c r="T12" s="54" t="str">
        <f aca="false">IF(A12="","",IFERROR(INDEX(TierDD,MATCH(S12,TierNames,0)),"Not determined"))</f>
        <v/>
      </c>
      <c r="U12" s="54" t="str">
        <f aca="false">IF(A12="","",IF(AND(COUNT(E12:I12)=5,COUNTA(J12:N12)=5),"None",IF(COUNT(E12:I12)&lt;5,"Ratings missing: "&amp;(5-COUNT(E12:I12))&amp;". ","")&amp;IF(COUNTA(J12:N12)&lt;5,"Rationale missing: "&amp;(5-COUNTA(J12:N12))&amp;".","")))</f>
        <v/>
      </c>
      <c r="V12" s="54" t="str">
        <f aca="false">IF(A12="","",IF(R12="","Proposed - not confirmed",R12))</f>
        <v/>
      </c>
      <c r="W12" s="52" t="str">
        <f aca="false">IF(OR(A12="",B12=""),"",IF(COUNTIFS(CRT_SUP,B12,CRT_DATE,"&gt;"&amp;N(D12))=0,"Current","Superseded"))</f>
        <v/>
      </c>
      <c r="X12" s="52" t="str">
        <f aca="false">IF(W12="","",B12&amp;"|"&amp;W12)</f>
        <v/>
      </c>
      <c r="Y12" s="54" t="str">
        <f aca="false">IF(A12="","",IF(COUNTIF(CRT_ID,A12)&gt;1,"CHECK: duplicate ID",IF(B12="","CHECK: Supplier ID missing",IF(COUNTIF(INV_ID,B12)=0,"CHECK: Supplier ID not in inventory",IF(AND(W12="Current",COUNTIF(CRT_KEY,X12)&gt;1),"CHECK: two current assessments for supplier","OK")))))</f>
        <v/>
      </c>
    </row>
    <row r="13" customFormat="false" ht="15" hidden="false" customHeight="false" outlineLevel="0" collapsed="false">
      <c r="A13" s="50"/>
      <c r="B13" s="50"/>
      <c r="C13" s="59" t="str">
        <f aca="false">IF(B13="","",IFERROR(INDEX(INV_NAME,MATCH(B13,INV_ID,0)),"CHECK: Supplier ID not found"))</f>
        <v/>
      </c>
      <c r="D13" s="51"/>
      <c r="E13" s="50"/>
      <c r="F13" s="50"/>
      <c r="G13" s="50"/>
      <c r="H13" s="50"/>
      <c r="I13" s="50"/>
      <c r="J13" s="34"/>
      <c r="K13" s="34"/>
      <c r="L13" s="34"/>
      <c r="M13" s="34"/>
      <c r="N13" s="34"/>
      <c r="O13" s="50"/>
      <c r="P13" s="50"/>
      <c r="Q13" s="51"/>
      <c r="R13" s="60"/>
      <c r="S13" s="52" t="str">
        <f aca="false">IF(A13="","",IF(COUNTIFS(E13:I13,"&gt;=1",E13:I13,"&lt;=3")&lt;5,"Incomplete",IF(SUMPRODUCT(--(MOD(E13:I13,1)&lt;&gt;0))&gt;0,"Incomplete",IF(MAX(E13:I13)=3,"High",IF(MAX(E13:I13)=2,"Medium","Low")))))</f>
        <v/>
      </c>
      <c r="T13" s="54" t="str">
        <f aca="false">IF(A13="","",IFERROR(INDEX(TierDD,MATCH(S13,TierNames,0)),"Not determined"))</f>
        <v/>
      </c>
      <c r="U13" s="54" t="str">
        <f aca="false">IF(A13="","",IF(AND(COUNT(E13:I13)=5,COUNTA(J13:N13)=5),"None",IF(COUNT(E13:I13)&lt;5,"Ratings missing: "&amp;(5-COUNT(E13:I13))&amp;". ","")&amp;IF(COUNTA(J13:N13)&lt;5,"Rationale missing: "&amp;(5-COUNTA(J13:N13))&amp;".","")))</f>
        <v/>
      </c>
      <c r="V13" s="54" t="str">
        <f aca="false">IF(A13="","",IF(R13="","Proposed - not confirmed",R13))</f>
        <v/>
      </c>
      <c r="W13" s="52" t="str">
        <f aca="false">IF(OR(A13="",B13=""),"",IF(COUNTIFS(CRT_SUP,B13,CRT_DATE,"&gt;"&amp;N(D13))=0,"Current","Superseded"))</f>
        <v/>
      </c>
      <c r="X13" s="52" t="str">
        <f aca="false">IF(W13="","",B13&amp;"|"&amp;W13)</f>
        <v/>
      </c>
      <c r="Y13" s="54" t="str">
        <f aca="false">IF(A13="","",IF(COUNTIF(CRT_ID,A13)&gt;1,"CHECK: duplicate ID",IF(B13="","CHECK: Supplier ID missing",IF(COUNTIF(INV_ID,B13)=0,"CHECK: Supplier ID not in inventory",IF(AND(W13="Current",COUNTIF(CRT_KEY,X13)&gt;1),"CHECK: two current assessments for supplier","OK")))))</f>
        <v/>
      </c>
    </row>
    <row r="14" customFormat="false" ht="15" hidden="false" customHeight="false" outlineLevel="0" collapsed="false">
      <c r="A14" s="50"/>
      <c r="B14" s="50"/>
      <c r="C14" s="59" t="str">
        <f aca="false">IF(B14="","",IFERROR(INDEX(INV_NAME,MATCH(B14,INV_ID,0)),"CHECK: Supplier ID not found"))</f>
        <v/>
      </c>
      <c r="D14" s="51"/>
      <c r="E14" s="50"/>
      <c r="F14" s="50"/>
      <c r="G14" s="50"/>
      <c r="H14" s="50"/>
      <c r="I14" s="50"/>
      <c r="J14" s="34"/>
      <c r="K14" s="34"/>
      <c r="L14" s="34"/>
      <c r="M14" s="34"/>
      <c r="N14" s="34"/>
      <c r="O14" s="50"/>
      <c r="P14" s="50"/>
      <c r="Q14" s="51"/>
      <c r="R14" s="60"/>
      <c r="S14" s="52" t="str">
        <f aca="false">IF(A14="","",IF(COUNTIFS(E14:I14,"&gt;=1",E14:I14,"&lt;=3")&lt;5,"Incomplete",IF(SUMPRODUCT(--(MOD(E14:I14,1)&lt;&gt;0))&gt;0,"Incomplete",IF(MAX(E14:I14)=3,"High",IF(MAX(E14:I14)=2,"Medium","Low")))))</f>
        <v/>
      </c>
      <c r="T14" s="54" t="str">
        <f aca="false">IF(A14="","",IFERROR(INDEX(TierDD,MATCH(S14,TierNames,0)),"Not determined"))</f>
        <v/>
      </c>
      <c r="U14" s="54" t="str">
        <f aca="false">IF(A14="","",IF(AND(COUNT(E14:I14)=5,COUNTA(J14:N14)=5),"None",IF(COUNT(E14:I14)&lt;5,"Ratings missing: "&amp;(5-COUNT(E14:I14))&amp;". ","")&amp;IF(COUNTA(J14:N14)&lt;5,"Rationale missing: "&amp;(5-COUNTA(J14:N14))&amp;".","")))</f>
        <v/>
      </c>
      <c r="V14" s="54" t="str">
        <f aca="false">IF(A14="","",IF(R14="","Proposed - not confirmed",R14))</f>
        <v/>
      </c>
      <c r="W14" s="52" t="str">
        <f aca="false">IF(OR(A14="",B14=""),"",IF(COUNTIFS(CRT_SUP,B14,CRT_DATE,"&gt;"&amp;N(D14))=0,"Current","Superseded"))</f>
        <v/>
      </c>
      <c r="X14" s="52" t="str">
        <f aca="false">IF(W14="","",B14&amp;"|"&amp;W14)</f>
        <v/>
      </c>
      <c r="Y14" s="54" t="str">
        <f aca="false">IF(A14="","",IF(COUNTIF(CRT_ID,A14)&gt;1,"CHECK: duplicate ID",IF(B14="","CHECK: Supplier ID missing",IF(COUNTIF(INV_ID,B14)=0,"CHECK: Supplier ID not in inventory",IF(AND(W14="Current",COUNTIF(CRT_KEY,X14)&gt;1),"CHECK: two current assessments for supplier","OK")))))</f>
        <v/>
      </c>
    </row>
    <row r="15" customFormat="false" ht="15" hidden="false" customHeight="false" outlineLevel="0" collapsed="false">
      <c r="A15" s="50"/>
      <c r="B15" s="50"/>
      <c r="C15" s="59" t="str">
        <f aca="false">IF(B15="","",IFERROR(INDEX(INV_NAME,MATCH(B15,INV_ID,0)),"CHECK: Supplier ID not found"))</f>
        <v/>
      </c>
      <c r="D15" s="51"/>
      <c r="E15" s="50"/>
      <c r="F15" s="50"/>
      <c r="G15" s="50"/>
      <c r="H15" s="50"/>
      <c r="I15" s="50"/>
      <c r="J15" s="34"/>
      <c r="K15" s="34"/>
      <c r="L15" s="34"/>
      <c r="M15" s="34"/>
      <c r="N15" s="34"/>
      <c r="O15" s="50"/>
      <c r="P15" s="50"/>
      <c r="Q15" s="51"/>
      <c r="R15" s="60"/>
      <c r="S15" s="52" t="str">
        <f aca="false">IF(A15="","",IF(COUNTIFS(E15:I15,"&gt;=1",E15:I15,"&lt;=3")&lt;5,"Incomplete",IF(SUMPRODUCT(--(MOD(E15:I15,1)&lt;&gt;0))&gt;0,"Incomplete",IF(MAX(E15:I15)=3,"High",IF(MAX(E15:I15)=2,"Medium","Low")))))</f>
        <v/>
      </c>
      <c r="T15" s="54" t="str">
        <f aca="false">IF(A15="","",IFERROR(INDEX(TierDD,MATCH(S15,TierNames,0)),"Not determined"))</f>
        <v/>
      </c>
      <c r="U15" s="54" t="str">
        <f aca="false">IF(A15="","",IF(AND(COUNT(E15:I15)=5,COUNTA(J15:N15)=5),"None",IF(COUNT(E15:I15)&lt;5,"Ratings missing: "&amp;(5-COUNT(E15:I15))&amp;". ","")&amp;IF(COUNTA(J15:N15)&lt;5,"Rationale missing: "&amp;(5-COUNTA(J15:N15))&amp;".","")))</f>
        <v/>
      </c>
      <c r="V15" s="54" t="str">
        <f aca="false">IF(A15="","",IF(R15="","Proposed - not confirmed",R15))</f>
        <v/>
      </c>
      <c r="W15" s="52" t="str">
        <f aca="false">IF(OR(A15="",B15=""),"",IF(COUNTIFS(CRT_SUP,B15,CRT_DATE,"&gt;"&amp;N(D15))=0,"Current","Superseded"))</f>
        <v/>
      </c>
      <c r="X15" s="52" t="str">
        <f aca="false">IF(W15="","",B15&amp;"|"&amp;W15)</f>
        <v/>
      </c>
      <c r="Y15" s="54" t="str">
        <f aca="false">IF(A15="","",IF(COUNTIF(CRT_ID,A15)&gt;1,"CHECK: duplicate ID",IF(B15="","CHECK: Supplier ID missing",IF(COUNTIF(INV_ID,B15)=0,"CHECK: Supplier ID not in inventory",IF(AND(W15="Current",COUNTIF(CRT_KEY,X15)&gt;1),"CHECK: two current assessments for supplier","OK")))))</f>
        <v/>
      </c>
    </row>
    <row r="16" customFormat="false" ht="15" hidden="false" customHeight="false" outlineLevel="0" collapsed="false">
      <c r="A16" s="50"/>
      <c r="B16" s="50"/>
      <c r="C16" s="59" t="str">
        <f aca="false">IF(B16="","",IFERROR(INDEX(INV_NAME,MATCH(B16,INV_ID,0)),"CHECK: Supplier ID not found"))</f>
        <v/>
      </c>
      <c r="D16" s="51"/>
      <c r="E16" s="50"/>
      <c r="F16" s="50"/>
      <c r="G16" s="50"/>
      <c r="H16" s="50"/>
      <c r="I16" s="50"/>
      <c r="J16" s="34"/>
      <c r="K16" s="34"/>
      <c r="L16" s="34"/>
      <c r="M16" s="34"/>
      <c r="N16" s="34"/>
      <c r="O16" s="50"/>
      <c r="P16" s="50"/>
      <c r="Q16" s="51"/>
      <c r="R16" s="60"/>
      <c r="S16" s="52" t="str">
        <f aca="false">IF(A16="","",IF(COUNTIFS(E16:I16,"&gt;=1",E16:I16,"&lt;=3")&lt;5,"Incomplete",IF(SUMPRODUCT(--(MOD(E16:I16,1)&lt;&gt;0))&gt;0,"Incomplete",IF(MAX(E16:I16)=3,"High",IF(MAX(E16:I16)=2,"Medium","Low")))))</f>
        <v/>
      </c>
      <c r="T16" s="54" t="str">
        <f aca="false">IF(A16="","",IFERROR(INDEX(TierDD,MATCH(S16,TierNames,0)),"Not determined"))</f>
        <v/>
      </c>
      <c r="U16" s="54" t="str">
        <f aca="false">IF(A16="","",IF(AND(COUNT(E16:I16)=5,COUNTA(J16:N16)=5),"None",IF(COUNT(E16:I16)&lt;5,"Ratings missing: "&amp;(5-COUNT(E16:I16))&amp;". ","")&amp;IF(COUNTA(J16:N16)&lt;5,"Rationale missing: "&amp;(5-COUNTA(J16:N16))&amp;".","")))</f>
        <v/>
      </c>
      <c r="V16" s="54" t="str">
        <f aca="false">IF(A16="","",IF(R16="","Proposed - not confirmed",R16))</f>
        <v/>
      </c>
      <c r="W16" s="52" t="str">
        <f aca="false">IF(OR(A16="",B16=""),"",IF(COUNTIFS(CRT_SUP,B16,CRT_DATE,"&gt;"&amp;N(D16))=0,"Current","Superseded"))</f>
        <v/>
      </c>
      <c r="X16" s="52" t="str">
        <f aca="false">IF(W16="","",B16&amp;"|"&amp;W16)</f>
        <v/>
      </c>
      <c r="Y16" s="54" t="str">
        <f aca="false">IF(A16="","",IF(COUNTIF(CRT_ID,A16)&gt;1,"CHECK: duplicate ID",IF(B16="","CHECK: Supplier ID missing",IF(COUNTIF(INV_ID,B16)=0,"CHECK: Supplier ID not in inventory",IF(AND(W16="Current",COUNTIF(CRT_KEY,X16)&gt;1),"CHECK: two current assessments for supplier","OK")))))</f>
        <v/>
      </c>
    </row>
    <row r="17" customFormat="false" ht="15" hidden="false" customHeight="false" outlineLevel="0" collapsed="false">
      <c r="A17" s="50"/>
      <c r="B17" s="50"/>
      <c r="C17" s="59" t="str">
        <f aca="false">IF(B17="","",IFERROR(INDEX(INV_NAME,MATCH(B17,INV_ID,0)),"CHECK: Supplier ID not found"))</f>
        <v/>
      </c>
      <c r="D17" s="51"/>
      <c r="E17" s="50"/>
      <c r="F17" s="50"/>
      <c r="G17" s="50"/>
      <c r="H17" s="50"/>
      <c r="I17" s="50"/>
      <c r="J17" s="34"/>
      <c r="K17" s="34"/>
      <c r="L17" s="34"/>
      <c r="M17" s="34"/>
      <c r="N17" s="34"/>
      <c r="O17" s="50"/>
      <c r="P17" s="50"/>
      <c r="Q17" s="51"/>
      <c r="R17" s="60"/>
      <c r="S17" s="52" t="str">
        <f aca="false">IF(A17="","",IF(COUNTIFS(E17:I17,"&gt;=1",E17:I17,"&lt;=3")&lt;5,"Incomplete",IF(SUMPRODUCT(--(MOD(E17:I17,1)&lt;&gt;0))&gt;0,"Incomplete",IF(MAX(E17:I17)=3,"High",IF(MAX(E17:I17)=2,"Medium","Low")))))</f>
        <v/>
      </c>
      <c r="T17" s="54" t="str">
        <f aca="false">IF(A17="","",IFERROR(INDEX(TierDD,MATCH(S17,TierNames,0)),"Not determined"))</f>
        <v/>
      </c>
      <c r="U17" s="54" t="str">
        <f aca="false">IF(A17="","",IF(AND(COUNT(E17:I17)=5,COUNTA(J17:N17)=5),"None",IF(COUNT(E17:I17)&lt;5,"Ratings missing: "&amp;(5-COUNT(E17:I17))&amp;". ","")&amp;IF(COUNTA(J17:N17)&lt;5,"Rationale missing: "&amp;(5-COUNTA(J17:N17))&amp;".","")))</f>
        <v/>
      </c>
      <c r="V17" s="54" t="str">
        <f aca="false">IF(A17="","",IF(R17="","Proposed - not confirmed",R17))</f>
        <v/>
      </c>
      <c r="W17" s="52" t="str">
        <f aca="false">IF(OR(A17="",B17=""),"",IF(COUNTIFS(CRT_SUP,B17,CRT_DATE,"&gt;"&amp;N(D17))=0,"Current","Superseded"))</f>
        <v/>
      </c>
      <c r="X17" s="52" t="str">
        <f aca="false">IF(W17="","",B17&amp;"|"&amp;W17)</f>
        <v/>
      </c>
      <c r="Y17" s="54" t="str">
        <f aca="false">IF(A17="","",IF(COUNTIF(CRT_ID,A17)&gt;1,"CHECK: duplicate ID",IF(B17="","CHECK: Supplier ID missing",IF(COUNTIF(INV_ID,B17)=0,"CHECK: Supplier ID not in inventory",IF(AND(W17="Current",COUNTIF(CRT_KEY,X17)&gt;1),"CHECK: two current assessments for supplier","OK")))))</f>
        <v/>
      </c>
    </row>
    <row r="18" customFormat="false" ht="15" hidden="false" customHeight="false" outlineLevel="0" collapsed="false">
      <c r="A18" s="50"/>
      <c r="B18" s="50"/>
      <c r="C18" s="59" t="str">
        <f aca="false">IF(B18="","",IFERROR(INDEX(INV_NAME,MATCH(B18,INV_ID,0)),"CHECK: Supplier ID not found"))</f>
        <v/>
      </c>
      <c r="D18" s="51"/>
      <c r="E18" s="50"/>
      <c r="F18" s="50"/>
      <c r="G18" s="50"/>
      <c r="H18" s="50"/>
      <c r="I18" s="50"/>
      <c r="J18" s="34"/>
      <c r="K18" s="34"/>
      <c r="L18" s="34"/>
      <c r="M18" s="34"/>
      <c r="N18" s="34"/>
      <c r="O18" s="50"/>
      <c r="P18" s="50"/>
      <c r="Q18" s="51"/>
      <c r="R18" s="60"/>
      <c r="S18" s="52" t="str">
        <f aca="false">IF(A18="","",IF(COUNTIFS(E18:I18,"&gt;=1",E18:I18,"&lt;=3")&lt;5,"Incomplete",IF(SUMPRODUCT(--(MOD(E18:I18,1)&lt;&gt;0))&gt;0,"Incomplete",IF(MAX(E18:I18)=3,"High",IF(MAX(E18:I18)=2,"Medium","Low")))))</f>
        <v/>
      </c>
      <c r="T18" s="54" t="str">
        <f aca="false">IF(A18="","",IFERROR(INDEX(TierDD,MATCH(S18,TierNames,0)),"Not determined"))</f>
        <v/>
      </c>
      <c r="U18" s="54" t="str">
        <f aca="false">IF(A18="","",IF(AND(COUNT(E18:I18)=5,COUNTA(J18:N18)=5),"None",IF(COUNT(E18:I18)&lt;5,"Ratings missing: "&amp;(5-COUNT(E18:I18))&amp;". ","")&amp;IF(COUNTA(J18:N18)&lt;5,"Rationale missing: "&amp;(5-COUNTA(J18:N18))&amp;".","")))</f>
        <v/>
      </c>
      <c r="V18" s="54" t="str">
        <f aca="false">IF(A18="","",IF(R18="","Proposed - not confirmed",R18))</f>
        <v/>
      </c>
      <c r="W18" s="52" t="str">
        <f aca="false">IF(OR(A18="",B18=""),"",IF(COUNTIFS(CRT_SUP,B18,CRT_DATE,"&gt;"&amp;N(D18))=0,"Current","Superseded"))</f>
        <v/>
      </c>
      <c r="X18" s="52" t="str">
        <f aca="false">IF(W18="","",B18&amp;"|"&amp;W18)</f>
        <v/>
      </c>
      <c r="Y18" s="54" t="str">
        <f aca="false">IF(A18="","",IF(COUNTIF(CRT_ID,A18)&gt;1,"CHECK: duplicate ID",IF(B18="","CHECK: Supplier ID missing",IF(COUNTIF(INV_ID,B18)=0,"CHECK: Supplier ID not in inventory",IF(AND(W18="Current",COUNTIF(CRT_KEY,X18)&gt;1),"CHECK: two current assessments for supplier","OK")))))</f>
        <v/>
      </c>
    </row>
    <row r="19" customFormat="false" ht="15" hidden="false" customHeight="false" outlineLevel="0" collapsed="false">
      <c r="A19" s="50"/>
      <c r="B19" s="50"/>
      <c r="C19" s="59" t="str">
        <f aca="false">IF(B19="","",IFERROR(INDEX(INV_NAME,MATCH(B19,INV_ID,0)),"CHECK: Supplier ID not found"))</f>
        <v/>
      </c>
      <c r="D19" s="51"/>
      <c r="E19" s="50"/>
      <c r="F19" s="50"/>
      <c r="G19" s="50"/>
      <c r="H19" s="50"/>
      <c r="I19" s="50"/>
      <c r="J19" s="34"/>
      <c r="K19" s="34"/>
      <c r="L19" s="34"/>
      <c r="M19" s="34"/>
      <c r="N19" s="34"/>
      <c r="O19" s="50"/>
      <c r="P19" s="50"/>
      <c r="Q19" s="51"/>
      <c r="R19" s="60"/>
      <c r="S19" s="52" t="str">
        <f aca="false">IF(A19="","",IF(COUNTIFS(E19:I19,"&gt;=1",E19:I19,"&lt;=3")&lt;5,"Incomplete",IF(SUMPRODUCT(--(MOD(E19:I19,1)&lt;&gt;0))&gt;0,"Incomplete",IF(MAX(E19:I19)=3,"High",IF(MAX(E19:I19)=2,"Medium","Low")))))</f>
        <v/>
      </c>
      <c r="T19" s="54" t="str">
        <f aca="false">IF(A19="","",IFERROR(INDEX(TierDD,MATCH(S19,TierNames,0)),"Not determined"))</f>
        <v/>
      </c>
      <c r="U19" s="54" t="str">
        <f aca="false">IF(A19="","",IF(AND(COUNT(E19:I19)=5,COUNTA(J19:N19)=5),"None",IF(COUNT(E19:I19)&lt;5,"Ratings missing: "&amp;(5-COUNT(E19:I19))&amp;". ","")&amp;IF(COUNTA(J19:N19)&lt;5,"Rationale missing: "&amp;(5-COUNTA(J19:N19))&amp;".","")))</f>
        <v/>
      </c>
      <c r="V19" s="54" t="str">
        <f aca="false">IF(A19="","",IF(R19="","Proposed - not confirmed",R19))</f>
        <v/>
      </c>
      <c r="W19" s="52" t="str">
        <f aca="false">IF(OR(A19="",B19=""),"",IF(COUNTIFS(CRT_SUP,B19,CRT_DATE,"&gt;"&amp;N(D19))=0,"Current","Superseded"))</f>
        <v/>
      </c>
      <c r="X19" s="52" t="str">
        <f aca="false">IF(W19="","",B19&amp;"|"&amp;W19)</f>
        <v/>
      </c>
      <c r="Y19" s="54" t="str">
        <f aca="false">IF(A19="","",IF(COUNTIF(CRT_ID,A19)&gt;1,"CHECK: duplicate ID",IF(B19="","CHECK: Supplier ID missing",IF(COUNTIF(INV_ID,B19)=0,"CHECK: Supplier ID not in inventory",IF(AND(W19="Current",COUNTIF(CRT_KEY,X19)&gt;1),"CHECK: two current assessments for supplier","OK")))))</f>
        <v/>
      </c>
    </row>
    <row r="20" customFormat="false" ht="15" hidden="false" customHeight="false" outlineLevel="0" collapsed="false">
      <c r="A20" s="50"/>
      <c r="B20" s="50"/>
      <c r="C20" s="59" t="str">
        <f aca="false">IF(B20="","",IFERROR(INDEX(INV_NAME,MATCH(B20,INV_ID,0)),"CHECK: Supplier ID not found"))</f>
        <v/>
      </c>
      <c r="D20" s="51"/>
      <c r="E20" s="50"/>
      <c r="F20" s="50"/>
      <c r="G20" s="50"/>
      <c r="H20" s="50"/>
      <c r="I20" s="50"/>
      <c r="J20" s="34"/>
      <c r="K20" s="34"/>
      <c r="L20" s="34"/>
      <c r="M20" s="34"/>
      <c r="N20" s="34"/>
      <c r="O20" s="50"/>
      <c r="P20" s="50"/>
      <c r="Q20" s="51"/>
      <c r="R20" s="60"/>
      <c r="S20" s="52" t="str">
        <f aca="false">IF(A20="","",IF(COUNTIFS(E20:I20,"&gt;=1",E20:I20,"&lt;=3")&lt;5,"Incomplete",IF(SUMPRODUCT(--(MOD(E20:I20,1)&lt;&gt;0))&gt;0,"Incomplete",IF(MAX(E20:I20)=3,"High",IF(MAX(E20:I20)=2,"Medium","Low")))))</f>
        <v/>
      </c>
      <c r="T20" s="54" t="str">
        <f aca="false">IF(A20="","",IFERROR(INDEX(TierDD,MATCH(S20,TierNames,0)),"Not determined"))</f>
        <v/>
      </c>
      <c r="U20" s="54" t="str">
        <f aca="false">IF(A20="","",IF(AND(COUNT(E20:I20)=5,COUNTA(J20:N20)=5),"None",IF(COUNT(E20:I20)&lt;5,"Ratings missing: "&amp;(5-COUNT(E20:I20))&amp;". ","")&amp;IF(COUNTA(J20:N20)&lt;5,"Rationale missing: "&amp;(5-COUNTA(J20:N20))&amp;".","")))</f>
        <v/>
      </c>
      <c r="V20" s="54" t="str">
        <f aca="false">IF(A20="","",IF(R20="","Proposed - not confirmed",R20))</f>
        <v/>
      </c>
      <c r="W20" s="52" t="str">
        <f aca="false">IF(OR(A20="",B20=""),"",IF(COUNTIFS(CRT_SUP,B20,CRT_DATE,"&gt;"&amp;N(D20))=0,"Current","Superseded"))</f>
        <v/>
      </c>
      <c r="X20" s="52" t="str">
        <f aca="false">IF(W20="","",B20&amp;"|"&amp;W20)</f>
        <v/>
      </c>
      <c r="Y20" s="54" t="str">
        <f aca="false">IF(A20="","",IF(COUNTIF(CRT_ID,A20)&gt;1,"CHECK: duplicate ID",IF(B20="","CHECK: Supplier ID missing",IF(COUNTIF(INV_ID,B20)=0,"CHECK: Supplier ID not in inventory",IF(AND(W20="Current",COUNTIF(CRT_KEY,X20)&gt;1),"CHECK: two current assessments for supplier","OK")))))</f>
        <v/>
      </c>
    </row>
    <row r="21" customFormat="false" ht="15" hidden="false" customHeight="false" outlineLevel="0" collapsed="false">
      <c r="A21" s="50"/>
      <c r="B21" s="50"/>
      <c r="C21" s="59" t="str">
        <f aca="false">IF(B21="","",IFERROR(INDEX(INV_NAME,MATCH(B21,INV_ID,0)),"CHECK: Supplier ID not found"))</f>
        <v/>
      </c>
      <c r="D21" s="51"/>
      <c r="E21" s="50"/>
      <c r="F21" s="50"/>
      <c r="G21" s="50"/>
      <c r="H21" s="50"/>
      <c r="I21" s="50"/>
      <c r="J21" s="34"/>
      <c r="K21" s="34"/>
      <c r="L21" s="34"/>
      <c r="M21" s="34"/>
      <c r="N21" s="34"/>
      <c r="O21" s="50"/>
      <c r="P21" s="50"/>
      <c r="Q21" s="51"/>
      <c r="R21" s="60"/>
      <c r="S21" s="52" t="str">
        <f aca="false">IF(A21="","",IF(COUNTIFS(E21:I21,"&gt;=1",E21:I21,"&lt;=3")&lt;5,"Incomplete",IF(SUMPRODUCT(--(MOD(E21:I21,1)&lt;&gt;0))&gt;0,"Incomplete",IF(MAX(E21:I21)=3,"High",IF(MAX(E21:I21)=2,"Medium","Low")))))</f>
        <v/>
      </c>
      <c r="T21" s="54" t="str">
        <f aca="false">IF(A21="","",IFERROR(INDEX(TierDD,MATCH(S21,TierNames,0)),"Not determined"))</f>
        <v/>
      </c>
      <c r="U21" s="54" t="str">
        <f aca="false">IF(A21="","",IF(AND(COUNT(E21:I21)=5,COUNTA(J21:N21)=5),"None",IF(COUNT(E21:I21)&lt;5,"Ratings missing: "&amp;(5-COUNT(E21:I21))&amp;". ","")&amp;IF(COUNTA(J21:N21)&lt;5,"Rationale missing: "&amp;(5-COUNTA(J21:N21))&amp;".","")))</f>
        <v/>
      </c>
      <c r="V21" s="54" t="str">
        <f aca="false">IF(A21="","",IF(R21="","Proposed - not confirmed",R21))</f>
        <v/>
      </c>
      <c r="W21" s="52" t="str">
        <f aca="false">IF(OR(A21="",B21=""),"",IF(COUNTIFS(CRT_SUP,B21,CRT_DATE,"&gt;"&amp;N(D21))=0,"Current","Superseded"))</f>
        <v/>
      </c>
      <c r="X21" s="52" t="str">
        <f aca="false">IF(W21="","",B21&amp;"|"&amp;W21)</f>
        <v/>
      </c>
      <c r="Y21" s="54" t="str">
        <f aca="false">IF(A21="","",IF(COUNTIF(CRT_ID,A21)&gt;1,"CHECK: duplicate ID",IF(B21="","CHECK: Supplier ID missing",IF(COUNTIF(INV_ID,B21)=0,"CHECK: Supplier ID not in inventory",IF(AND(W21="Current",COUNTIF(CRT_KEY,X21)&gt;1),"CHECK: two current assessments for supplier","OK")))))</f>
        <v/>
      </c>
    </row>
    <row r="22" customFormat="false" ht="15" hidden="false" customHeight="false" outlineLevel="0" collapsed="false">
      <c r="A22" s="50"/>
      <c r="B22" s="50"/>
      <c r="C22" s="59" t="str">
        <f aca="false">IF(B22="","",IFERROR(INDEX(INV_NAME,MATCH(B22,INV_ID,0)),"CHECK: Supplier ID not found"))</f>
        <v/>
      </c>
      <c r="D22" s="51"/>
      <c r="E22" s="50"/>
      <c r="F22" s="50"/>
      <c r="G22" s="50"/>
      <c r="H22" s="50"/>
      <c r="I22" s="50"/>
      <c r="J22" s="34"/>
      <c r="K22" s="34"/>
      <c r="L22" s="34"/>
      <c r="M22" s="34"/>
      <c r="N22" s="34"/>
      <c r="O22" s="50"/>
      <c r="P22" s="50"/>
      <c r="Q22" s="51"/>
      <c r="R22" s="60"/>
      <c r="S22" s="52" t="str">
        <f aca="false">IF(A22="","",IF(COUNTIFS(E22:I22,"&gt;=1",E22:I22,"&lt;=3")&lt;5,"Incomplete",IF(SUMPRODUCT(--(MOD(E22:I22,1)&lt;&gt;0))&gt;0,"Incomplete",IF(MAX(E22:I22)=3,"High",IF(MAX(E22:I22)=2,"Medium","Low")))))</f>
        <v/>
      </c>
      <c r="T22" s="54" t="str">
        <f aca="false">IF(A22="","",IFERROR(INDEX(TierDD,MATCH(S22,TierNames,0)),"Not determined"))</f>
        <v/>
      </c>
      <c r="U22" s="54" t="str">
        <f aca="false">IF(A22="","",IF(AND(COUNT(E22:I22)=5,COUNTA(J22:N22)=5),"None",IF(COUNT(E22:I22)&lt;5,"Ratings missing: "&amp;(5-COUNT(E22:I22))&amp;". ","")&amp;IF(COUNTA(J22:N22)&lt;5,"Rationale missing: "&amp;(5-COUNTA(J22:N22))&amp;".","")))</f>
        <v/>
      </c>
      <c r="V22" s="54" t="str">
        <f aca="false">IF(A22="","",IF(R22="","Proposed - not confirmed",R22))</f>
        <v/>
      </c>
      <c r="W22" s="52" t="str">
        <f aca="false">IF(OR(A22="",B22=""),"",IF(COUNTIFS(CRT_SUP,B22,CRT_DATE,"&gt;"&amp;N(D22))=0,"Current","Superseded"))</f>
        <v/>
      </c>
      <c r="X22" s="52" t="str">
        <f aca="false">IF(W22="","",B22&amp;"|"&amp;W22)</f>
        <v/>
      </c>
      <c r="Y22" s="54" t="str">
        <f aca="false">IF(A22="","",IF(COUNTIF(CRT_ID,A22)&gt;1,"CHECK: duplicate ID",IF(B22="","CHECK: Supplier ID missing",IF(COUNTIF(INV_ID,B22)=0,"CHECK: Supplier ID not in inventory",IF(AND(W22="Current",COUNTIF(CRT_KEY,X22)&gt;1),"CHECK: two current assessments for supplier","OK")))))</f>
        <v/>
      </c>
    </row>
    <row r="23" customFormat="false" ht="15" hidden="false" customHeight="false" outlineLevel="0" collapsed="false">
      <c r="A23" s="50"/>
      <c r="B23" s="50"/>
      <c r="C23" s="59" t="str">
        <f aca="false">IF(B23="","",IFERROR(INDEX(INV_NAME,MATCH(B23,INV_ID,0)),"CHECK: Supplier ID not found"))</f>
        <v/>
      </c>
      <c r="D23" s="51"/>
      <c r="E23" s="50"/>
      <c r="F23" s="50"/>
      <c r="G23" s="50"/>
      <c r="H23" s="50"/>
      <c r="I23" s="50"/>
      <c r="J23" s="34"/>
      <c r="K23" s="34"/>
      <c r="L23" s="34"/>
      <c r="M23" s="34"/>
      <c r="N23" s="34"/>
      <c r="O23" s="50"/>
      <c r="P23" s="50"/>
      <c r="Q23" s="51"/>
      <c r="R23" s="60"/>
      <c r="S23" s="52" t="str">
        <f aca="false">IF(A23="","",IF(COUNTIFS(E23:I23,"&gt;=1",E23:I23,"&lt;=3")&lt;5,"Incomplete",IF(SUMPRODUCT(--(MOD(E23:I23,1)&lt;&gt;0))&gt;0,"Incomplete",IF(MAX(E23:I23)=3,"High",IF(MAX(E23:I23)=2,"Medium","Low")))))</f>
        <v/>
      </c>
      <c r="T23" s="54" t="str">
        <f aca="false">IF(A23="","",IFERROR(INDEX(TierDD,MATCH(S23,TierNames,0)),"Not determined"))</f>
        <v/>
      </c>
      <c r="U23" s="54" t="str">
        <f aca="false">IF(A23="","",IF(AND(COUNT(E23:I23)=5,COUNTA(J23:N23)=5),"None",IF(COUNT(E23:I23)&lt;5,"Ratings missing: "&amp;(5-COUNT(E23:I23))&amp;". ","")&amp;IF(COUNTA(J23:N23)&lt;5,"Rationale missing: "&amp;(5-COUNTA(J23:N23))&amp;".","")))</f>
        <v/>
      </c>
      <c r="V23" s="54" t="str">
        <f aca="false">IF(A23="","",IF(R23="","Proposed - not confirmed",R23))</f>
        <v/>
      </c>
      <c r="W23" s="52" t="str">
        <f aca="false">IF(OR(A23="",B23=""),"",IF(COUNTIFS(CRT_SUP,B23,CRT_DATE,"&gt;"&amp;N(D23))=0,"Current","Superseded"))</f>
        <v/>
      </c>
      <c r="X23" s="52" t="str">
        <f aca="false">IF(W23="","",B23&amp;"|"&amp;W23)</f>
        <v/>
      </c>
      <c r="Y23" s="54" t="str">
        <f aca="false">IF(A23="","",IF(COUNTIF(CRT_ID,A23)&gt;1,"CHECK: duplicate ID",IF(B23="","CHECK: Supplier ID missing",IF(COUNTIF(INV_ID,B23)=0,"CHECK: Supplier ID not in inventory",IF(AND(W23="Current",COUNTIF(CRT_KEY,X23)&gt;1),"CHECK: two current assessments for supplier","OK")))))</f>
        <v/>
      </c>
    </row>
    <row r="24" customFormat="false" ht="15" hidden="false" customHeight="false" outlineLevel="0" collapsed="false">
      <c r="A24" s="50"/>
      <c r="B24" s="50"/>
      <c r="C24" s="59" t="str">
        <f aca="false">IF(B24="","",IFERROR(INDEX(INV_NAME,MATCH(B24,INV_ID,0)),"CHECK: Supplier ID not found"))</f>
        <v/>
      </c>
      <c r="D24" s="51"/>
      <c r="E24" s="50"/>
      <c r="F24" s="50"/>
      <c r="G24" s="50"/>
      <c r="H24" s="50"/>
      <c r="I24" s="50"/>
      <c r="J24" s="34"/>
      <c r="K24" s="34"/>
      <c r="L24" s="34"/>
      <c r="M24" s="34"/>
      <c r="N24" s="34"/>
      <c r="O24" s="50"/>
      <c r="P24" s="50"/>
      <c r="Q24" s="51"/>
      <c r="R24" s="60"/>
      <c r="S24" s="52" t="str">
        <f aca="false">IF(A24="","",IF(COUNTIFS(E24:I24,"&gt;=1",E24:I24,"&lt;=3")&lt;5,"Incomplete",IF(SUMPRODUCT(--(MOD(E24:I24,1)&lt;&gt;0))&gt;0,"Incomplete",IF(MAX(E24:I24)=3,"High",IF(MAX(E24:I24)=2,"Medium","Low")))))</f>
        <v/>
      </c>
      <c r="T24" s="54" t="str">
        <f aca="false">IF(A24="","",IFERROR(INDEX(TierDD,MATCH(S24,TierNames,0)),"Not determined"))</f>
        <v/>
      </c>
      <c r="U24" s="54" t="str">
        <f aca="false">IF(A24="","",IF(AND(COUNT(E24:I24)=5,COUNTA(J24:N24)=5),"None",IF(COUNT(E24:I24)&lt;5,"Ratings missing: "&amp;(5-COUNT(E24:I24))&amp;". ","")&amp;IF(COUNTA(J24:N24)&lt;5,"Rationale missing: "&amp;(5-COUNTA(J24:N24))&amp;".","")))</f>
        <v/>
      </c>
      <c r="V24" s="54" t="str">
        <f aca="false">IF(A24="","",IF(R24="","Proposed - not confirmed",R24))</f>
        <v/>
      </c>
      <c r="W24" s="52" t="str">
        <f aca="false">IF(OR(A24="",B24=""),"",IF(COUNTIFS(CRT_SUP,B24,CRT_DATE,"&gt;"&amp;N(D24))=0,"Current","Superseded"))</f>
        <v/>
      </c>
      <c r="X24" s="52" t="str">
        <f aca="false">IF(W24="","",B24&amp;"|"&amp;W24)</f>
        <v/>
      </c>
      <c r="Y24" s="54" t="str">
        <f aca="false">IF(A24="","",IF(COUNTIF(CRT_ID,A24)&gt;1,"CHECK: duplicate ID",IF(B24="","CHECK: Supplier ID missing",IF(COUNTIF(INV_ID,B24)=0,"CHECK: Supplier ID not in inventory",IF(AND(W24="Current",COUNTIF(CRT_KEY,X24)&gt;1),"CHECK: two current assessments for supplier","OK")))))</f>
        <v/>
      </c>
    </row>
    <row r="25" customFormat="false" ht="15" hidden="false" customHeight="false" outlineLevel="0" collapsed="false">
      <c r="A25" s="50"/>
      <c r="B25" s="50"/>
      <c r="C25" s="59" t="str">
        <f aca="false">IF(B25="","",IFERROR(INDEX(INV_NAME,MATCH(B25,INV_ID,0)),"CHECK: Supplier ID not found"))</f>
        <v/>
      </c>
      <c r="D25" s="51"/>
      <c r="E25" s="50"/>
      <c r="F25" s="50"/>
      <c r="G25" s="50"/>
      <c r="H25" s="50"/>
      <c r="I25" s="50"/>
      <c r="J25" s="34"/>
      <c r="K25" s="34"/>
      <c r="L25" s="34"/>
      <c r="M25" s="34"/>
      <c r="N25" s="34"/>
      <c r="O25" s="50"/>
      <c r="P25" s="50"/>
      <c r="Q25" s="51"/>
      <c r="R25" s="60"/>
      <c r="S25" s="52" t="str">
        <f aca="false">IF(A25="","",IF(COUNTIFS(E25:I25,"&gt;=1",E25:I25,"&lt;=3")&lt;5,"Incomplete",IF(SUMPRODUCT(--(MOD(E25:I25,1)&lt;&gt;0))&gt;0,"Incomplete",IF(MAX(E25:I25)=3,"High",IF(MAX(E25:I25)=2,"Medium","Low")))))</f>
        <v/>
      </c>
      <c r="T25" s="54" t="str">
        <f aca="false">IF(A25="","",IFERROR(INDEX(TierDD,MATCH(S25,TierNames,0)),"Not determined"))</f>
        <v/>
      </c>
      <c r="U25" s="54" t="str">
        <f aca="false">IF(A25="","",IF(AND(COUNT(E25:I25)=5,COUNTA(J25:N25)=5),"None",IF(COUNT(E25:I25)&lt;5,"Ratings missing: "&amp;(5-COUNT(E25:I25))&amp;". ","")&amp;IF(COUNTA(J25:N25)&lt;5,"Rationale missing: "&amp;(5-COUNTA(J25:N25))&amp;".","")))</f>
        <v/>
      </c>
      <c r="V25" s="54" t="str">
        <f aca="false">IF(A25="","",IF(R25="","Proposed - not confirmed",R25))</f>
        <v/>
      </c>
      <c r="W25" s="52" t="str">
        <f aca="false">IF(OR(A25="",B25=""),"",IF(COUNTIFS(CRT_SUP,B25,CRT_DATE,"&gt;"&amp;N(D25))=0,"Current","Superseded"))</f>
        <v/>
      </c>
      <c r="X25" s="52" t="str">
        <f aca="false">IF(W25="","",B25&amp;"|"&amp;W25)</f>
        <v/>
      </c>
      <c r="Y25" s="54" t="str">
        <f aca="false">IF(A25="","",IF(COUNTIF(CRT_ID,A25)&gt;1,"CHECK: duplicate ID",IF(B25="","CHECK: Supplier ID missing",IF(COUNTIF(INV_ID,B25)=0,"CHECK: Supplier ID not in inventory",IF(AND(W25="Current",COUNTIF(CRT_KEY,X25)&gt;1),"CHECK: two current assessments for supplier","OK")))))</f>
        <v/>
      </c>
    </row>
    <row r="26" customFormat="false" ht="15" hidden="false" customHeight="false" outlineLevel="0" collapsed="false">
      <c r="A26" s="50"/>
      <c r="B26" s="50"/>
      <c r="C26" s="59" t="str">
        <f aca="false">IF(B26="","",IFERROR(INDEX(INV_NAME,MATCH(B26,INV_ID,0)),"CHECK: Supplier ID not found"))</f>
        <v/>
      </c>
      <c r="D26" s="51"/>
      <c r="E26" s="50"/>
      <c r="F26" s="50"/>
      <c r="G26" s="50"/>
      <c r="H26" s="50"/>
      <c r="I26" s="50"/>
      <c r="J26" s="34"/>
      <c r="K26" s="34"/>
      <c r="L26" s="34"/>
      <c r="M26" s="34"/>
      <c r="N26" s="34"/>
      <c r="O26" s="50"/>
      <c r="P26" s="50"/>
      <c r="Q26" s="51"/>
      <c r="R26" s="60"/>
      <c r="S26" s="52" t="str">
        <f aca="false">IF(A26="","",IF(COUNTIFS(E26:I26,"&gt;=1",E26:I26,"&lt;=3")&lt;5,"Incomplete",IF(SUMPRODUCT(--(MOD(E26:I26,1)&lt;&gt;0))&gt;0,"Incomplete",IF(MAX(E26:I26)=3,"High",IF(MAX(E26:I26)=2,"Medium","Low")))))</f>
        <v/>
      </c>
      <c r="T26" s="54" t="str">
        <f aca="false">IF(A26="","",IFERROR(INDEX(TierDD,MATCH(S26,TierNames,0)),"Not determined"))</f>
        <v/>
      </c>
      <c r="U26" s="54" t="str">
        <f aca="false">IF(A26="","",IF(AND(COUNT(E26:I26)=5,COUNTA(J26:N26)=5),"None",IF(COUNT(E26:I26)&lt;5,"Ratings missing: "&amp;(5-COUNT(E26:I26))&amp;". ","")&amp;IF(COUNTA(J26:N26)&lt;5,"Rationale missing: "&amp;(5-COUNTA(J26:N26))&amp;".","")))</f>
        <v/>
      </c>
      <c r="V26" s="54" t="str">
        <f aca="false">IF(A26="","",IF(R26="","Proposed - not confirmed",R26))</f>
        <v/>
      </c>
      <c r="W26" s="52" t="str">
        <f aca="false">IF(OR(A26="",B26=""),"",IF(COUNTIFS(CRT_SUP,B26,CRT_DATE,"&gt;"&amp;N(D26))=0,"Current","Superseded"))</f>
        <v/>
      </c>
      <c r="X26" s="52" t="str">
        <f aca="false">IF(W26="","",B26&amp;"|"&amp;W26)</f>
        <v/>
      </c>
      <c r="Y26" s="54" t="str">
        <f aca="false">IF(A26="","",IF(COUNTIF(CRT_ID,A26)&gt;1,"CHECK: duplicate ID",IF(B26="","CHECK: Supplier ID missing",IF(COUNTIF(INV_ID,B26)=0,"CHECK: Supplier ID not in inventory",IF(AND(W26="Current",COUNTIF(CRT_KEY,X26)&gt;1),"CHECK: two current assessments for supplier","OK")))))</f>
        <v/>
      </c>
    </row>
    <row r="27" customFormat="false" ht="15" hidden="false" customHeight="false" outlineLevel="0" collapsed="false">
      <c r="A27" s="50"/>
      <c r="B27" s="50"/>
      <c r="C27" s="59" t="str">
        <f aca="false">IF(B27="","",IFERROR(INDEX(INV_NAME,MATCH(B27,INV_ID,0)),"CHECK: Supplier ID not found"))</f>
        <v/>
      </c>
      <c r="D27" s="51"/>
      <c r="E27" s="50"/>
      <c r="F27" s="50"/>
      <c r="G27" s="50"/>
      <c r="H27" s="50"/>
      <c r="I27" s="50"/>
      <c r="J27" s="34"/>
      <c r="K27" s="34"/>
      <c r="L27" s="34"/>
      <c r="M27" s="34"/>
      <c r="N27" s="34"/>
      <c r="O27" s="50"/>
      <c r="P27" s="50"/>
      <c r="Q27" s="51"/>
      <c r="R27" s="60"/>
      <c r="S27" s="52" t="str">
        <f aca="false">IF(A27="","",IF(COUNTIFS(E27:I27,"&gt;=1",E27:I27,"&lt;=3")&lt;5,"Incomplete",IF(SUMPRODUCT(--(MOD(E27:I27,1)&lt;&gt;0))&gt;0,"Incomplete",IF(MAX(E27:I27)=3,"High",IF(MAX(E27:I27)=2,"Medium","Low")))))</f>
        <v/>
      </c>
      <c r="T27" s="54" t="str">
        <f aca="false">IF(A27="","",IFERROR(INDEX(TierDD,MATCH(S27,TierNames,0)),"Not determined"))</f>
        <v/>
      </c>
      <c r="U27" s="54" t="str">
        <f aca="false">IF(A27="","",IF(AND(COUNT(E27:I27)=5,COUNTA(J27:N27)=5),"None",IF(COUNT(E27:I27)&lt;5,"Ratings missing: "&amp;(5-COUNT(E27:I27))&amp;". ","")&amp;IF(COUNTA(J27:N27)&lt;5,"Rationale missing: "&amp;(5-COUNTA(J27:N27))&amp;".","")))</f>
        <v/>
      </c>
      <c r="V27" s="54" t="str">
        <f aca="false">IF(A27="","",IF(R27="","Proposed - not confirmed",R27))</f>
        <v/>
      </c>
      <c r="W27" s="52" t="str">
        <f aca="false">IF(OR(A27="",B27=""),"",IF(COUNTIFS(CRT_SUP,B27,CRT_DATE,"&gt;"&amp;N(D27))=0,"Current","Superseded"))</f>
        <v/>
      </c>
      <c r="X27" s="52" t="str">
        <f aca="false">IF(W27="","",B27&amp;"|"&amp;W27)</f>
        <v/>
      </c>
      <c r="Y27" s="54" t="str">
        <f aca="false">IF(A27="","",IF(COUNTIF(CRT_ID,A27)&gt;1,"CHECK: duplicate ID",IF(B27="","CHECK: Supplier ID missing",IF(COUNTIF(INV_ID,B27)=0,"CHECK: Supplier ID not in inventory",IF(AND(W27="Current",COUNTIF(CRT_KEY,X27)&gt;1),"CHECK: two current assessments for supplier","OK")))))</f>
        <v/>
      </c>
    </row>
    <row r="28" customFormat="false" ht="15" hidden="false" customHeight="false" outlineLevel="0" collapsed="false">
      <c r="A28" s="50"/>
      <c r="B28" s="50"/>
      <c r="C28" s="59" t="str">
        <f aca="false">IF(B28="","",IFERROR(INDEX(INV_NAME,MATCH(B28,INV_ID,0)),"CHECK: Supplier ID not found"))</f>
        <v/>
      </c>
      <c r="D28" s="51"/>
      <c r="E28" s="50"/>
      <c r="F28" s="50"/>
      <c r="G28" s="50"/>
      <c r="H28" s="50"/>
      <c r="I28" s="50"/>
      <c r="J28" s="34"/>
      <c r="K28" s="34"/>
      <c r="L28" s="34"/>
      <c r="M28" s="34"/>
      <c r="N28" s="34"/>
      <c r="O28" s="50"/>
      <c r="P28" s="50"/>
      <c r="Q28" s="51"/>
      <c r="R28" s="60"/>
      <c r="S28" s="52" t="str">
        <f aca="false">IF(A28="","",IF(COUNTIFS(E28:I28,"&gt;=1",E28:I28,"&lt;=3")&lt;5,"Incomplete",IF(SUMPRODUCT(--(MOD(E28:I28,1)&lt;&gt;0))&gt;0,"Incomplete",IF(MAX(E28:I28)=3,"High",IF(MAX(E28:I28)=2,"Medium","Low")))))</f>
        <v/>
      </c>
      <c r="T28" s="54" t="str">
        <f aca="false">IF(A28="","",IFERROR(INDEX(TierDD,MATCH(S28,TierNames,0)),"Not determined"))</f>
        <v/>
      </c>
      <c r="U28" s="54" t="str">
        <f aca="false">IF(A28="","",IF(AND(COUNT(E28:I28)=5,COUNTA(J28:N28)=5),"None",IF(COUNT(E28:I28)&lt;5,"Ratings missing: "&amp;(5-COUNT(E28:I28))&amp;". ","")&amp;IF(COUNTA(J28:N28)&lt;5,"Rationale missing: "&amp;(5-COUNTA(J28:N28))&amp;".","")))</f>
        <v/>
      </c>
      <c r="V28" s="54" t="str">
        <f aca="false">IF(A28="","",IF(R28="","Proposed - not confirmed",R28))</f>
        <v/>
      </c>
      <c r="W28" s="52" t="str">
        <f aca="false">IF(OR(A28="",B28=""),"",IF(COUNTIFS(CRT_SUP,B28,CRT_DATE,"&gt;"&amp;N(D28))=0,"Current","Superseded"))</f>
        <v/>
      </c>
      <c r="X28" s="52" t="str">
        <f aca="false">IF(W28="","",B28&amp;"|"&amp;W28)</f>
        <v/>
      </c>
      <c r="Y28" s="54" t="str">
        <f aca="false">IF(A28="","",IF(COUNTIF(CRT_ID,A28)&gt;1,"CHECK: duplicate ID",IF(B28="","CHECK: Supplier ID missing",IF(COUNTIF(INV_ID,B28)=0,"CHECK: Supplier ID not in inventory",IF(AND(W28="Current",COUNTIF(CRT_KEY,X28)&gt;1),"CHECK: two current assessments for supplier","OK")))))</f>
        <v/>
      </c>
    </row>
    <row r="29" customFormat="false" ht="15" hidden="false" customHeight="false" outlineLevel="0" collapsed="false">
      <c r="A29" s="50"/>
      <c r="B29" s="50"/>
      <c r="C29" s="59" t="str">
        <f aca="false">IF(B29="","",IFERROR(INDEX(INV_NAME,MATCH(B29,INV_ID,0)),"CHECK: Supplier ID not found"))</f>
        <v/>
      </c>
      <c r="D29" s="51"/>
      <c r="E29" s="50"/>
      <c r="F29" s="50"/>
      <c r="G29" s="50"/>
      <c r="H29" s="50"/>
      <c r="I29" s="50"/>
      <c r="J29" s="34"/>
      <c r="K29" s="34"/>
      <c r="L29" s="34"/>
      <c r="M29" s="34"/>
      <c r="N29" s="34"/>
      <c r="O29" s="50"/>
      <c r="P29" s="50"/>
      <c r="Q29" s="51"/>
      <c r="R29" s="60"/>
      <c r="S29" s="52" t="str">
        <f aca="false">IF(A29="","",IF(COUNTIFS(E29:I29,"&gt;=1",E29:I29,"&lt;=3")&lt;5,"Incomplete",IF(SUMPRODUCT(--(MOD(E29:I29,1)&lt;&gt;0))&gt;0,"Incomplete",IF(MAX(E29:I29)=3,"High",IF(MAX(E29:I29)=2,"Medium","Low")))))</f>
        <v/>
      </c>
      <c r="T29" s="54" t="str">
        <f aca="false">IF(A29="","",IFERROR(INDEX(TierDD,MATCH(S29,TierNames,0)),"Not determined"))</f>
        <v/>
      </c>
      <c r="U29" s="54" t="str">
        <f aca="false">IF(A29="","",IF(AND(COUNT(E29:I29)=5,COUNTA(J29:N29)=5),"None",IF(COUNT(E29:I29)&lt;5,"Ratings missing: "&amp;(5-COUNT(E29:I29))&amp;". ","")&amp;IF(COUNTA(J29:N29)&lt;5,"Rationale missing: "&amp;(5-COUNTA(J29:N29))&amp;".","")))</f>
        <v/>
      </c>
      <c r="V29" s="54" t="str">
        <f aca="false">IF(A29="","",IF(R29="","Proposed - not confirmed",R29))</f>
        <v/>
      </c>
      <c r="W29" s="52" t="str">
        <f aca="false">IF(OR(A29="",B29=""),"",IF(COUNTIFS(CRT_SUP,B29,CRT_DATE,"&gt;"&amp;N(D29))=0,"Current","Superseded"))</f>
        <v/>
      </c>
      <c r="X29" s="52" t="str">
        <f aca="false">IF(W29="","",B29&amp;"|"&amp;W29)</f>
        <v/>
      </c>
      <c r="Y29" s="54" t="str">
        <f aca="false">IF(A29="","",IF(COUNTIF(CRT_ID,A29)&gt;1,"CHECK: duplicate ID",IF(B29="","CHECK: Supplier ID missing",IF(COUNTIF(INV_ID,B29)=0,"CHECK: Supplier ID not in inventory",IF(AND(W29="Current",COUNTIF(CRT_KEY,X29)&gt;1),"CHECK: two current assessments for supplier","OK")))))</f>
        <v/>
      </c>
    </row>
    <row r="30" customFormat="false" ht="15" hidden="false" customHeight="false" outlineLevel="0" collapsed="false">
      <c r="A30" s="50"/>
      <c r="B30" s="50"/>
      <c r="C30" s="59" t="str">
        <f aca="false">IF(B30="","",IFERROR(INDEX(INV_NAME,MATCH(B30,INV_ID,0)),"CHECK: Supplier ID not found"))</f>
        <v/>
      </c>
      <c r="D30" s="51"/>
      <c r="E30" s="50"/>
      <c r="F30" s="50"/>
      <c r="G30" s="50"/>
      <c r="H30" s="50"/>
      <c r="I30" s="50"/>
      <c r="J30" s="34"/>
      <c r="K30" s="34"/>
      <c r="L30" s="34"/>
      <c r="M30" s="34"/>
      <c r="N30" s="34"/>
      <c r="O30" s="50"/>
      <c r="P30" s="50"/>
      <c r="Q30" s="51"/>
      <c r="R30" s="60"/>
      <c r="S30" s="52" t="str">
        <f aca="false">IF(A30="","",IF(COUNTIFS(E30:I30,"&gt;=1",E30:I30,"&lt;=3")&lt;5,"Incomplete",IF(SUMPRODUCT(--(MOD(E30:I30,1)&lt;&gt;0))&gt;0,"Incomplete",IF(MAX(E30:I30)=3,"High",IF(MAX(E30:I30)=2,"Medium","Low")))))</f>
        <v/>
      </c>
      <c r="T30" s="54" t="str">
        <f aca="false">IF(A30="","",IFERROR(INDEX(TierDD,MATCH(S30,TierNames,0)),"Not determined"))</f>
        <v/>
      </c>
      <c r="U30" s="54" t="str">
        <f aca="false">IF(A30="","",IF(AND(COUNT(E30:I30)=5,COUNTA(J30:N30)=5),"None",IF(COUNT(E30:I30)&lt;5,"Ratings missing: "&amp;(5-COUNT(E30:I30))&amp;". ","")&amp;IF(COUNTA(J30:N30)&lt;5,"Rationale missing: "&amp;(5-COUNTA(J30:N30))&amp;".","")))</f>
        <v/>
      </c>
      <c r="V30" s="54" t="str">
        <f aca="false">IF(A30="","",IF(R30="","Proposed - not confirmed",R30))</f>
        <v/>
      </c>
      <c r="W30" s="52" t="str">
        <f aca="false">IF(OR(A30="",B30=""),"",IF(COUNTIFS(CRT_SUP,B30,CRT_DATE,"&gt;"&amp;N(D30))=0,"Current","Superseded"))</f>
        <v/>
      </c>
      <c r="X30" s="52" t="str">
        <f aca="false">IF(W30="","",B30&amp;"|"&amp;W30)</f>
        <v/>
      </c>
      <c r="Y30" s="54" t="str">
        <f aca="false">IF(A30="","",IF(COUNTIF(CRT_ID,A30)&gt;1,"CHECK: duplicate ID",IF(B30="","CHECK: Supplier ID missing",IF(COUNTIF(INV_ID,B30)=0,"CHECK: Supplier ID not in inventory",IF(AND(W30="Current",COUNTIF(CRT_KEY,X30)&gt;1),"CHECK: two current assessments for supplier","OK")))))</f>
        <v/>
      </c>
    </row>
    <row r="31" customFormat="false" ht="15" hidden="false" customHeight="false" outlineLevel="0" collapsed="false">
      <c r="A31" s="50"/>
      <c r="B31" s="50"/>
      <c r="C31" s="59" t="str">
        <f aca="false">IF(B31="","",IFERROR(INDEX(INV_NAME,MATCH(B31,INV_ID,0)),"CHECK: Supplier ID not found"))</f>
        <v/>
      </c>
      <c r="D31" s="51"/>
      <c r="E31" s="50"/>
      <c r="F31" s="50"/>
      <c r="G31" s="50"/>
      <c r="H31" s="50"/>
      <c r="I31" s="50"/>
      <c r="J31" s="34"/>
      <c r="K31" s="34"/>
      <c r="L31" s="34"/>
      <c r="M31" s="34"/>
      <c r="N31" s="34"/>
      <c r="O31" s="50"/>
      <c r="P31" s="50"/>
      <c r="Q31" s="51"/>
      <c r="R31" s="60"/>
      <c r="S31" s="52" t="str">
        <f aca="false">IF(A31="","",IF(COUNTIFS(E31:I31,"&gt;=1",E31:I31,"&lt;=3")&lt;5,"Incomplete",IF(SUMPRODUCT(--(MOD(E31:I31,1)&lt;&gt;0))&gt;0,"Incomplete",IF(MAX(E31:I31)=3,"High",IF(MAX(E31:I31)=2,"Medium","Low")))))</f>
        <v/>
      </c>
      <c r="T31" s="54" t="str">
        <f aca="false">IF(A31="","",IFERROR(INDEX(TierDD,MATCH(S31,TierNames,0)),"Not determined"))</f>
        <v/>
      </c>
      <c r="U31" s="54" t="str">
        <f aca="false">IF(A31="","",IF(AND(COUNT(E31:I31)=5,COUNTA(J31:N31)=5),"None",IF(COUNT(E31:I31)&lt;5,"Ratings missing: "&amp;(5-COUNT(E31:I31))&amp;". ","")&amp;IF(COUNTA(J31:N31)&lt;5,"Rationale missing: "&amp;(5-COUNTA(J31:N31))&amp;".","")))</f>
        <v/>
      </c>
      <c r="V31" s="54" t="str">
        <f aca="false">IF(A31="","",IF(R31="","Proposed - not confirmed",R31))</f>
        <v/>
      </c>
      <c r="W31" s="52" t="str">
        <f aca="false">IF(OR(A31="",B31=""),"",IF(COUNTIFS(CRT_SUP,B31,CRT_DATE,"&gt;"&amp;N(D31))=0,"Current","Superseded"))</f>
        <v/>
      </c>
      <c r="X31" s="52" t="str">
        <f aca="false">IF(W31="","",B31&amp;"|"&amp;W31)</f>
        <v/>
      </c>
      <c r="Y31" s="54" t="str">
        <f aca="false">IF(A31="","",IF(COUNTIF(CRT_ID,A31)&gt;1,"CHECK: duplicate ID",IF(B31="","CHECK: Supplier ID missing",IF(COUNTIF(INV_ID,B31)=0,"CHECK: Supplier ID not in inventory",IF(AND(W31="Current",COUNTIF(CRT_KEY,X31)&gt;1),"CHECK: two current assessments for supplier","OK")))))</f>
        <v/>
      </c>
    </row>
    <row r="32" customFormat="false" ht="15" hidden="false" customHeight="false" outlineLevel="0" collapsed="false">
      <c r="A32" s="50"/>
      <c r="B32" s="50"/>
      <c r="C32" s="59" t="str">
        <f aca="false">IF(B32="","",IFERROR(INDEX(INV_NAME,MATCH(B32,INV_ID,0)),"CHECK: Supplier ID not found"))</f>
        <v/>
      </c>
      <c r="D32" s="51"/>
      <c r="E32" s="50"/>
      <c r="F32" s="50"/>
      <c r="G32" s="50"/>
      <c r="H32" s="50"/>
      <c r="I32" s="50"/>
      <c r="J32" s="34"/>
      <c r="K32" s="34"/>
      <c r="L32" s="34"/>
      <c r="M32" s="34"/>
      <c r="N32" s="34"/>
      <c r="O32" s="50"/>
      <c r="P32" s="50"/>
      <c r="Q32" s="51"/>
      <c r="R32" s="60"/>
      <c r="S32" s="52" t="str">
        <f aca="false">IF(A32="","",IF(COUNTIFS(E32:I32,"&gt;=1",E32:I32,"&lt;=3")&lt;5,"Incomplete",IF(SUMPRODUCT(--(MOD(E32:I32,1)&lt;&gt;0))&gt;0,"Incomplete",IF(MAX(E32:I32)=3,"High",IF(MAX(E32:I32)=2,"Medium","Low")))))</f>
        <v/>
      </c>
      <c r="T32" s="54" t="str">
        <f aca="false">IF(A32="","",IFERROR(INDEX(TierDD,MATCH(S32,TierNames,0)),"Not determined"))</f>
        <v/>
      </c>
      <c r="U32" s="54" t="str">
        <f aca="false">IF(A32="","",IF(AND(COUNT(E32:I32)=5,COUNTA(J32:N32)=5),"None",IF(COUNT(E32:I32)&lt;5,"Ratings missing: "&amp;(5-COUNT(E32:I32))&amp;". ","")&amp;IF(COUNTA(J32:N32)&lt;5,"Rationale missing: "&amp;(5-COUNTA(J32:N32))&amp;".","")))</f>
        <v/>
      </c>
      <c r="V32" s="54" t="str">
        <f aca="false">IF(A32="","",IF(R32="","Proposed - not confirmed",R32))</f>
        <v/>
      </c>
      <c r="W32" s="52" t="str">
        <f aca="false">IF(OR(A32="",B32=""),"",IF(COUNTIFS(CRT_SUP,B32,CRT_DATE,"&gt;"&amp;N(D32))=0,"Current","Superseded"))</f>
        <v/>
      </c>
      <c r="X32" s="52" t="str">
        <f aca="false">IF(W32="","",B32&amp;"|"&amp;W32)</f>
        <v/>
      </c>
      <c r="Y32" s="54" t="str">
        <f aca="false">IF(A32="","",IF(COUNTIF(CRT_ID,A32)&gt;1,"CHECK: duplicate ID",IF(B32="","CHECK: Supplier ID missing",IF(COUNTIF(INV_ID,B32)=0,"CHECK: Supplier ID not in inventory",IF(AND(W32="Current",COUNTIF(CRT_KEY,X32)&gt;1),"CHECK: two current assessments for supplier","OK")))))</f>
        <v/>
      </c>
    </row>
    <row r="33" customFormat="false" ht="15" hidden="false" customHeight="false" outlineLevel="0" collapsed="false">
      <c r="A33" s="50"/>
      <c r="B33" s="50"/>
      <c r="C33" s="59" t="str">
        <f aca="false">IF(B33="","",IFERROR(INDEX(INV_NAME,MATCH(B33,INV_ID,0)),"CHECK: Supplier ID not found"))</f>
        <v/>
      </c>
      <c r="D33" s="51"/>
      <c r="E33" s="50"/>
      <c r="F33" s="50"/>
      <c r="G33" s="50"/>
      <c r="H33" s="50"/>
      <c r="I33" s="50"/>
      <c r="J33" s="34"/>
      <c r="K33" s="34"/>
      <c r="L33" s="34"/>
      <c r="M33" s="34"/>
      <c r="N33" s="34"/>
      <c r="O33" s="50"/>
      <c r="P33" s="50"/>
      <c r="Q33" s="51"/>
      <c r="R33" s="60"/>
      <c r="S33" s="52" t="str">
        <f aca="false">IF(A33="","",IF(COUNTIFS(E33:I33,"&gt;=1",E33:I33,"&lt;=3")&lt;5,"Incomplete",IF(SUMPRODUCT(--(MOD(E33:I33,1)&lt;&gt;0))&gt;0,"Incomplete",IF(MAX(E33:I33)=3,"High",IF(MAX(E33:I33)=2,"Medium","Low")))))</f>
        <v/>
      </c>
      <c r="T33" s="54" t="str">
        <f aca="false">IF(A33="","",IFERROR(INDEX(TierDD,MATCH(S33,TierNames,0)),"Not determined"))</f>
        <v/>
      </c>
      <c r="U33" s="54" t="str">
        <f aca="false">IF(A33="","",IF(AND(COUNT(E33:I33)=5,COUNTA(J33:N33)=5),"None",IF(COUNT(E33:I33)&lt;5,"Ratings missing: "&amp;(5-COUNT(E33:I33))&amp;". ","")&amp;IF(COUNTA(J33:N33)&lt;5,"Rationale missing: "&amp;(5-COUNTA(J33:N33))&amp;".","")))</f>
        <v/>
      </c>
      <c r="V33" s="54" t="str">
        <f aca="false">IF(A33="","",IF(R33="","Proposed - not confirmed",R33))</f>
        <v/>
      </c>
      <c r="W33" s="52" t="str">
        <f aca="false">IF(OR(A33="",B33=""),"",IF(COUNTIFS(CRT_SUP,B33,CRT_DATE,"&gt;"&amp;N(D33))=0,"Current","Superseded"))</f>
        <v/>
      </c>
      <c r="X33" s="52" t="str">
        <f aca="false">IF(W33="","",B33&amp;"|"&amp;W33)</f>
        <v/>
      </c>
      <c r="Y33" s="54" t="str">
        <f aca="false">IF(A33="","",IF(COUNTIF(CRT_ID,A33)&gt;1,"CHECK: duplicate ID",IF(B33="","CHECK: Supplier ID missing",IF(COUNTIF(INV_ID,B33)=0,"CHECK: Supplier ID not in inventory",IF(AND(W33="Current",COUNTIF(CRT_KEY,X33)&gt;1),"CHECK: two current assessments for supplier","OK")))))</f>
        <v/>
      </c>
    </row>
    <row r="34" customFormat="false" ht="15" hidden="false" customHeight="false" outlineLevel="0" collapsed="false">
      <c r="A34" s="50"/>
      <c r="B34" s="50"/>
      <c r="C34" s="59" t="str">
        <f aca="false">IF(B34="","",IFERROR(INDEX(INV_NAME,MATCH(B34,INV_ID,0)),"CHECK: Supplier ID not found"))</f>
        <v/>
      </c>
      <c r="D34" s="51"/>
      <c r="E34" s="50"/>
      <c r="F34" s="50"/>
      <c r="G34" s="50"/>
      <c r="H34" s="50"/>
      <c r="I34" s="50"/>
      <c r="J34" s="34"/>
      <c r="K34" s="34"/>
      <c r="L34" s="34"/>
      <c r="M34" s="34"/>
      <c r="N34" s="34"/>
      <c r="O34" s="50"/>
      <c r="P34" s="50"/>
      <c r="Q34" s="51"/>
      <c r="R34" s="60"/>
      <c r="S34" s="52" t="str">
        <f aca="false">IF(A34="","",IF(COUNTIFS(E34:I34,"&gt;=1",E34:I34,"&lt;=3")&lt;5,"Incomplete",IF(SUMPRODUCT(--(MOD(E34:I34,1)&lt;&gt;0))&gt;0,"Incomplete",IF(MAX(E34:I34)=3,"High",IF(MAX(E34:I34)=2,"Medium","Low")))))</f>
        <v/>
      </c>
      <c r="T34" s="54" t="str">
        <f aca="false">IF(A34="","",IFERROR(INDEX(TierDD,MATCH(S34,TierNames,0)),"Not determined"))</f>
        <v/>
      </c>
      <c r="U34" s="54" t="str">
        <f aca="false">IF(A34="","",IF(AND(COUNT(E34:I34)=5,COUNTA(J34:N34)=5),"None",IF(COUNT(E34:I34)&lt;5,"Ratings missing: "&amp;(5-COUNT(E34:I34))&amp;". ","")&amp;IF(COUNTA(J34:N34)&lt;5,"Rationale missing: "&amp;(5-COUNTA(J34:N34))&amp;".","")))</f>
        <v/>
      </c>
      <c r="V34" s="54" t="str">
        <f aca="false">IF(A34="","",IF(R34="","Proposed - not confirmed",R34))</f>
        <v/>
      </c>
      <c r="W34" s="52" t="str">
        <f aca="false">IF(OR(A34="",B34=""),"",IF(COUNTIFS(CRT_SUP,B34,CRT_DATE,"&gt;"&amp;N(D34))=0,"Current","Superseded"))</f>
        <v/>
      </c>
      <c r="X34" s="52" t="str">
        <f aca="false">IF(W34="","",B34&amp;"|"&amp;W34)</f>
        <v/>
      </c>
      <c r="Y34" s="54" t="str">
        <f aca="false">IF(A34="","",IF(COUNTIF(CRT_ID,A34)&gt;1,"CHECK: duplicate ID",IF(B34="","CHECK: Supplier ID missing",IF(COUNTIF(INV_ID,B34)=0,"CHECK: Supplier ID not in inventory",IF(AND(W34="Current",COUNTIF(CRT_KEY,X34)&gt;1),"CHECK: two current assessments for supplier","OK")))))</f>
        <v/>
      </c>
    </row>
    <row r="35" customFormat="false" ht="15" hidden="false" customHeight="false" outlineLevel="0" collapsed="false">
      <c r="A35" s="50"/>
      <c r="B35" s="50"/>
      <c r="C35" s="59" t="str">
        <f aca="false">IF(B35="","",IFERROR(INDEX(INV_NAME,MATCH(B35,INV_ID,0)),"CHECK: Supplier ID not found"))</f>
        <v/>
      </c>
      <c r="D35" s="51"/>
      <c r="E35" s="50"/>
      <c r="F35" s="50"/>
      <c r="G35" s="50"/>
      <c r="H35" s="50"/>
      <c r="I35" s="50"/>
      <c r="J35" s="34"/>
      <c r="K35" s="34"/>
      <c r="L35" s="34"/>
      <c r="M35" s="34"/>
      <c r="N35" s="34"/>
      <c r="O35" s="50"/>
      <c r="P35" s="50"/>
      <c r="Q35" s="51"/>
      <c r="R35" s="60"/>
      <c r="S35" s="52" t="str">
        <f aca="false">IF(A35="","",IF(COUNTIFS(E35:I35,"&gt;=1",E35:I35,"&lt;=3")&lt;5,"Incomplete",IF(SUMPRODUCT(--(MOD(E35:I35,1)&lt;&gt;0))&gt;0,"Incomplete",IF(MAX(E35:I35)=3,"High",IF(MAX(E35:I35)=2,"Medium","Low")))))</f>
        <v/>
      </c>
      <c r="T35" s="54" t="str">
        <f aca="false">IF(A35="","",IFERROR(INDEX(TierDD,MATCH(S35,TierNames,0)),"Not determined"))</f>
        <v/>
      </c>
      <c r="U35" s="54" t="str">
        <f aca="false">IF(A35="","",IF(AND(COUNT(E35:I35)=5,COUNTA(J35:N35)=5),"None",IF(COUNT(E35:I35)&lt;5,"Ratings missing: "&amp;(5-COUNT(E35:I35))&amp;". ","")&amp;IF(COUNTA(J35:N35)&lt;5,"Rationale missing: "&amp;(5-COUNTA(J35:N35))&amp;".","")))</f>
        <v/>
      </c>
      <c r="V35" s="54" t="str">
        <f aca="false">IF(A35="","",IF(R35="","Proposed - not confirmed",R35))</f>
        <v/>
      </c>
      <c r="W35" s="52" t="str">
        <f aca="false">IF(OR(A35="",B35=""),"",IF(COUNTIFS(CRT_SUP,B35,CRT_DATE,"&gt;"&amp;N(D35))=0,"Current","Superseded"))</f>
        <v/>
      </c>
      <c r="X35" s="52" t="str">
        <f aca="false">IF(W35="","",B35&amp;"|"&amp;W35)</f>
        <v/>
      </c>
      <c r="Y35" s="54" t="str">
        <f aca="false">IF(A35="","",IF(COUNTIF(CRT_ID,A35)&gt;1,"CHECK: duplicate ID",IF(B35="","CHECK: Supplier ID missing",IF(COUNTIF(INV_ID,B35)=0,"CHECK: Supplier ID not in inventory",IF(AND(W35="Current",COUNTIF(CRT_KEY,X35)&gt;1),"CHECK: two current assessments for supplier","OK")))))</f>
        <v/>
      </c>
    </row>
    <row r="36" customFormat="false" ht="15" hidden="false" customHeight="false" outlineLevel="0" collapsed="false">
      <c r="A36" s="50"/>
      <c r="B36" s="50"/>
      <c r="C36" s="59" t="str">
        <f aca="false">IF(B36="","",IFERROR(INDEX(INV_NAME,MATCH(B36,INV_ID,0)),"CHECK: Supplier ID not found"))</f>
        <v/>
      </c>
      <c r="D36" s="51"/>
      <c r="E36" s="50"/>
      <c r="F36" s="50"/>
      <c r="G36" s="50"/>
      <c r="H36" s="50"/>
      <c r="I36" s="50"/>
      <c r="J36" s="34"/>
      <c r="K36" s="34"/>
      <c r="L36" s="34"/>
      <c r="M36" s="34"/>
      <c r="N36" s="34"/>
      <c r="O36" s="50"/>
      <c r="P36" s="50"/>
      <c r="Q36" s="51"/>
      <c r="R36" s="60"/>
      <c r="S36" s="52" t="str">
        <f aca="false">IF(A36="","",IF(COUNTIFS(E36:I36,"&gt;=1",E36:I36,"&lt;=3")&lt;5,"Incomplete",IF(SUMPRODUCT(--(MOD(E36:I36,1)&lt;&gt;0))&gt;0,"Incomplete",IF(MAX(E36:I36)=3,"High",IF(MAX(E36:I36)=2,"Medium","Low")))))</f>
        <v/>
      </c>
      <c r="T36" s="54" t="str">
        <f aca="false">IF(A36="","",IFERROR(INDEX(TierDD,MATCH(S36,TierNames,0)),"Not determined"))</f>
        <v/>
      </c>
      <c r="U36" s="54" t="str">
        <f aca="false">IF(A36="","",IF(AND(COUNT(E36:I36)=5,COUNTA(J36:N36)=5),"None",IF(COUNT(E36:I36)&lt;5,"Ratings missing: "&amp;(5-COUNT(E36:I36))&amp;". ","")&amp;IF(COUNTA(J36:N36)&lt;5,"Rationale missing: "&amp;(5-COUNTA(J36:N36))&amp;".","")))</f>
        <v/>
      </c>
      <c r="V36" s="54" t="str">
        <f aca="false">IF(A36="","",IF(R36="","Proposed - not confirmed",R36))</f>
        <v/>
      </c>
      <c r="W36" s="52" t="str">
        <f aca="false">IF(OR(A36="",B36=""),"",IF(COUNTIFS(CRT_SUP,B36,CRT_DATE,"&gt;"&amp;N(D36))=0,"Current","Superseded"))</f>
        <v/>
      </c>
      <c r="X36" s="52" t="str">
        <f aca="false">IF(W36="","",B36&amp;"|"&amp;W36)</f>
        <v/>
      </c>
      <c r="Y36" s="54" t="str">
        <f aca="false">IF(A36="","",IF(COUNTIF(CRT_ID,A36)&gt;1,"CHECK: duplicate ID",IF(B36="","CHECK: Supplier ID missing",IF(COUNTIF(INV_ID,B36)=0,"CHECK: Supplier ID not in inventory",IF(AND(W36="Current",COUNTIF(CRT_KEY,X36)&gt;1),"CHECK: two current assessments for supplier","OK")))))</f>
        <v/>
      </c>
    </row>
    <row r="37" customFormat="false" ht="15" hidden="false" customHeight="false" outlineLevel="0" collapsed="false">
      <c r="A37" s="50"/>
      <c r="B37" s="50"/>
      <c r="C37" s="59" t="str">
        <f aca="false">IF(B37="","",IFERROR(INDEX(INV_NAME,MATCH(B37,INV_ID,0)),"CHECK: Supplier ID not found"))</f>
        <v/>
      </c>
      <c r="D37" s="51"/>
      <c r="E37" s="50"/>
      <c r="F37" s="50"/>
      <c r="G37" s="50"/>
      <c r="H37" s="50"/>
      <c r="I37" s="50"/>
      <c r="J37" s="34"/>
      <c r="K37" s="34"/>
      <c r="L37" s="34"/>
      <c r="M37" s="34"/>
      <c r="N37" s="34"/>
      <c r="O37" s="50"/>
      <c r="P37" s="50"/>
      <c r="Q37" s="51"/>
      <c r="R37" s="60"/>
      <c r="S37" s="52" t="str">
        <f aca="false">IF(A37="","",IF(COUNTIFS(E37:I37,"&gt;=1",E37:I37,"&lt;=3")&lt;5,"Incomplete",IF(SUMPRODUCT(--(MOD(E37:I37,1)&lt;&gt;0))&gt;0,"Incomplete",IF(MAX(E37:I37)=3,"High",IF(MAX(E37:I37)=2,"Medium","Low")))))</f>
        <v/>
      </c>
      <c r="T37" s="54" t="str">
        <f aca="false">IF(A37="","",IFERROR(INDEX(TierDD,MATCH(S37,TierNames,0)),"Not determined"))</f>
        <v/>
      </c>
      <c r="U37" s="54" t="str">
        <f aca="false">IF(A37="","",IF(AND(COUNT(E37:I37)=5,COUNTA(J37:N37)=5),"None",IF(COUNT(E37:I37)&lt;5,"Ratings missing: "&amp;(5-COUNT(E37:I37))&amp;". ","")&amp;IF(COUNTA(J37:N37)&lt;5,"Rationale missing: "&amp;(5-COUNTA(J37:N37))&amp;".","")))</f>
        <v/>
      </c>
      <c r="V37" s="54" t="str">
        <f aca="false">IF(A37="","",IF(R37="","Proposed - not confirmed",R37))</f>
        <v/>
      </c>
      <c r="W37" s="52" t="str">
        <f aca="false">IF(OR(A37="",B37=""),"",IF(COUNTIFS(CRT_SUP,B37,CRT_DATE,"&gt;"&amp;N(D37))=0,"Current","Superseded"))</f>
        <v/>
      </c>
      <c r="X37" s="52" t="str">
        <f aca="false">IF(W37="","",B37&amp;"|"&amp;W37)</f>
        <v/>
      </c>
      <c r="Y37" s="54" t="str">
        <f aca="false">IF(A37="","",IF(COUNTIF(CRT_ID,A37)&gt;1,"CHECK: duplicate ID",IF(B37="","CHECK: Supplier ID missing",IF(COUNTIF(INV_ID,B37)=0,"CHECK: Supplier ID not in inventory",IF(AND(W37="Current",COUNTIF(CRT_KEY,X37)&gt;1),"CHECK: two current assessments for supplier","OK")))))</f>
        <v/>
      </c>
    </row>
    <row r="38" customFormat="false" ht="15" hidden="false" customHeight="false" outlineLevel="0" collapsed="false">
      <c r="A38" s="50"/>
      <c r="B38" s="50"/>
      <c r="C38" s="59" t="str">
        <f aca="false">IF(B38="","",IFERROR(INDEX(INV_NAME,MATCH(B38,INV_ID,0)),"CHECK: Supplier ID not found"))</f>
        <v/>
      </c>
      <c r="D38" s="51"/>
      <c r="E38" s="50"/>
      <c r="F38" s="50"/>
      <c r="G38" s="50"/>
      <c r="H38" s="50"/>
      <c r="I38" s="50"/>
      <c r="J38" s="34"/>
      <c r="K38" s="34"/>
      <c r="L38" s="34"/>
      <c r="M38" s="34"/>
      <c r="N38" s="34"/>
      <c r="O38" s="50"/>
      <c r="P38" s="50"/>
      <c r="Q38" s="51"/>
      <c r="R38" s="60"/>
      <c r="S38" s="52" t="str">
        <f aca="false">IF(A38="","",IF(COUNTIFS(E38:I38,"&gt;=1",E38:I38,"&lt;=3")&lt;5,"Incomplete",IF(SUMPRODUCT(--(MOD(E38:I38,1)&lt;&gt;0))&gt;0,"Incomplete",IF(MAX(E38:I38)=3,"High",IF(MAX(E38:I38)=2,"Medium","Low")))))</f>
        <v/>
      </c>
      <c r="T38" s="54" t="str">
        <f aca="false">IF(A38="","",IFERROR(INDEX(TierDD,MATCH(S38,TierNames,0)),"Not determined"))</f>
        <v/>
      </c>
      <c r="U38" s="54" t="str">
        <f aca="false">IF(A38="","",IF(AND(COUNT(E38:I38)=5,COUNTA(J38:N38)=5),"None",IF(COUNT(E38:I38)&lt;5,"Ratings missing: "&amp;(5-COUNT(E38:I38))&amp;". ","")&amp;IF(COUNTA(J38:N38)&lt;5,"Rationale missing: "&amp;(5-COUNTA(J38:N38))&amp;".","")))</f>
        <v/>
      </c>
      <c r="V38" s="54" t="str">
        <f aca="false">IF(A38="","",IF(R38="","Proposed - not confirmed",R38))</f>
        <v/>
      </c>
      <c r="W38" s="52" t="str">
        <f aca="false">IF(OR(A38="",B38=""),"",IF(COUNTIFS(CRT_SUP,B38,CRT_DATE,"&gt;"&amp;N(D38))=0,"Current","Superseded"))</f>
        <v/>
      </c>
      <c r="X38" s="52" t="str">
        <f aca="false">IF(W38="","",B38&amp;"|"&amp;W38)</f>
        <v/>
      </c>
      <c r="Y38" s="54" t="str">
        <f aca="false">IF(A38="","",IF(COUNTIF(CRT_ID,A38)&gt;1,"CHECK: duplicate ID",IF(B38="","CHECK: Supplier ID missing",IF(COUNTIF(INV_ID,B38)=0,"CHECK: Supplier ID not in inventory",IF(AND(W38="Current",COUNTIF(CRT_KEY,X38)&gt;1),"CHECK: two current assessments for supplier","OK")))))</f>
        <v/>
      </c>
    </row>
    <row r="39" customFormat="false" ht="15" hidden="false" customHeight="false" outlineLevel="0" collapsed="false">
      <c r="A39" s="50"/>
      <c r="B39" s="50"/>
      <c r="C39" s="59" t="str">
        <f aca="false">IF(B39="","",IFERROR(INDEX(INV_NAME,MATCH(B39,INV_ID,0)),"CHECK: Supplier ID not found"))</f>
        <v/>
      </c>
      <c r="D39" s="51"/>
      <c r="E39" s="50"/>
      <c r="F39" s="50"/>
      <c r="G39" s="50"/>
      <c r="H39" s="50"/>
      <c r="I39" s="50"/>
      <c r="J39" s="34"/>
      <c r="K39" s="34"/>
      <c r="L39" s="34"/>
      <c r="M39" s="34"/>
      <c r="N39" s="34"/>
      <c r="O39" s="50"/>
      <c r="P39" s="50"/>
      <c r="Q39" s="51"/>
      <c r="R39" s="60"/>
      <c r="S39" s="52" t="str">
        <f aca="false">IF(A39="","",IF(COUNTIFS(E39:I39,"&gt;=1",E39:I39,"&lt;=3")&lt;5,"Incomplete",IF(SUMPRODUCT(--(MOD(E39:I39,1)&lt;&gt;0))&gt;0,"Incomplete",IF(MAX(E39:I39)=3,"High",IF(MAX(E39:I39)=2,"Medium","Low")))))</f>
        <v/>
      </c>
      <c r="T39" s="54" t="str">
        <f aca="false">IF(A39="","",IFERROR(INDEX(TierDD,MATCH(S39,TierNames,0)),"Not determined"))</f>
        <v/>
      </c>
      <c r="U39" s="54" t="str">
        <f aca="false">IF(A39="","",IF(AND(COUNT(E39:I39)=5,COUNTA(J39:N39)=5),"None",IF(COUNT(E39:I39)&lt;5,"Ratings missing: "&amp;(5-COUNT(E39:I39))&amp;". ","")&amp;IF(COUNTA(J39:N39)&lt;5,"Rationale missing: "&amp;(5-COUNTA(J39:N39))&amp;".","")))</f>
        <v/>
      </c>
      <c r="V39" s="54" t="str">
        <f aca="false">IF(A39="","",IF(R39="","Proposed - not confirmed",R39))</f>
        <v/>
      </c>
      <c r="W39" s="52" t="str">
        <f aca="false">IF(OR(A39="",B39=""),"",IF(COUNTIFS(CRT_SUP,B39,CRT_DATE,"&gt;"&amp;N(D39))=0,"Current","Superseded"))</f>
        <v/>
      </c>
      <c r="X39" s="52" t="str">
        <f aca="false">IF(W39="","",B39&amp;"|"&amp;W39)</f>
        <v/>
      </c>
      <c r="Y39" s="54" t="str">
        <f aca="false">IF(A39="","",IF(COUNTIF(CRT_ID,A39)&gt;1,"CHECK: duplicate ID",IF(B39="","CHECK: Supplier ID missing",IF(COUNTIF(INV_ID,B39)=0,"CHECK: Supplier ID not in inventory",IF(AND(W39="Current",COUNTIF(CRT_KEY,X39)&gt;1),"CHECK: two current assessments for supplier","OK")))))</f>
        <v/>
      </c>
    </row>
    <row r="40" customFormat="false" ht="15" hidden="false" customHeight="false" outlineLevel="0" collapsed="false">
      <c r="A40" s="50"/>
      <c r="B40" s="50"/>
      <c r="C40" s="59" t="str">
        <f aca="false">IF(B40="","",IFERROR(INDEX(INV_NAME,MATCH(B40,INV_ID,0)),"CHECK: Supplier ID not found"))</f>
        <v/>
      </c>
      <c r="D40" s="51"/>
      <c r="E40" s="50"/>
      <c r="F40" s="50"/>
      <c r="G40" s="50"/>
      <c r="H40" s="50"/>
      <c r="I40" s="50"/>
      <c r="J40" s="34"/>
      <c r="K40" s="34"/>
      <c r="L40" s="34"/>
      <c r="M40" s="34"/>
      <c r="N40" s="34"/>
      <c r="O40" s="50"/>
      <c r="P40" s="50"/>
      <c r="Q40" s="51"/>
      <c r="R40" s="60"/>
      <c r="S40" s="52" t="str">
        <f aca="false">IF(A40="","",IF(COUNTIFS(E40:I40,"&gt;=1",E40:I40,"&lt;=3")&lt;5,"Incomplete",IF(SUMPRODUCT(--(MOD(E40:I40,1)&lt;&gt;0))&gt;0,"Incomplete",IF(MAX(E40:I40)=3,"High",IF(MAX(E40:I40)=2,"Medium","Low")))))</f>
        <v/>
      </c>
      <c r="T40" s="54" t="str">
        <f aca="false">IF(A40="","",IFERROR(INDEX(TierDD,MATCH(S40,TierNames,0)),"Not determined"))</f>
        <v/>
      </c>
      <c r="U40" s="54" t="str">
        <f aca="false">IF(A40="","",IF(AND(COUNT(E40:I40)=5,COUNTA(J40:N40)=5),"None",IF(COUNT(E40:I40)&lt;5,"Ratings missing: "&amp;(5-COUNT(E40:I40))&amp;". ","")&amp;IF(COUNTA(J40:N40)&lt;5,"Rationale missing: "&amp;(5-COUNTA(J40:N40))&amp;".","")))</f>
        <v/>
      </c>
      <c r="V40" s="54" t="str">
        <f aca="false">IF(A40="","",IF(R40="","Proposed - not confirmed",R40))</f>
        <v/>
      </c>
      <c r="W40" s="52" t="str">
        <f aca="false">IF(OR(A40="",B40=""),"",IF(COUNTIFS(CRT_SUP,B40,CRT_DATE,"&gt;"&amp;N(D40))=0,"Current","Superseded"))</f>
        <v/>
      </c>
      <c r="X40" s="52" t="str">
        <f aca="false">IF(W40="","",B40&amp;"|"&amp;W40)</f>
        <v/>
      </c>
      <c r="Y40" s="54" t="str">
        <f aca="false">IF(A40="","",IF(COUNTIF(CRT_ID,A40)&gt;1,"CHECK: duplicate ID",IF(B40="","CHECK: Supplier ID missing",IF(COUNTIF(INV_ID,B40)=0,"CHECK: Supplier ID not in inventory",IF(AND(W40="Current",COUNTIF(CRT_KEY,X40)&gt;1),"CHECK: two current assessments for supplier","OK")))))</f>
        <v/>
      </c>
    </row>
    <row r="41" customFormat="false" ht="15" hidden="false" customHeight="false" outlineLevel="0" collapsed="false">
      <c r="A41" s="50"/>
      <c r="B41" s="50"/>
      <c r="C41" s="59" t="str">
        <f aca="false">IF(B41="","",IFERROR(INDEX(INV_NAME,MATCH(B41,INV_ID,0)),"CHECK: Supplier ID not found"))</f>
        <v/>
      </c>
      <c r="D41" s="51"/>
      <c r="E41" s="50"/>
      <c r="F41" s="50"/>
      <c r="G41" s="50"/>
      <c r="H41" s="50"/>
      <c r="I41" s="50"/>
      <c r="J41" s="34"/>
      <c r="K41" s="34"/>
      <c r="L41" s="34"/>
      <c r="M41" s="34"/>
      <c r="N41" s="34"/>
      <c r="O41" s="50"/>
      <c r="P41" s="50"/>
      <c r="Q41" s="51"/>
      <c r="R41" s="60"/>
      <c r="S41" s="52" t="str">
        <f aca="false">IF(A41="","",IF(COUNTIFS(E41:I41,"&gt;=1",E41:I41,"&lt;=3")&lt;5,"Incomplete",IF(SUMPRODUCT(--(MOD(E41:I41,1)&lt;&gt;0))&gt;0,"Incomplete",IF(MAX(E41:I41)=3,"High",IF(MAX(E41:I41)=2,"Medium","Low")))))</f>
        <v/>
      </c>
      <c r="T41" s="54" t="str">
        <f aca="false">IF(A41="","",IFERROR(INDEX(TierDD,MATCH(S41,TierNames,0)),"Not determined"))</f>
        <v/>
      </c>
      <c r="U41" s="54" t="str">
        <f aca="false">IF(A41="","",IF(AND(COUNT(E41:I41)=5,COUNTA(J41:N41)=5),"None",IF(COUNT(E41:I41)&lt;5,"Ratings missing: "&amp;(5-COUNT(E41:I41))&amp;". ","")&amp;IF(COUNTA(J41:N41)&lt;5,"Rationale missing: "&amp;(5-COUNTA(J41:N41))&amp;".","")))</f>
        <v/>
      </c>
      <c r="V41" s="54" t="str">
        <f aca="false">IF(A41="","",IF(R41="","Proposed - not confirmed",R41))</f>
        <v/>
      </c>
      <c r="W41" s="52" t="str">
        <f aca="false">IF(OR(A41="",B41=""),"",IF(COUNTIFS(CRT_SUP,B41,CRT_DATE,"&gt;"&amp;N(D41))=0,"Current","Superseded"))</f>
        <v/>
      </c>
      <c r="X41" s="52" t="str">
        <f aca="false">IF(W41="","",B41&amp;"|"&amp;W41)</f>
        <v/>
      </c>
      <c r="Y41" s="54" t="str">
        <f aca="false">IF(A41="","",IF(COUNTIF(CRT_ID,A41)&gt;1,"CHECK: duplicate ID",IF(B41="","CHECK: Supplier ID missing",IF(COUNTIF(INV_ID,B41)=0,"CHECK: Supplier ID not in inventory",IF(AND(W41="Current",COUNTIF(CRT_KEY,X41)&gt;1),"CHECK: two current assessments for supplier","OK")))))</f>
        <v/>
      </c>
    </row>
    <row r="42" customFormat="false" ht="15" hidden="false" customHeight="false" outlineLevel="0" collapsed="false">
      <c r="A42" s="50"/>
      <c r="B42" s="50"/>
      <c r="C42" s="59" t="str">
        <f aca="false">IF(B42="","",IFERROR(INDEX(INV_NAME,MATCH(B42,INV_ID,0)),"CHECK: Supplier ID not found"))</f>
        <v/>
      </c>
      <c r="D42" s="51"/>
      <c r="E42" s="50"/>
      <c r="F42" s="50"/>
      <c r="G42" s="50"/>
      <c r="H42" s="50"/>
      <c r="I42" s="50"/>
      <c r="J42" s="34"/>
      <c r="K42" s="34"/>
      <c r="L42" s="34"/>
      <c r="M42" s="34"/>
      <c r="N42" s="34"/>
      <c r="O42" s="50"/>
      <c r="P42" s="50"/>
      <c r="Q42" s="51"/>
      <c r="R42" s="60"/>
      <c r="S42" s="52" t="str">
        <f aca="false">IF(A42="","",IF(COUNTIFS(E42:I42,"&gt;=1",E42:I42,"&lt;=3")&lt;5,"Incomplete",IF(SUMPRODUCT(--(MOD(E42:I42,1)&lt;&gt;0))&gt;0,"Incomplete",IF(MAX(E42:I42)=3,"High",IF(MAX(E42:I42)=2,"Medium","Low")))))</f>
        <v/>
      </c>
      <c r="T42" s="54" t="str">
        <f aca="false">IF(A42="","",IFERROR(INDEX(TierDD,MATCH(S42,TierNames,0)),"Not determined"))</f>
        <v/>
      </c>
      <c r="U42" s="54" t="str">
        <f aca="false">IF(A42="","",IF(AND(COUNT(E42:I42)=5,COUNTA(J42:N42)=5),"None",IF(COUNT(E42:I42)&lt;5,"Ratings missing: "&amp;(5-COUNT(E42:I42))&amp;". ","")&amp;IF(COUNTA(J42:N42)&lt;5,"Rationale missing: "&amp;(5-COUNTA(J42:N42))&amp;".","")))</f>
        <v/>
      </c>
      <c r="V42" s="54" t="str">
        <f aca="false">IF(A42="","",IF(R42="","Proposed - not confirmed",R42))</f>
        <v/>
      </c>
      <c r="W42" s="52" t="str">
        <f aca="false">IF(OR(A42="",B42=""),"",IF(COUNTIFS(CRT_SUP,B42,CRT_DATE,"&gt;"&amp;N(D42))=0,"Current","Superseded"))</f>
        <v/>
      </c>
      <c r="X42" s="52" t="str">
        <f aca="false">IF(W42="","",B42&amp;"|"&amp;W42)</f>
        <v/>
      </c>
      <c r="Y42" s="54" t="str">
        <f aca="false">IF(A42="","",IF(COUNTIF(CRT_ID,A42)&gt;1,"CHECK: duplicate ID",IF(B42="","CHECK: Supplier ID missing",IF(COUNTIF(INV_ID,B42)=0,"CHECK: Supplier ID not in inventory",IF(AND(W42="Current",COUNTIF(CRT_KEY,X42)&gt;1),"CHECK: two current assessments for supplier","OK")))))</f>
        <v/>
      </c>
    </row>
    <row r="43" customFormat="false" ht="15" hidden="false" customHeight="false" outlineLevel="0" collapsed="false">
      <c r="A43" s="50"/>
      <c r="B43" s="50"/>
      <c r="C43" s="59" t="str">
        <f aca="false">IF(B43="","",IFERROR(INDEX(INV_NAME,MATCH(B43,INV_ID,0)),"CHECK: Supplier ID not found"))</f>
        <v/>
      </c>
      <c r="D43" s="51"/>
      <c r="E43" s="50"/>
      <c r="F43" s="50"/>
      <c r="G43" s="50"/>
      <c r="H43" s="50"/>
      <c r="I43" s="50"/>
      <c r="J43" s="34"/>
      <c r="K43" s="34"/>
      <c r="L43" s="34"/>
      <c r="M43" s="34"/>
      <c r="N43" s="34"/>
      <c r="O43" s="50"/>
      <c r="P43" s="50"/>
      <c r="Q43" s="51"/>
      <c r="R43" s="60"/>
      <c r="S43" s="52" t="str">
        <f aca="false">IF(A43="","",IF(COUNTIFS(E43:I43,"&gt;=1",E43:I43,"&lt;=3")&lt;5,"Incomplete",IF(SUMPRODUCT(--(MOD(E43:I43,1)&lt;&gt;0))&gt;0,"Incomplete",IF(MAX(E43:I43)=3,"High",IF(MAX(E43:I43)=2,"Medium","Low")))))</f>
        <v/>
      </c>
      <c r="T43" s="54" t="str">
        <f aca="false">IF(A43="","",IFERROR(INDEX(TierDD,MATCH(S43,TierNames,0)),"Not determined"))</f>
        <v/>
      </c>
      <c r="U43" s="54" t="str">
        <f aca="false">IF(A43="","",IF(AND(COUNT(E43:I43)=5,COUNTA(J43:N43)=5),"None",IF(COUNT(E43:I43)&lt;5,"Ratings missing: "&amp;(5-COUNT(E43:I43))&amp;". ","")&amp;IF(COUNTA(J43:N43)&lt;5,"Rationale missing: "&amp;(5-COUNTA(J43:N43))&amp;".","")))</f>
        <v/>
      </c>
      <c r="V43" s="54" t="str">
        <f aca="false">IF(A43="","",IF(R43="","Proposed - not confirmed",R43))</f>
        <v/>
      </c>
      <c r="W43" s="52" t="str">
        <f aca="false">IF(OR(A43="",B43=""),"",IF(COUNTIFS(CRT_SUP,B43,CRT_DATE,"&gt;"&amp;N(D43))=0,"Current","Superseded"))</f>
        <v/>
      </c>
      <c r="X43" s="52" t="str">
        <f aca="false">IF(W43="","",B43&amp;"|"&amp;W43)</f>
        <v/>
      </c>
      <c r="Y43" s="54" t="str">
        <f aca="false">IF(A43="","",IF(COUNTIF(CRT_ID,A43)&gt;1,"CHECK: duplicate ID",IF(B43="","CHECK: Supplier ID missing",IF(COUNTIF(INV_ID,B43)=0,"CHECK: Supplier ID not in inventory",IF(AND(W43="Current",COUNTIF(CRT_KEY,X43)&gt;1),"CHECK: two current assessments for supplier","OK")))))</f>
        <v/>
      </c>
    </row>
    <row r="44" customFormat="false" ht="15" hidden="false" customHeight="false" outlineLevel="0" collapsed="false">
      <c r="A44" s="50"/>
      <c r="B44" s="50"/>
      <c r="C44" s="59" t="str">
        <f aca="false">IF(B44="","",IFERROR(INDEX(INV_NAME,MATCH(B44,INV_ID,0)),"CHECK: Supplier ID not found"))</f>
        <v/>
      </c>
      <c r="D44" s="51"/>
      <c r="E44" s="50"/>
      <c r="F44" s="50"/>
      <c r="G44" s="50"/>
      <c r="H44" s="50"/>
      <c r="I44" s="50"/>
      <c r="J44" s="34"/>
      <c r="K44" s="34"/>
      <c r="L44" s="34"/>
      <c r="M44" s="34"/>
      <c r="N44" s="34"/>
      <c r="O44" s="50"/>
      <c r="P44" s="50"/>
      <c r="Q44" s="51"/>
      <c r="R44" s="60"/>
      <c r="S44" s="52" t="str">
        <f aca="false">IF(A44="","",IF(COUNTIFS(E44:I44,"&gt;=1",E44:I44,"&lt;=3")&lt;5,"Incomplete",IF(SUMPRODUCT(--(MOD(E44:I44,1)&lt;&gt;0))&gt;0,"Incomplete",IF(MAX(E44:I44)=3,"High",IF(MAX(E44:I44)=2,"Medium","Low")))))</f>
        <v/>
      </c>
      <c r="T44" s="54" t="str">
        <f aca="false">IF(A44="","",IFERROR(INDEX(TierDD,MATCH(S44,TierNames,0)),"Not determined"))</f>
        <v/>
      </c>
      <c r="U44" s="54" t="str">
        <f aca="false">IF(A44="","",IF(AND(COUNT(E44:I44)=5,COUNTA(J44:N44)=5),"None",IF(COUNT(E44:I44)&lt;5,"Ratings missing: "&amp;(5-COUNT(E44:I44))&amp;". ","")&amp;IF(COUNTA(J44:N44)&lt;5,"Rationale missing: "&amp;(5-COUNTA(J44:N44))&amp;".","")))</f>
        <v/>
      </c>
      <c r="V44" s="54" t="str">
        <f aca="false">IF(A44="","",IF(R44="","Proposed - not confirmed",R44))</f>
        <v/>
      </c>
      <c r="W44" s="52" t="str">
        <f aca="false">IF(OR(A44="",B44=""),"",IF(COUNTIFS(CRT_SUP,B44,CRT_DATE,"&gt;"&amp;N(D44))=0,"Current","Superseded"))</f>
        <v/>
      </c>
      <c r="X44" s="52" t="str">
        <f aca="false">IF(W44="","",B44&amp;"|"&amp;W44)</f>
        <v/>
      </c>
      <c r="Y44" s="54" t="str">
        <f aca="false">IF(A44="","",IF(COUNTIF(CRT_ID,A44)&gt;1,"CHECK: duplicate ID",IF(B44="","CHECK: Supplier ID missing",IF(COUNTIF(INV_ID,B44)=0,"CHECK: Supplier ID not in inventory",IF(AND(W44="Current",COUNTIF(CRT_KEY,X44)&gt;1),"CHECK: two current assessments for supplier","OK")))))</f>
        <v/>
      </c>
    </row>
    <row r="45" customFormat="false" ht="15" hidden="false" customHeight="false" outlineLevel="0" collapsed="false">
      <c r="A45" s="50"/>
      <c r="B45" s="50"/>
      <c r="C45" s="59" t="str">
        <f aca="false">IF(B45="","",IFERROR(INDEX(INV_NAME,MATCH(B45,INV_ID,0)),"CHECK: Supplier ID not found"))</f>
        <v/>
      </c>
      <c r="D45" s="51"/>
      <c r="E45" s="50"/>
      <c r="F45" s="50"/>
      <c r="G45" s="50"/>
      <c r="H45" s="50"/>
      <c r="I45" s="50"/>
      <c r="J45" s="34"/>
      <c r="K45" s="34"/>
      <c r="L45" s="34"/>
      <c r="M45" s="34"/>
      <c r="N45" s="34"/>
      <c r="O45" s="50"/>
      <c r="P45" s="50"/>
      <c r="Q45" s="51"/>
      <c r="R45" s="60"/>
      <c r="S45" s="52" t="str">
        <f aca="false">IF(A45="","",IF(COUNTIFS(E45:I45,"&gt;=1",E45:I45,"&lt;=3")&lt;5,"Incomplete",IF(SUMPRODUCT(--(MOD(E45:I45,1)&lt;&gt;0))&gt;0,"Incomplete",IF(MAX(E45:I45)=3,"High",IF(MAX(E45:I45)=2,"Medium","Low")))))</f>
        <v/>
      </c>
      <c r="T45" s="54" t="str">
        <f aca="false">IF(A45="","",IFERROR(INDEX(TierDD,MATCH(S45,TierNames,0)),"Not determined"))</f>
        <v/>
      </c>
      <c r="U45" s="54" t="str">
        <f aca="false">IF(A45="","",IF(AND(COUNT(E45:I45)=5,COUNTA(J45:N45)=5),"None",IF(COUNT(E45:I45)&lt;5,"Ratings missing: "&amp;(5-COUNT(E45:I45))&amp;". ","")&amp;IF(COUNTA(J45:N45)&lt;5,"Rationale missing: "&amp;(5-COUNTA(J45:N45))&amp;".","")))</f>
        <v/>
      </c>
      <c r="V45" s="54" t="str">
        <f aca="false">IF(A45="","",IF(R45="","Proposed - not confirmed",R45))</f>
        <v/>
      </c>
      <c r="W45" s="52" t="str">
        <f aca="false">IF(OR(A45="",B45=""),"",IF(COUNTIFS(CRT_SUP,B45,CRT_DATE,"&gt;"&amp;N(D45))=0,"Current","Superseded"))</f>
        <v/>
      </c>
      <c r="X45" s="52" t="str">
        <f aca="false">IF(W45="","",B45&amp;"|"&amp;W45)</f>
        <v/>
      </c>
      <c r="Y45" s="54" t="str">
        <f aca="false">IF(A45="","",IF(COUNTIF(CRT_ID,A45)&gt;1,"CHECK: duplicate ID",IF(B45="","CHECK: Supplier ID missing",IF(COUNTIF(INV_ID,B45)=0,"CHECK: Supplier ID not in inventory",IF(AND(W45="Current",COUNTIF(CRT_KEY,X45)&gt;1),"CHECK: two current assessments for supplier","OK")))))</f>
        <v/>
      </c>
    </row>
    <row r="46" customFormat="false" ht="15" hidden="false" customHeight="false" outlineLevel="0" collapsed="false">
      <c r="A46" s="50"/>
      <c r="B46" s="50"/>
      <c r="C46" s="59" t="str">
        <f aca="false">IF(B46="","",IFERROR(INDEX(INV_NAME,MATCH(B46,INV_ID,0)),"CHECK: Supplier ID not found"))</f>
        <v/>
      </c>
      <c r="D46" s="51"/>
      <c r="E46" s="50"/>
      <c r="F46" s="50"/>
      <c r="G46" s="50"/>
      <c r="H46" s="50"/>
      <c r="I46" s="50"/>
      <c r="J46" s="34"/>
      <c r="K46" s="34"/>
      <c r="L46" s="34"/>
      <c r="M46" s="34"/>
      <c r="N46" s="34"/>
      <c r="O46" s="50"/>
      <c r="P46" s="50"/>
      <c r="Q46" s="51"/>
      <c r="R46" s="60"/>
      <c r="S46" s="52" t="str">
        <f aca="false">IF(A46="","",IF(COUNTIFS(E46:I46,"&gt;=1",E46:I46,"&lt;=3")&lt;5,"Incomplete",IF(SUMPRODUCT(--(MOD(E46:I46,1)&lt;&gt;0))&gt;0,"Incomplete",IF(MAX(E46:I46)=3,"High",IF(MAX(E46:I46)=2,"Medium","Low")))))</f>
        <v/>
      </c>
      <c r="T46" s="54" t="str">
        <f aca="false">IF(A46="","",IFERROR(INDEX(TierDD,MATCH(S46,TierNames,0)),"Not determined"))</f>
        <v/>
      </c>
      <c r="U46" s="54" t="str">
        <f aca="false">IF(A46="","",IF(AND(COUNT(E46:I46)=5,COUNTA(J46:N46)=5),"None",IF(COUNT(E46:I46)&lt;5,"Ratings missing: "&amp;(5-COUNT(E46:I46))&amp;". ","")&amp;IF(COUNTA(J46:N46)&lt;5,"Rationale missing: "&amp;(5-COUNTA(J46:N46))&amp;".","")))</f>
        <v/>
      </c>
      <c r="V46" s="54" t="str">
        <f aca="false">IF(A46="","",IF(R46="","Proposed - not confirmed",R46))</f>
        <v/>
      </c>
      <c r="W46" s="52" t="str">
        <f aca="false">IF(OR(A46="",B46=""),"",IF(COUNTIFS(CRT_SUP,B46,CRT_DATE,"&gt;"&amp;N(D46))=0,"Current","Superseded"))</f>
        <v/>
      </c>
      <c r="X46" s="52" t="str">
        <f aca="false">IF(W46="","",B46&amp;"|"&amp;W46)</f>
        <v/>
      </c>
      <c r="Y46" s="54" t="str">
        <f aca="false">IF(A46="","",IF(COUNTIF(CRT_ID,A46)&gt;1,"CHECK: duplicate ID",IF(B46="","CHECK: Supplier ID missing",IF(COUNTIF(INV_ID,B46)=0,"CHECK: Supplier ID not in inventory",IF(AND(W46="Current",COUNTIF(CRT_KEY,X46)&gt;1),"CHECK: two current assessments for supplier","OK")))))</f>
        <v/>
      </c>
    </row>
    <row r="47" customFormat="false" ht="15" hidden="false" customHeight="false" outlineLevel="0" collapsed="false">
      <c r="A47" s="50"/>
      <c r="B47" s="50"/>
      <c r="C47" s="59" t="str">
        <f aca="false">IF(B47="","",IFERROR(INDEX(INV_NAME,MATCH(B47,INV_ID,0)),"CHECK: Supplier ID not found"))</f>
        <v/>
      </c>
      <c r="D47" s="51"/>
      <c r="E47" s="50"/>
      <c r="F47" s="50"/>
      <c r="G47" s="50"/>
      <c r="H47" s="50"/>
      <c r="I47" s="50"/>
      <c r="J47" s="34"/>
      <c r="K47" s="34"/>
      <c r="L47" s="34"/>
      <c r="M47" s="34"/>
      <c r="N47" s="34"/>
      <c r="O47" s="50"/>
      <c r="P47" s="50"/>
      <c r="Q47" s="51"/>
      <c r="R47" s="60"/>
      <c r="S47" s="52" t="str">
        <f aca="false">IF(A47="","",IF(COUNTIFS(E47:I47,"&gt;=1",E47:I47,"&lt;=3")&lt;5,"Incomplete",IF(SUMPRODUCT(--(MOD(E47:I47,1)&lt;&gt;0))&gt;0,"Incomplete",IF(MAX(E47:I47)=3,"High",IF(MAX(E47:I47)=2,"Medium","Low")))))</f>
        <v/>
      </c>
      <c r="T47" s="54" t="str">
        <f aca="false">IF(A47="","",IFERROR(INDEX(TierDD,MATCH(S47,TierNames,0)),"Not determined"))</f>
        <v/>
      </c>
      <c r="U47" s="54" t="str">
        <f aca="false">IF(A47="","",IF(AND(COUNT(E47:I47)=5,COUNTA(J47:N47)=5),"None",IF(COUNT(E47:I47)&lt;5,"Ratings missing: "&amp;(5-COUNT(E47:I47))&amp;". ","")&amp;IF(COUNTA(J47:N47)&lt;5,"Rationale missing: "&amp;(5-COUNTA(J47:N47))&amp;".","")))</f>
        <v/>
      </c>
      <c r="V47" s="54" t="str">
        <f aca="false">IF(A47="","",IF(R47="","Proposed - not confirmed",R47))</f>
        <v/>
      </c>
      <c r="W47" s="52" t="str">
        <f aca="false">IF(OR(A47="",B47=""),"",IF(COUNTIFS(CRT_SUP,B47,CRT_DATE,"&gt;"&amp;N(D47))=0,"Current","Superseded"))</f>
        <v/>
      </c>
      <c r="X47" s="52" t="str">
        <f aca="false">IF(W47="","",B47&amp;"|"&amp;W47)</f>
        <v/>
      </c>
      <c r="Y47" s="54" t="str">
        <f aca="false">IF(A47="","",IF(COUNTIF(CRT_ID,A47)&gt;1,"CHECK: duplicate ID",IF(B47="","CHECK: Supplier ID missing",IF(COUNTIF(INV_ID,B47)=0,"CHECK: Supplier ID not in inventory",IF(AND(W47="Current",COUNTIF(CRT_KEY,X47)&gt;1),"CHECK: two current assessments for supplier","OK")))))</f>
        <v/>
      </c>
    </row>
    <row r="48" customFormat="false" ht="15" hidden="false" customHeight="false" outlineLevel="0" collapsed="false">
      <c r="A48" s="50"/>
      <c r="B48" s="50"/>
      <c r="C48" s="59" t="str">
        <f aca="false">IF(B48="","",IFERROR(INDEX(INV_NAME,MATCH(B48,INV_ID,0)),"CHECK: Supplier ID not found"))</f>
        <v/>
      </c>
      <c r="D48" s="51"/>
      <c r="E48" s="50"/>
      <c r="F48" s="50"/>
      <c r="G48" s="50"/>
      <c r="H48" s="50"/>
      <c r="I48" s="50"/>
      <c r="J48" s="34"/>
      <c r="K48" s="34"/>
      <c r="L48" s="34"/>
      <c r="M48" s="34"/>
      <c r="N48" s="34"/>
      <c r="O48" s="50"/>
      <c r="P48" s="50"/>
      <c r="Q48" s="51"/>
      <c r="R48" s="60"/>
      <c r="S48" s="52" t="str">
        <f aca="false">IF(A48="","",IF(COUNTIFS(E48:I48,"&gt;=1",E48:I48,"&lt;=3")&lt;5,"Incomplete",IF(SUMPRODUCT(--(MOD(E48:I48,1)&lt;&gt;0))&gt;0,"Incomplete",IF(MAX(E48:I48)=3,"High",IF(MAX(E48:I48)=2,"Medium","Low")))))</f>
        <v/>
      </c>
      <c r="T48" s="54" t="str">
        <f aca="false">IF(A48="","",IFERROR(INDEX(TierDD,MATCH(S48,TierNames,0)),"Not determined"))</f>
        <v/>
      </c>
      <c r="U48" s="54" t="str">
        <f aca="false">IF(A48="","",IF(AND(COUNT(E48:I48)=5,COUNTA(J48:N48)=5),"None",IF(COUNT(E48:I48)&lt;5,"Ratings missing: "&amp;(5-COUNT(E48:I48))&amp;". ","")&amp;IF(COUNTA(J48:N48)&lt;5,"Rationale missing: "&amp;(5-COUNTA(J48:N48))&amp;".","")))</f>
        <v/>
      </c>
      <c r="V48" s="54" t="str">
        <f aca="false">IF(A48="","",IF(R48="","Proposed - not confirmed",R48))</f>
        <v/>
      </c>
      <c r="W48" s="52" t="str">
        <f aca="false">IF(OR(A48="",B48=""),"",IF(COUNTIFS(CRT_SUP,B48,CRT_DATE,"&gt;"&amp;N(D48))=0,"Current","Superseded"))</f>
        <v/>
      </c>
      <c r="X48" s="52" t="str">
        <f aca="false">IF(W48="","",B48&amp;"|"&amp;W48)</f>
        <v/>
      </c>
      <c r="Y48" s="54" t="str">
        <f aca="false">IF(A48="","",IF(COUNTIF(CRT_ID,A48)&gt;1,"CHECK: duplicate ID",IF(B48="","CHECK: Supplier ID missing",IF(COUNTIF(INV_ID,B48)=0,"CHECK: Supplier ID not in inventory",IF(AND(W48="Current",COUNTIF(CRT_KEY,X48)&gt;1),"CHECK: two current assessments for supplier","OK")))))</f>
        <v/>
      </c>
    </row>
    <row r="49" customFormat="false" ht="15" hidden="false" customHeight="false" outlineLevel="0" collapsed="false">
      <c r="A49" s="50"/>
      <c r="B49" s="50"/>
      <c r="C49" s="59" t="str">
        <f aca="false">IF(B49="","",IFERROR(INDEX(INV_NAME,MATCH(B49,INV_ID,0)),"CHECK: Supplier ID not found"))</f>
        <v/>
      </c>
      <c r="D49" s="51"/>
      <c r="E49" s="50"/>
      <c r="F49" s="50"/>
      <c r="G49" s="50"/>
      <c r="H49" s="50"/>
      <c r="I49" s="50"/>
      <c r="J49" s="34"/>
      <c r="K49" s="34"/>
      <c r="L49" s="34"/>
      <c r="M49" s="34"/>
      <c r="N49" s="34"/>
      <c r="O49" s="50"/>
      <c r="P49" s="50"/>
      <c r="Q49" s="51"/>
      <c r="R49" s="60"/>
      <c r="S49" s="52" t="str">
        <f aca="false">IF(A49="","",IF(COUNTIFS(E49:I49,"&gt;=1",E49:I49,"&lt;=3")&lt;5,"Incomplete",IF(SUMPRODUCT(--(MOD(E49:I49,1)&lt;&gt;0))&gt;0,"Incomplete",IF(MAX(E49:I49)=3,"High",IF(MAX(E49:I49)=2,"Medium","Low")))))</f>
        <v/>
      </c>
      <c r="T49" s="54" t="str">
        <f aca="false">IF(A49="","",IFERROR(INDEX(TierDD,MATCH(S49,TierNames,0)),"Not determined"))</f>
        <v/>
      </c>
      <c r="U49" s="54" t="str">
        <f aca="false">IF(A49="","",IF(AND(COUNT(E49:I49)=5,COUNTA(J49:N49)=5),"None",IF(COUNT(E49:I49)&lt;5,"Ratings missing: "&amp;(5-COUNT(E49:I49))&amp;". ","")&amp;IF(COUNTA(J49:N49)&lt;5,"Rationale missing: "&amp;(5-COUNTA(J49:N49))&amp;".","")))</f>
        <v/>
      </c>
      <c r="V49" s="54" t="str">
        <f aca="false">IF(A49="","",IF(R49="","Proposed - not confirmed",R49))</f>
        <v/>
      </c>
      <c r="W49" s="52" t="str">
        <f aca="false">IF(OR(A49="",B49=""),"",IF(COUNTIFS(CRT_SUP,B49,CRT_DATE,"&gt;"&amp;N(D49))=0,"Current","Superseded"))</f>
        <v/>
      </c>
      <c r="X49" s="52" t="str">
        <f aca="false">IF(W49="","",B49&amp;"|"&amp;W49)</f>
        <v/>
      </c>
      <c r="Y49" s="54" t="str">
        <f aca="false">IF(A49="","",IF(COUNTIF(CRT_ID,A49)&gt;1,"CHECK: duplicate ID",IF(B49="","CHECK: Supplier ID missing",IF(COUNTIF(INV_ID,B49)=0,"CHECK: Supplier ID not in inventory",IF(AND(W49="Current",COUNTIF(CRT_KEY,X49)&gt;1),"CHECK: two current assessments for supplier","OK")))))</f>
        <v/>
      </c>
    </row>
    <row r="50" customFormat="false" ht="15" hidden="false" customHeight="false" outlineLevel="0" collapsed="false">
      <c r="A50" s="50"/>
      <c r="B50" s="50"/>
      <c r="C50" s="59" t="str">
        <f aca="false">IF(B50="","",IFERROR(INDEX(INV_NAME,MATCH(B50,INV_ID,0)),"CHECK: Supplier ID not found"))</f>
        <v/>
      </c>
      <c r="D50" s="51"/>
      <c r="E50" s="50"/>
      <c r="F50" s="50"/>
      <c r="G50" s="50"/>
      <c r="H50" s="50"/>
      <c r="I50" s="50"/>
      <c r="J50" s="34"/>
      <c r="K50" s="34"/>
      <c r="L50" s="34"/>
      <c r="M50" s="34"/>
      <c r="N50" s="34"/>
      <c r="O50" s="50"/>
      <c r="P50" s="50"/>
      <c r="Q50" s="51"/>
      <c r="R50" s="60"/>
      <c r="S50" s="52" t="str">
        <f aca="false">IF(A50="","",IF(COUNTIFS(E50:I50,"&gt;=1",E50:I50,"&lt;=3")&lt;5,"Incomplete",IF(SUMPRODUCT(--(MOD(E50:I50,1)&lt;&gt;0))&gt;0,"Incomplete",IF(MAX(E50:I50)=3,"High",IF(MAX(E50:I50)=2,"Medium","Low")))))</f>
        <v/>
      </c>
      <c r="T50" s="54" t="str">
        <f aca="false">IF(A50="","",IFERROR(INDEX(TierDD,MATCH(S50,TierNames,0)),"Not determined"))</f>
        <v/>
      </c>
      <c r="U50" s="54" t="str">
        <f aca="false">IF(A50="","",IF(AND(COUNT(E50:I50)=5,COUNTA(J50:N50)=5),"None",IF(COUNT(E50:I50)&lt;5,"Ratings missing: "&amp;(5-COUNT(E50:I50))&amp;". ","")&amp;IF(COUNTA(J50:N50)&lt;5,"Rationale missing: "&amp;(5-COUNTA(J50:N50))&amp;".","")))</f>
        <v/>
      </c>
      <c r="V50" s="54" t="str">
        <f aca="false">IF(A50="","",IF(R50="","Proposed - not confirmed",R50))</f>
        <v/>
      </c>
      <c r="W50" s="52" t="str">
        <f aca="false">IF(OR(A50="",B50=""),"",IF(COUNTIFS(CRT_SUP,B50,CRT_DATE,"&gt;"&amp;N(D50))=0,"Current","Superseded"))</f>
        <v/>
      </c>
      <c r="X50" s="52" t="str">
        <f aca="false">IF(W50="","",B50&amp;"|"&amp;W50)</f>
        <v/>
      </c>
      <c r="Y50" s="54" t="str">
        <f aca="false">IF(A50="","",IF(COUNTIF(CRT_ID,A50)&gt;1,"CHECK: duplicate ID",IF(B50="","CHECK: Supplier ID missing",IF(COUNTIF(INV_ID,B50)=0,"CHECK: Supplier ID not in inventory",IF(AND(W50="Current",COUNTIF(CRT_KEY,X50)&gt;1),"CHECK: two current assessments for supplier","OK")))))</f>
        <v/>
      </c>
    </row>
    <row r="51" customFormat="false" ht="15" hidden="false" customHeight="false" outlineLevel="0" collapsed="false">
      <c r="A51" s="50"/>
      <c r="B51" s="50"/>
      <c r="C51" s="59" t="str">
        <f aca="false">IF(B51="","",IFERROR(INDEX(INV_NAME,MATCH(B51,INV_ID,0)),"CHECK: Supplier ID not found"))</f>
        <v/>
      </c>
      <c r="D51" s="51"/>
      <c r="E51" s="50"/>
      <c r="F51" s="50"/>
      <c r="G51" s="50"/>
      <c r="H51" s="50"/>
      <c r="I51" s="50"/>
      <c r="J51" s="34"/>
      <c r="K51" s="34"/>
      <c r="L51" s="34"/>
      <c r="M51" s="34"/>
      <c r="N51" s="34"/>
      <c r="O51" s="50"/>
      <c r="P51" s="50"/>
      <c r="Q51" s="51"/>
      <c r="R51" s="60"/>
      <c r="S51" s="52" t="str">
        <f aca="false">IF(A51="","",IF(COUNTIFS(E51:I51,"&gt;=1",E51:I51,"&lt;=3")&lt;5,"Incomplete",IF(SUMPRODUCT(--(MOD(E51:I51,1)&lt;&gt;0))&gt;0,"Incomplete",IF(MAX(E51:I51)=3,"High",IF(MAX(E51:I51)=2,"Medium","Low")))))</f>
        <v/>
      </c>
      <c r="T51" s="54" t="str">
        <f aca="false">IF(A51="","",IFERROR(INDEX(TierDD,MATCH(S51,TierNames,0)),"Not determined"))</f>
        <v/>
      </c>
      <c r="U51" s="54" t="str">
        <f aca="false">IF(A51="","",IF(AND(COUNT(E51:I51)=5,COUNTA(J51:N51)=5),"None",IF(COUNT(E51:I51)&lt;5,"Ratings missing: "&amp;(5-COUNT(E51:I51))&amp;". ","")&amp;IF(COUNTA(J51:N51)&lt;5,"Rationale missing: "&amp;(5-COUNTA(J51:N51))&amp;".","")))</f>
        <v/>
      </c>
      <c r="V51" s="54" t="str">
        <f aca="false">IF(A51="","",IF(R51="","Proposed - not confirmed",R51))</f>
        <v/>
      </c>
      <c r="W51" s="52" t="str">
        <f aca="false">IF(OR(A51="",B51=""),"",IF(COUNTIFS(CRT_SUP,B51,CRT_DATE,"&gt;"&amp;N(D51))=0,"Current","Superseded"))</f>
        <v/>
      </c>
      <c r="X51" s="52" t="str">
        <f aca="false">IF(W51="","",B51&amp;"|"&amp;W51)</f>
        <v/>
      </c>
      <c r="Y51" s="54" t="str">
        <f aca="false">IF(A51="","",IF(COUNTIF(CRT_ID,A51)&gt;1,"CHECK: duplicate ID",IF(B51="","CHECK: Supplier ID missing",IF(COUNTIF(INV_ID,B51)=0,"CHECK: Supplier ID not in inventory",IF(AND(W51="Current",COUNTIF(CRT_KEY,X51)&gt;1),"CHECK: two current assessments for supplier","OK")))))</f>
        <v/>
      </c>
    </row>
    <row r="52" customFormat="false" ht="15" hidden="false" customHeight="false" outlineLevel="0" collapsed="false">
      <c r="A52" s="50"/>
      <c r="B52" s="50"/>
      <c r="C52" s="59" t="str">
        <f aca="false">IF(B52="","",IFERROR(INDEX(INV_NAME,MATCH(B52,INV_ID,0)),"CHECK: Supplier ID not found"))</f>
        <v/>
      </c>
      <c r="D52" s="51"/>
      <c r="E52" s="50"/>
      <c r="F52" s="50"/>
      <c r="G52" s="50"/>
      <c r="H52" s="50"/>
      <c r="I52" s="50"/>
      <c r="J52" s="34"/>
      <c r="K52" s="34"/>
      <c r="L52" s="34"/>
      <c r="M52" s="34"/>
      <c r="N52" s="34"/>
      <c r="O52" s="50"/>
      <c r="P52" s="50"/>
      <c r="Q52" s="51"/>
      <c r="R52" s="60"/>
      <c r="S52" s="52" t="str">
        <f aca="false">IF(A52="","",IF(COUNTIFS(E52:I52,"&gt;=1",E52:I52,"&lt;=3")&lt;5,"Incomplete",IF(SUMPRODUCT(--(MOD(E52:I52,1)&lt;&gt;0))&gt;0,"Incomplete",IF(MAX(E52:I52)=3,"High",IF(MAX(E52:I52)=2,"Medium","Low")))))</f>
        <v/>
      </c>
      <c r="T52" s="54" t="str">
        <f aca="false">IF(A52="","",IFERROR(INDEX(TierDD,MATCH(S52,TierNames,0)),"Not determined"))</f>
        <v/>
      </c>
      <c r="U52" s="54" t="str">
        <f aca="false">IF(A52="","",IF(AND(COUNT(E52:I52)=5,COUNTA(J52:N52)=5),"None",IF(COUNT(E52:I52)&lt;5,"Ratings missing: "&amp;(5-COUNT(E52:I52))&amp;". ","")&amp;IF(COUNTA(J52:N52)&lt;5,"Rationale missing: "&amp;(5-COUNTA(J52:N52))&amp;".","")))</f>
        <v/>
      </c>
      <c r="V52" s="54" t="str">
        <f aca="false">IF(A52="","",IF(R52="","Proposed - not confirmed",R52))</f>
        <v/>
      </c>
      <c r="W52" s="52" t="str">
        <f aca="false">IF(OR(A52="",B52=""),"",IF(COUNTIFS(CRT_SUP,B52,CRT_DATE,"&gt;"&amp;N(D52))=0,"Current","Superseded"))</f>
        <v/>
      </c>
      <c r="X52" s="52" t="str">
        <f aca="false">IF(W52="","",B52&amp;"|"&amp;W52)</f>
        <v/>
      </c>
      <c r="Y52" s="54" t="str">
        <f aca="false">IF(A52="","",IF(COUNTIF(CRT_ID,A52)&gt;1,"CHECK: duplicate ID",IF(B52="","CHECK: Supplier ID missing",IF(COUNTIF(INV_ID,B52)=0,"CHECK: Supplier ID not in inventory",IF(AND(W52="Current",COUNTIF(CRT_KEY,X52)&gt;1),"CHECK: two current assessments for supplier","OK")))))</f>
        <v/>
      </c>
    </row>
    <row r="53" customFormat="false" ht="15" hidden="false" customHeight="false" outlineLevel="0" collapsed="false">
      <c r="A53" s="50"/>
      <c r="B53" s="50"/>
      <c r="C53" s="59" t="str">
        <f aca="false">IF(B53="","",IFERROR(INDEX(INV_NAME,MATCH(B53,INV_ID,0)),"CHECK: Supplier ID not found"))</f>
        <v/>
      </c>
      <c r="D53" s="51"/>
      <c r="E53" s="50"/>
      <c r="F53" s="50"/>
      <c r="G53" s="50"/>
      <c r="H53" s="50"/>
      <c r="I53" s="50"/>
      <c r="J53" s="34"/>
      <c r="K53" s="34"/>
      <c r="L53" s="34"/>
      <c r="M53" s="34"/>
      <c r="N53" s="34"/>
      <c r="O53" s="50"/>
      <c r="P53" s="50"/>
      <c r="Q53" s="51"/>
      <c r="R53" s="60"/>
      <c r="S53" s="52" t="str">
        <f aca="false">IF(A53="","",IF(COUNTIFS(E53:I53,"&gt;=1",E53:I53,"&lt;=3")&lt;5,"Incomplete",IF(SUMPRODUCT(--(MOD(E53:I53,1)&lt;&gt;0))&gt;0,"Incomplete",IF(MAX(E53:I53)=3,"High",IF(MAX(E53:I53)=2,"Medium","Low")))))</f>
        <v/>
      </c>
      <c r="T53" s="54" t="str">
        <f aca="false">IF(A53="","",IFERROR(INDEX(TierDD,MATCH(S53,TierNames,0)),"Not determined"))</f>
        <v/>
      </c>
      <c r="U53" s="54" t="str">
        <f aca="false">IF(A53="","",IF(AND(COUNT(E53:I53)=5,COUNTA(J53:N53)=5),"None",IF(COUNT(E53:I53)&lt;5,"Ratings missing: "&amp;(5-COUNT(E53:I53))&amp;". ","")&amp;IF(COUNTA(J53:N53)&lt;5,"Rationale missing: "&amp;(5-COUNTA(J53:N53))&amp;".","")))</f>
        <v/>
      </c>
      <c r="V53" s="54" t="str">
        <f aca="false">IF(A53="","",IF(R53="","Proposed - not confirmed",R53))</f>
        <v/>
      </c>
      <c r="W53" s="52" t="str">
        <f aca="false">IF(OR(A53="",B53=""),"",IF(COUNTIFS(CRT_SUP,B53,CRT_DATE,"&gt;"&amp;N(D53))=0,"Current","Superseded"))</f>
        <v/>
      </c>
      <c r="X53" s="52" t="str">
        <f aca="false">IF(W53="","",B53&amp;"|"&amp;W53)</f>
        <v/>
      </c>
      <c r="Y53" s="54" t="str">
        <f aca="false">IF(A53="","",IF(COUNTIF(CRT_ID,A53)&gt;1,"CHECK: duplicate ID",IF(B53="","CHECK: Supplier ID missing",IF(COUNTIF(INV_ID,B53)=0,"CHECK: Supplier ID not in inventory",IF(AND(W53="Current",COUNTIF(CRT_KEY,X53)&gt;1),"CHECK: two current assessments for supplier","OK")))))</f>
        <v/>
      </c>
    </row>
    <row r="54" customFormat="false" ht="15" hidden="false" customHeight="false" outlineLevel="0" collapsed="false">
      <c r="A54" s="50"/>
      <c r="B54" s="50"/>
      <c r="C54" s="59" t="str">
        <f aca="false">IF(B54="","",IFERROR(INDEX(INV_NAME,MATCH(B54,INV_ID,0)),"CHECK: Supplier ID not found"))</f>
        <v/>
      </c>
      <c r="D54" s="51"/>
      <c r="E54" s="50"/>
      <c r="F54" s="50"/>
      <c r="G54" s="50"/>
      <c r="H54" s="50"/>
      <c r="I54" s="50"/>
      <c r="J54" s="34"/>
      <c r="K54" s="34"/>
      <c r="L54" s="34"/>
      <c r="M54" s="34"/>
      <c r="N54" s="34"/>
      <c r="O54" s="50"/>
      <c r="P54" s="50"/>
      <c r="Q54" s="51"/>
      <c r="R54" s="60"/>
      <c r="S54" s="52" t="str">
        <f aca="false">IF(A54="","",IF(COUNTIFS(E54:I54,"&gt;=1",E54:I54,"&lt;=3")&lt;5,"Incomplete",IF(SUMPRODUCT(--(MOD(E54:I54,1)&lt;&gt;0))&gt;0,"Incomplete",IF(MAX(E54:I54)=3,"High",IF(MAX(E54:I54)=2,"Medium","Low")))))</f>
        <v/>
      </c>
      <c r="T54" s="54" t="str">
        <f aca="false">IF(A54="","",IFERROR(INDEX(TierDD,MATCH(S54,TierNames,0)),"Not determined"))</f>
        <v/>
      </c>
      <c r="U54" s="54" t="str">
        <f aca="false">IF(A54="","",IF(AND(COUNT(E54:I54)=5,COUNTA(J54:N54)=5),"None",IF(COUNT(E54:I54)&lt;5,"Ratings missing: "&amp;(5-COUNT(E54:I54))&amp;". ","")&amp;IF(COUNTA(J54:N54)&lt;5,"Rationale missing: "&amp;(5-COUNTA(J54:N54))&amp;".","")))</f>
        <v/>
      </c>
      <c r="V54" s="54" t="str">
        <f aca="false">IF(A54="","",IF(R54="","Proposed - not confirmed",R54))</f>
        <v/>
      </c>
      <c r="W54" s="52" t="str">
        <f aca="false">IF(OR(A54="",B54=""),"",IF(COUNTIFS(CRT_SUP,B54,CRT_DATE,"&gt;"&amp;N(D54))=0,"Current","Superseded"))</f>
        <v/>
      </c>
      <c r="X54" s="52" t="str">
        <f aca="false">IF(W54="","",B54&amp;"|"&amp;W54)</f>
        <v/>
      </c>
      <c r="Y54" s="54" t="str">
        <f aca="false">IF(A54="","",IF(COUNTIF(CRT_ID,A54)&gt;1,"CHECK: duplicate ID",IF(B54="","CHECK: Supplier ID missing",IF(COUNTIF(INV_ID,B54)=0,"CHECK: Supplier ID not in inventory",IF(AND(W54="Current",COUNTIF(CRT_KEY,X54)&gt;1),"CHECK: two current assessments for supplier","OK")))))</f>
        <v/>
      </c>
    </row>
    <row r="55" customFormat="false" ht="15" hidden="false" customHeight="false" outlineLevel="0" collapsed="false">
      <c r="A55" s="50"/>
      <c r="B55" s="50"/>
      <c r="C55" s="59" t="str">
        <f aca="false">IF(B55="","",IFERROR(INDEX(INV_NAME,MATCH(B55,INV_ID,0)),"CHECK: Supplier ID not found"))</f>
        <v/>
      </c>
      <c r="D55" s="51"/>
      <c r="E55" s="50"/>
      <c r="F55" s="50"/>
      <c r="G55" s="50"/>
      <c r="H55" s="50"/>
      <c r="I55" s="50"/>
      <c r="J55" s="34"/>
      <c r="K55" s="34"/>
      <c r="L55" s="34"/>
      <c r="M55" s="34"/>
      <c r="N55" s="34"/>
      <c r="O55" s="50"/>
      <c r="P55" s="50"/>
      <c r="Q55" s="51"/>
      <c r="R55" s="60"/>
      <c r="S55" s="52" t="str">
        <f aca="false">IF(A55="","",IF(COUNTIFS(E55:I55,"&gt;=1",E55:I55,"&lt;=3")&lt;5,"Incomplete",IF(SUMPRODUCT(--(MOD(E55:I55,1)&lt;&gt;0))&gt;0,"Incomplete",IF(MAX(E55:I55)=3,"High",IF(MAX(E55:I55)=2,"Medium","Low")))))</f>
        <v/>
      </c>
      <c r="T55" s="54" t="str">
        <f aca="false">IF(A55="","",IFERROR(INDEX(TierDD,MATCH(S55,TierNames,0)),"Not determined"))</f>
        <v/>
      </c>
      <c r="U55" s="54" t="str">
        <f aca="false">IF(A55="","",IF(AND(COUNT(E55:I55)=5,COUNTA(J55:N55)=5),"None",IF(COUNT(E55:I55)&lt;5,"Ratings missing: "&amp;(5-COUNT(E55:I55))&amp;". ","")&amp;IF(COUNTA(J55:N55)&lt;5,"Rationale missing: "&amp;(5-COUNTA(J55:N55))&amp;".","")))</f>
        <v/>
      </c>
      <c r="V55" s="54" t="str">
        <f aca="false">IF(A55="","",IF(R55="","Proposed - not confirmed",R55))</f>
        <v/>
      </c>
      <c r="W55" s="52" t="str">
        <f aca="false">IF(OR(A55="",B55=""),"",IF(COUNTIFS(CRT_SUP,B55,CRT_DATE,"&gt;"&amp;N(D55))=0,"Current","Superseded"))</f>
        <v/>
      </c>
      <c r="X55" s="52" t="str">
        <f aca="false">IF(W55="","",B55&amp;"|"&amp;W55)</f>
        <v/>
      </c>
      <c r="Y55" s="54" t="str">
        <f aca="false">IF(A55="","",IF(COUNTIF(CRT_ID,A55)&gt;1,"CHECK: duplicate ID",IF(B55="","CHECK: Supplier ID missing",IF(COUNTIF(INV_ID,B55)=0,"CHECK: Supplier ID not in inventory",IF(AND(W55="Current",COUNTIF(CRT_KEY,X55)&gt;1),"CHECK: two current assessments for supplier","OK")))))</f>
        <v/>
      </c>
    </row>
    <row r="56" customFormat="false" ht="15" hidden="false" customHeight="false" outlineLevel="0" collapsed="false">
      <c r="A56" s="50"/>
      <c r="B56" s="50"/>
      <c r="C56" s="59" t="str">
        <f aca="false">IF(B56="","",IFERROR(INDEX(INV_NAME,MATCH(B56,INV_ID,0)),"CHECK: Supplier ID not found"))</f>
        <v/>
      </c>
      <c r="D56" s="51"/>
      <c r="E56" s="50"/>
      <c r="F56" s="50"/>
      <c r="G56" s="50"/>
      <c r="H56" s="50"/>
      <c r="I56" s="50"/>
      <c r="J56" s="34"/>
      <c r="K56" s="34"/>
      <c r="L56" s="34"/>
      <c r="M56" s="34"/>
      <c r="N56" s="34"/>
      <c r="O56" s="50"/>
      <c r="P56" s="50"/>
      <c r="Q56" s="51"/>
      <c r="R56" s="60"/>
      <c r="S56" s="52" t="str">
        <f aca="false">IF(A56="","",IF(COUNTIFS(E56:I56,"&gt;=1",E56:I56,"&lt;=3")&lt;5,"Incomplete",IF(SUMPRODUCT(--(MOD(E56:I56,1)&lt;&gt;0))&gt;0,"Incomplete",IF(MAX(E56:I56)=3,"High",IF(MAX(E56:I56)=2,"Medium","Low")))))</f>
        <v/>
      </c>
      <c r="T56" s="54" t="str">
        <f aca="false">IF(A56="","",IFERROR(INDEX(TierDD,MATCH(S56,TierNames,0)),"Not determined"))</f>
        <v/>
      </c>
      <c r="U56" s="54" t="str">
        <f aca="false">IF(A56="","",IF(AND(COUNT(E56:I56)=5,COUNTA(J56:N56)=5),"None",IF(COUNT(E56:I56)&lt;5,"Ratings missing: "&amp;(5-COUNT(E56:I56))&amp;". ","")&amp;IF(COUNTA(J56:N56)&lt;5,"Rationale missing: "&amp;(5-COUNTA(J56:N56))&amp;".","")))</f>
        <v/>
      </c>
      <c r="V56" s="54" t="str">
        <f aca="false">IF(A56="","",IF(R56="","Proposed - not confirmed",R56))</f>
        <v/>
      </c>
      <c r="W56" s="52" t="str">
        <f aca="false">IF(OR(A56="",B56=""),"",IF(COUNTIFS(CRT_SUP,B56,CRT_DATE,"&gt;"&amp;N(D56))=0,"Current","Superseded"))</f>
        <v/>
      </c>
      <c r="X56" s="52" t="str">
        <f aca="false">IF(W56="","",B56&amp;"|"&amp;W56)</f>
        <v/>
      </c>
      <c r="Y56" s="54" t="str">
        <f aca="false">IF(A56="","",IF(COUNTIF(CRT_ID,A56)&gt;1,"CHECK: duplicate ID",IF(B56="","CHECK: Supplier ID missing",IF(COUNTIF(INV_ID,B56)=0,"CHECK: Supplier ID not in inventory",IF(AND(W56="Current",COUNTIF(CRT_KEY,X56)&gt;1),"CHECK: two current assessments for supplier","OK")))))</f>
        <v/>
      </c>
    </row>
    <row r="57" customFormat="false" ht="15" hidden="false" customHeight="false" outlineLevel="0" collapsed="false">
      <c r="A57" s="50"/>
      <c r="B57" s="50"/>
      <c r="C57" s="59" t="str">
        <f aca="false">IF(B57="","",IFERROR(INDEX(INV_NAME,MATCH(B57,INV_ID,0)),"CHECK: Supplier ID not found"))</f>
        <v/>
      </c>
      <c r="D57" s="51"/>
      <c r="E57" s="50"/>
      <c r="F57" s="50"/>
      <c r="G57" s="50"/>
      <c r="H57" s="50"/>
      <c r="I57" s="50"/>
      <c r="J57" s="34"/>
      <c r="K57" s="34"/>
      <c r="L57" s="34"/>
      <c r="M57" s="34"/>
      <c r="N57" s="34"/>
      <c r="O57" s="50"/>
      <c r="P57" s="50"/>
      <c r="Q57" s="51"/>
      <c r="R57" s="60"/>
      <c r="S57" s="52" t="str">
        <f aca="false">IF(A57="","",IF(COUNTIFS(E57:I57,"&gt;=1",E57:I57,"&lt;=3")&lt;5,"Incomplete",IF(SUMPRODUCT(--(MOD(E57:I57,1)&lt;&gt;0))&gt;0,"Incomplete",IF(MAX(E57:I57)=3,"High",IF(MAX(E57:I57)=2,"Medium","Low")))))</f>
        <v/>
      </c>
      <c r="T57" s="54" t="str">
        <f aca="false">IF(A57="","",IFERROR(INDEX(TierDD,MATCH(S57,TierNames,0)),"Not determined"))</f>
        <v/>
      </c>
      <c r="U57" s="54" t="str">
        <f aca="false">IF(A57="","",IF(AND(COUNT(E57:I57)=5,COUNTA(J57:N57)=5),"None",IF(COUNT(E57:I57)&lt;5,"Ratings missing: "&amp;(5-COUNT(E57:I57))&amp;". ","")&amp;IF(COUNTA(J57:N57)&lt;5,"Rationale missing: "&amp;(5-COUNTA(J57:N57))&amp;".","")))</f>
        <v/>
      </c>
      <c r="V57" s="54" t="str">
        <f aca="false">IF(A57="","",IF(R57="","Proposed - not confirmed",R57))</f>
        <v/>
      </c>
      <c r="W57" s="52" t="str">
        <f aca="false">IF(OR(A57="",B57=""),"",IF(COUNTIFS(CRT_SUP,B57,CRT_DATE,"&gt;"&amp;N(D57))=0,"Current","Superseded"))</f>
        <v/>
      </c>
      <c r="X57" s="52" t="str">
        <f aca="false">IF(W57="","",B57&amp;"|"&amp;W57)</f>
        <v/>
      </c>
      <c r="Y57" s="54" t="str">
        <f aca="false">IF(A57="","",IF(COUNTIF(CRT_ID,A57)&gt;1,"CHECK: duplicate ID",IF(B57="","CHECK: Supplier ID missing",IF(COUNTIF(INV_ID,B57)=0,"CHECK: Supplier ID not in inventory",IF(AND(W57="Current",COUNTIF(CRT_KEY,X57)&gt;1),"CHECK: two current assessments for supplier","OK")))))</f>
        <v/>
      </c>
    </row>
    <row r="58" customFormat="false" ht="15" hidden="false" customHeight="false" outlineLevel="0" collapsed="false">
      <c r="A58" s="50"/>
      <c r="B58" s="50"/>
      <c r="C58" s="59" t="str">
        <f aca="false">IF(B58="","",IFERROR(INDEX(INV_NAME,MATCH(B58,INV_ID,0)),"CHECK: Supplier ID not found"))</f>
        <v/>
      </c>
      <c r="D58" s="51"/>
      <c r="E58" s="50"/>
      <c r="F58" s="50"/>
      <c r="G58" s="50"/>
      <c r="H58" s="50"/>
      <c r="I58" s="50"/>
      <c r="J58" s="34"/>
      <c r="K58" s="34"/>
      <c r="L58" s="34"/>
      <c r="M58" s="34"/>
      <c r="N58" s="34"/>
      <c r="O58" s="50"/>
      <c r="P58" s="50"/>
      <c r="Q58" s="51"/>
      <c r="R58" s="60"/>
      <c r="S58" s="52" t="str">
        <f aca="false">IF(A58="","",IF(COUNTIFS(E58:I58,"&gt;=1",E58:I58,"&lt;=3")&lt;5,"Incomplete",IF(SUMPRODUCT(--(MOD(E58:I58,1)&lt;&gt;0))&gt;0,"Incomplete",IF(MAX(E58:I58)=3,"High",IF(MAX(E58:I58)=2,"Medium","Low")))))</f>
        <v/>
      </c>
      <c r="T58" s="54" t="str">
        <f aca="false">IF(A58="","",IFERROR(INDEX(TierDD,MATCH(S58,TierNames,0)),"Not determined"))</f>
        <v/>
      </c>
      <c r="U58" s="54" t="str">
        <f aca="false">IF(A58="","",IF(AND(COUNT(E58:I58)=5,COUNTA(J58:N58)=5),"None",IF(COUNT(E58:I58)&lt;5,"Ratings missing: "&amp;(5-COUNT(E58:I58))&amp;". ","")&amp;IF(COUNTA(J58:N58)&lt;5,"Rationale missing: "&amp;(5-COUNTA(J58:N58))&amp;".","")))</f>
        <v/>
      </c>
      <c r="V58" s="54" t="str">
        <f aca="false">IF(A58="","",IF(R58="","Proposed - not confirmed",R58))</f>
        <v/>
      </c>
      <c r="W58" s="52" t="str">
        <f aca="false">IF(OR(A58="",B58=""),"",IF(COUNTIFS(CRT_SUP,B58,CRT_DATE,"&gt;"&amp;N(D58))=0,"Current","Superseded"))</f>
        <v/>
      </c>
      <c r="X58" s="52" t="str">
        <f aca="false">IF(W58="","",B58&amp;"|"&amp;W58)</f>
        <v/>
      </c>
      <c r="Y58" s="54" t="str">
        <f aca="false">IF(A58="","",IF(COUNTIF(CRT_ID,A58)&gt;1,"CHECK: duplicate ID",IF(B58="","CHECK: Supplier ID missing",IF(COUNTIF(INV_ID,B58)=0,"CHECK: Supplier ID not in inventory",IF(AND(W58="Current",COUNTIF(CRT_KEY,X58)&gt;1),"CHECK: two current assessments for supplier","OK")))))</f>
        <v/>
      </c>
    </row>
    <row r="59" customFormat="false" ht="15" hidden="false" customHeight="false" outlineLevel="0" collapsed="false">
      <c r="A59" s="50"/>
      <c r="B59" s="50"/>
      <c r="C59" s="59" t="str">
        <f aca="false">IF(B59="","",IFERROR(INDEX(INV_NAME,MATCH(B59,INV_ID,0)),"CHECK: Supplier ID not found"))</f>
        <v/>
      </c>
      <c r="D59" s="51"/>
      <c r="E59" s="50"/>
      <c r="F59" s="50"/>
      <c r="G59" s="50"/>
      <c r="H59" s="50"/>
      <c r="I59" s="50"/>
      <c r="J59" s="34"/>
      <c r="K59" s="34"/>
      <c r="L59" s="34"/>
      <c r="M59" s="34"/>
      <c r="N59" s="34"/>
      <c r="O59" s="50"/>
      <c r="P59" s="50"/>
      <c r="Q59" s="51"/>
      <c r="R59" s="60"/>
      <c r="S59" s="52" t="str">
        <f aca="false">IF(A59="","",IF(COUNTIFS(E59:I59,"&gt;=1",E59:I59,"&lt;=3")&lt;5,"Incomplete",IF(SUMPRODUCT(--(MOD(E59:I59,1)&lt;&gt;0))&gt;0,"Incomplete",IF(MAX(E59:I59)=3,"High",IF(MAX(E59:I59)=2,"Medium","Low")))))</f>
        <v/>
      </c>
      <c r="T59" s="54" t="str">
        <f aca="false">IF(A59="","",IFERROR(INDEX(TierDD,MATCH(S59,TierNames,0)),"Not determined"))</f>
        <v/>
      </c>
      <c r="U59" s="54" t="str">
        <f aca="false">IF(A59="","",IF(AND(COUNT(E59:I59)=5,COUNTA(J59:N59)=5),"None",IF(COUNT(E59:I59)&lt;5,"Ratings missing: "&amp;(5-COUNT(E59:I59))&amp;". ","")&amp;IF(COUNTA(J59:N59)&lt;5,"Rationale missing: "&amp;(5-COUNTA(J59:N59))&amp;".","")))</f>
        <v/>
      </c>
      <c r="V59" s="54" t="str">
        <f aca="false">IF(A59="","",IF(R59="","Proposed - not confirmed",R59))</f>
        <v/>
      </c>
      <c r="W59" s="52" t="str">
        <f aca="false">IF(OR(A59="",B59=""),"",IF(COUNTIFS(CRT_SUP,B59,CRT_DATE,"&gt;"&amp;N(D59))=0,"Current","Superseded"))</f>
        <v/>
      </c>
      <c r="X59" s="52" t="str">
        <f aca="false">IF(W59="","",B59&amp;"|"&amp;W59)</f>
        <v/>
      </c>
      <c r="Y59" s="54" t="str">
        <f aca="false">IF(A59="","",IF(COUNTIF(CRT_ID,A59)&gt;1,"CHECK: duplicate ID",IF(B59="","CHECK: Supplier ID missing",IF(COUNTIF(INV_ID,B59)=0,"CHECK: Supplier ID not in inventory",IF(AND(W59="Current",COUNTIF(CRT_KEY,X59)&gt;1),"CHECK: two current assessments for supplier","OK")))))</f>
        <v/>
      </c>
    </row>
    <row r="60" customFormat="false" ht="15" hidden="false" customHeight="false" outlineLevel="0" collapsed="false">
      <c r="A60" s="50"/>
      <c r="B60" s="50"/>
      <c r="C60" s="59" t="str">
        <f aca="false">IF(B60="","",IFERROR(INDEX(INV_NAME,MATCH(B60,INV_ID,0)),"CHECK: Supplier ID not found"))</f>
        <v/>
      </c>
      <c r="D60" s="51"/>
      <c r="E60" s="50"/>
      <c r="F60" s="50"/>
      <c r="G60" s="50"/>
      <c r="H60" s="50"/>
      <c r="I60" s="50"/>
      <c r="J60" s="34"/>
      <c r="K60" s="34"/>
      <c r="L60" s="34"/>
      <c r="M60" s="34"/>
      <c r="N60" s="34"/>
      <c r="O60" s="50"/>
      <c r="P60" s="50"/>
      <c r="Q60" s="51"/>
      <c r="R60" s="60"/>
      <c r="S60" s="52" t="str">
        <f aca="false">IF(A60="","",IF(COUNTIFS(E60:I60,"&gt;=1",E60:I60,"&lt;=3")&lt;5,"Incomplete",IF(SUMPRODUCT(--(MOD(E60:I60,1)&lt;&gt;0))&gt;0,"Incomplete",IF(MAX(E60:I60)=3,"High",IF(MAX(E60:I60)=2,"Medium","Low")))))</f>
        <v/>
      </c>
      <c r="T60" s="54" t="str">
        <f aca="false">IF(A60="","",IFERROR(INDEX(TierDD,MATCH(S60,TierNames,0)),"Not determined"))</f>
        <v/>
      </c>
      <c r="U60" s="54" t="str">
        <f aca="false">IF(A60="","",IF(AND(COUNT(E60:I60)=5,COUNTA(J60:N60)=5),"None",IF(COUNT(E60:I60)&lt;5,"Ratings missing: "&amp;(5-COUNT(E60:I60))&amp;". ","")&amp;IF(COUNTA(J60:N60)&lt;5,"Rationale missing: "&amp;(5-COUNTA(J60:N60))&amp;".","")))</f>
        <v/>
      </c>
      <c r="V60" s="54" t="str">
        <f aca="false">IF(A60="","",IF(R60="","Proposed - not confirmed",R60))</f>
        <v/>
      </c>
      <c r="W60" s="52" t="str">
        <f aca="false">IF(OR(A60="",B60=""),"",IF(COUNTIFS(CRT_SUP,B60,CRT_DATE,"&gt;"&amp;N(D60))=0,"Current","Superseded"))</f>
        <v/>
      </c>
      <c r="X60" s="52" t="str">
        <f aca="false">IF(W60="","",B60&amp;"|"&amp;W60)</f>
        <v/>
      </c>
      <c r="Y60" s="54" t="str">
        <f aca="false">IF(A60="","",IF(COUNTIF(CRT_ID,A60)&gt;1,"CHECK: duplicate ID",IF(B60="","CHECK: Supplier ID missing",IF(COUNTIF(INV_ID,B60)=0,"CHECK: Supplier ID not in inventory",IF(AND(W60="Current",COUNTIF(CRT_KEY,X60)&gt;1),"CHECK: two current assessments for supplier","OK")))))</f>
        <v/>
      </c>
    </row>
    <row r="61" customFormat="false" ht="15" hidden="false" customHeight="false" outlineLevel="0" collapsed="false">
      <c r="A61" s="50"/>
      <c r="B61" s="50"/>
      <c r="C61" s="59" t="str">
        <f aca="false">IF(B61="","",IFERROR(INDEX(INV_NAME,MATCH(B61,INV_ID,0)),"CHECK: Supplier ID not found"))</f>
        <v/>
      </c>
      <c r="D61" s="51"/>
      <c r="E61" s="50"/>
      <c r="F61" s="50"/>
      <c r="G61" s="50"/>
      <c r="H61" s="50"/>
      <c r="I61" s="50"/>
      <c r="J61" s="34"/>
      <c r="K61" s="34"/>
      <c r="L61" s="34"/>
      <c r="M61" s="34"/>
      <c r="N61" s="34"/>
      <c r="O61" s="50"/>
      <c r="P61" s="50"/>
      <c r="Q61" s="51"/>
      <c r="R61" s="60"/>
      <c r="S61" s="52" t="str">
        <f aca="false">IF(A61="","",IF(COUNTIFS(E61:I61,"&gt;=1",E61:I61,"&lt;=3")&lt;5,"Incomplete",IF(SUMPRODUCT(--(MOD(E61:I61,1)&lt;&gt;0))&gt;0,"Incomplete",IF(MAX(E61:I61)=3,"High",IF(MAX(E61:I61)=2,"Medium","Low")))))</f>
        <v/>
      </c>
      <c r="T61" s="54" t="str">
        <f aca="false">IF(A61="","",IFERROR(INDEX(TierDD,MATCH(S61,TierNames,0)),"Not determined"))</f>
        <v/>
      </c>
      <c r="U61" s="54" t="str">
        <f aca="false">IF(A61="","",IF(AND(COUNT(E61:I61)=5,COUNTA(J61:N61)=5),"None",IF(COUNT(E61:I61)&lt;5,"Ratings missing: "&amp;(5-COUNT(E61:I61))&amp;". ","")&amp;IF(COUNTA(J61:N61)&lt;5,"Rationale missing: "&amp;(5-COUNTA(J61:N61))&amp;".","")))</f>
        <v/>
      </c>
      <c r="V61" s="54" t="str">
        <f aca="false">IF(A61="","",IF(R61="","Proposed - not confirmed",R61))</f>
        <v/>
      </c>
      <c r="W61" s="52" t="str">
        <f aca="false">IF(OR(A61="",B61=""),"",IF(COUNTIFS(CRT_SUP,B61,CRT_DATE,"&gt;"&amp;N(D61))=0,"Current","Superseded"))</f>
        <v/>
      </c>
      <c r="X61" s="52" t="str">
        <f aca="false">IF(W61="","",B61&amp;"|"&amp;W61)</f>
        <v/>
      </c>
      <c r="Y61" s="54" t="str">
        <f aca="false">IF(A61="","",IF(COUNTIF(CRT_ID,A61)&gt;1,"CHECK: duplicate ID",IF(B61="","CHECK: Supplier ID missing",IF(COUNTIF(INV_ID,B61)=0,"CHECK: Supplier ID not in inventory",IF(AND(W61="Current",COUNTIF(CRT_KEY,X61)&gt;1),"CHECK: two current assessments for supplier","OK")))))</f>
        <v/>
      </c>
    </row>
    <row r="62" customFormat="false" ht="15" hidden="false" customHeight="false" outlineLevel="0" collapsed="false">
      <c r="A62" s="50"/>
      <c r="B62" s="50"/>
      <c r="C62" s="59" t="str">
        <f aca="false">IF(B62="","",IFERROR(INDEX(INV_NAME,MATCH(B62,INV_ID,0)),"CHECK: Supplier ID not found"))</f>
        <v/>
      </c>
      <c r="D62" s="51"/>
      <c r="E62" s="50"/>
      <c r="F62" s="50"/>
      <c r="G62" s="50"/>
      <c r="H62" s="50"/>
      <c r="I62" s="50"/>
      <c r="J62" s="34"/>
      <c r="K62" s="34"/>
      <c r="L62" s="34"/>
      <c r="M62" s="34"/>
      <c r="N62" s="34"/>
      <c r="O62" s="50"/>
      <c r="P62" s="50"/>
      <c r="Q62" s="51"/>
      <c r="R62" s="60"/>
      <c r="S62" s="52" t="str">
        <f aca="false">IF(A62="","",IF(COUNTIFS(E62:I62,"&gt;=1",E62:I62,"&lt;=3")&lt;5,"Incomplete",IF(SUMPRODUCT(--(MOD(E62:I62,1)&lt;&gt;0))&gt;0,"Incomplete",IF(MAX(E62:I62)=3,"High",IF(MAX(E62:I62)=2,"Medium","Low")))))</f>
        <v/>
      </c>
      <c r="T62" s="54" t="str">
        <f aca="false">IF(A62="","",IFERROR(INDEX(TierDD,MATCH(S62,TierNames,0)),"Not determined"))</f>
        <v/>
      </c>
      <c r="U62" s="54" t="str">
        <f aca="false">IF(A62="","",IF(AND(COUNT(E62:I62)=5,COUNTA(J62:N62)=5),"None",IF(COUNT(E62:I62)&lt;5,"Ratings missing: "&amp;(5-COUNT(E62:I62))&amp;". ","")&amp;IF(COUNTA(J62:N62)&lt;5,"Rationale missing: "&amp;(5-COUNTA(J62:N62))&amp;".","")))</f>
        <v/>
      </c>
      <c r="V62" s="54" t="str">
        <f aca="false">IF(A62="","",IF(R62="","Proposed - not confirmed",R62))</f>
        <v/>
      </c>
      <c r="W62" s="52" t="str">
        <f aca="false">IF(OR(A62="",B62=""),"",IF(COUNTIFS(CRT_SUP,B62,CRT_DATE,"&gt;"&amp;N(D62))=0,"Current","Superseded"))</f>
        <v/>
      </c>
      <c r="X62" s="52" t="str">
        <f aca="false">IF(W62="","",B62&amp;"|"&amp;W62)</f>
        <v/>
      </c>
      <c r="Y62" s="54" t="str">
        <f aca="false">IF(A62="","",IF(COUNTIF(CRT_ID,A62)&gt;1,"CHECK: duplicate ID",IF(B62="","CHECK: Supplier ID missing",IF(COUNTIF(INV_ID,B62)=0,"CHECK: Supplier ID not in inventory",IF(AND(W62="Current",COUNTIF(CRT_KEY,X62)&gt;1),"CHECK: two current assessments for supplier","OK")))))</f>
        <v/>
      </c>
    </row>
    <row r="63" customFormat="false" ht="15" hidden="false" customHeight="false" outlineLevel="0" collapsed="false">
      <c r="A63" s="50"/>
      <c r="B63" s="50"/>
      <c r="C63" s="59" t="str">
        <f aca="false">IF(B63="","",IFERROR(INDEX(INV_NAME,MATCH(B63,INV_ID,0)),"CHECK: Supplier ID not found"))</f>
        <v/>
      </c>
      <c r="D63" s="51"/>
      <c r="E63" s="50"/>
      <c r="F63" s="50"/>
      <c r="G63" s="50"/>
      <c r="H63" s="50"/>
      <c r="I63" s="50"/>
      <c r="J63" s="34"/>
      <c r="K63" s="34"/>
      <c r="L63" s="34"/>
      <c r="M63" s="34"/>
      <c r="N63" s="34"/>
      <c r="O63" s="50"/>
      <c r="P63" s="50"/>
      <c r="Q63" s="51"/>
      <c r="R63" s="60"/>
      <c r="S63" s="52" t="str">
        <f aca="false">IF(A63="","",IF(COUNTIFS(E63:I63,"&gt;=1",E63:I63,"&lt;=3")&lt;5,"Incomplete",IF(SUMPRODUCT(--(MOD(E63:I63,1)&lt;&gt;0))&gt;0,"Incomplete",IF(MAX(E63:I63)=3,"High",IF(MAX(E63:I63)=2,"Medium","Low")))))</f>
        <v/>
      </c>
      <c r="T63" s="54" t="str">
        <f aca="false">IF(A63="","",IFERROR(INDEX(TierDD,MATCH(S63,TierNames,0)),"Not determined"))</f>
        <v/>
      </c>
      <c r="U63" s="54" t="str">
        <f aca="false">IF(A63="","",IF(AND(COUNT(E63:I63)=5,COUNTA(J63:N63)=5),"None",IF(COUNT(E63:I63)&lt;5,"Ratings missing: "&amp;(5-COUNT(E63:I63))&amp;". ","")&amp;IF(COUNTA(J63:N63)&lt;5,"Rationale missing: "&amp;(5-COUNTA(J63:N63))&amp;".","")))</f>
        <v/>
      </c>
      <c r="V63" s="54" t="str">
        <f aca="false">IF(A63="","",IF(R63="","Proposed - not confirmed",R63))</f>
        <v/>
      </c>
      <c r="W63" s="52" t="str">
        <f aca="false">IF(OR(A63="",B63=""),"",IF(COUNTIFS(CRT_SUP,B63,CRT_DATE,"&gt;"&amp;N(D63))=0,"Current","Superseded"))</f>
        <v/>
      </c>
      <c r="X63" s="52" t="str">
        <f aca="false">IF(W63="","",B63&amp;"|"&amp;W63)</f>
        <v/>
      </c>
      <c r="Y63" s="54" t="str">
        <f aca="false">IF(A63="","",IF(COUNTIF(CRT_ID,A63)&gt;1,"CHECK: duplicate ID",IF(B63="","CHECK: Supplier ID missing",IF(COUNTIF(INV_ID,B63)=0,"CHECK: Supplier ID not in inventory",IF(AND(W63="Current",COUNTIF(CRT_KEY,X63)&gt;1),"CHECK: two current assessments for supplier","OK")))))</f>
        <v/>
      </c>
    </row>
    <row r="64" customFormat="false" ht="15" hidden="false" customHeight="false" outlineLevel="0" collapsed="false">
      <c r="A64" s="50"/>
      <c r="B64" s="50"/>
      <c r="C64" s="59" t="str">
        <f aca="false">IF(B64="","",IFERROR(INDEX(INV_NAME,MATCH(B64,INV_ID,0)),"CHECK: Supplier ID not found"))</f>
        <v/>
      </c>
      <c r="D64" s="51"/>
      <c r="E64" s="50"/>
      <c r="F64" s="50"/>
      <c r="G64" s="50"/>
      <c r="H64" s="50"/>
      <c r="I64" s="50"/>
      <c r="J64" s="34"/>
      <c r="K64" s="34"/>
      <c r="L64" s="34"/>
      <c r="M64" s="34"/>
      <c r="N64" s="34"/>
      <c r="O64" s="50"/>
      <c r="P64" s="50"/>
      <c r="Q64" s="51"/>
      <c r="R64" s="60"/>
      <c r="S64" s="52" t="str">
        <f aca="false">IF(A64="","",IF(COUNTIFS(E64:I64,"&gt;=1",E64:I64,"&lt;=3")&lt;5,"Incomplete",IF(SUMPRODUCT(--(MOD(E64:I64,1)&lt;&gt;0))&gt;0,"Incomplete",IF(MAX(E64:I64)=3,"High",IF(MAX(E64:I64)=2,"Medium","Low")))))</f>
        <v/>
      </c>
      <c r="T64" s="54" t="str">
        <f aca="false">IF(A64="","",IFERROR(INDEX(TierDD,MATCH(S64,TierNames,0)),"Not determined"))</f>
        <v/>
      </c>
      <c r="U64" s="54" t="str">
        <f aca="false">IF(A64="","",IF(AND(COUNT(E64:I64)=5,COUNTA(J64:N64)=5),"None",IF(COUNT(E64:I64)&lt;5,"Ratings missing: "&amp;(5-COUNT(E64:I64))&amp;". ","")&amp;IF(COUNTA(J64:N64)&lt;5,"Rationale missing: "&amp;(5-COUNTA(J64:N64))&amp;".","")))</f>
        <v/>
      </c>
      <c r="V64" s="54" t="str">
        <f aca="false">IF(A64="","",IF(R64="","Proposed - not confirmed",R64))</f>
        <v/>
      </c>
      <c r="W64" s="52" t="str">
        <f aca="false">IF(OR(A64="",B64=""),"",IF(COUNTIFS(CRT_SUP,B64,CRT_DATE,"&gt;"&amp;N(D64))=0,"Current","Superseded"))</f>
        <v/>
      </c>
      <c r="X64" s="52" t="str">
        <f aca="false">IF(W64="","",B64&amp;"|"&amp;W64)</f>
        <v/>
      </c>
      <c r="Y64" s="54" t="str">
        <f aca="false">IF(A64="","",IF(COUNTIF(CRT_ID,A64)&gt;1,"CHECK: duplicate ID",IF(B64="","CHECK: Supplier ID missing",IF(COUNTIF(INV_ID,B64)=0,"CHECK: Supplier ID not in inventory",IF(AND(W64="Current",COUNTIF(CRT_KEY,X64)&gt;1),"CHECK: two current assessments for supplier","OK")))))</f>
        <v/>
      </c>
    </row>
    <row r="65" customFormat="false" ht="15" hidden="false" customHeight="false" outlineLevel="0" collapsed="false">
      <c r="A65" s="50"/>
      <c r="B65" s="50"/>
      <c r="C65" s="59" t="str">
        <f aca="false">IF(B65="","",IFERROR(INDEX(INV_NAME,MATCH(B65,INV_ID,0)),"CHECK: Supplier ID not found"))</f>
        <v/>
      </c>
      <c r="D65" s="51"/>
      <c r="E65" s="50"/>
      <c r="F65" s="50"/>
      <c r="G65" s="50"/>
      <c r="H65" s="50"/>
      <c r="I65" s="50"/>
      <c r="J65" s="34"/>
      <c r="K65" s="34"/>
      <c r="L65" s="34"/>
      <c r="M65" s="34"/>
      <c r="N65" s="34"/>
      <c r="O65" s="50"/>
      <c r="P65" s="50"/>
      <c r="Q65" s="51"/>
      <c r="R65" s="60"/>
      <c r="S65" s="52" t="str">
        <f aca="false">IF(A65="","",IF(COUNTIFS(E65:I65,"&gt;=1",E65:I65,"&lt;=3")&lt;5,"Incomplete",IF(SUMPRODUCT(--(MOD(E65:I65,1)&lt;&gt;0))&gt;0,"Incomplete",IF(MAX(E65:I65)=3,"High",IF(MAX(E65:I65)=2,"Medium","Low")))))</f>
        <v/>
      </c>
      <c r="T65" s="54" t="str">
        <f aca="false">IF(A65="","",IFERROR(INDEX(TierDD,MATCH(S65,TierNames,0)),"Not determined"))</f>
        <v/>
      </c>
      <c r="U65" s="54" t="str">
        <f aca="false">IF(A65="","",IF(AND(COUNT(E65:I65)=5,COUNTA(J65:N65)=5),"None",IF(COUNT(E65:I65)&lt;5,"Ratings missing: "&amp;(5-COUNT(E65:I65))&amp;". ","")&amp;IF(COUNTA(J65:N65)&lt;5,"Rationale missing: "&amp;(5-COUNTA(J65:N65))&amp;".","")))</f>
        <v/>
      </c>
      <c r="V65" s="54" t="str">
        <f aca="false">IF(A65="","",IF(R65="","Proposed - not confirmed",R65))</f>
        <v/>
      </c>
      <c r="W65" s="52" t="str">
        <f aca="false">IF(OR(A65="",B65=""),"",IF(COUNTIFS(CRT_SUP,B65,CRT_DATE,"&gt;"&amp;N(D65))=0,"Current","Superseded"))</f>
        <v/>
      </c>
      <c r="X65" s="52" t="str">
        <f aca="false">IF(W65="","",B65&amp;"|"&amp;W65)</f>
        <v/>
      </c>
      <c r="Y65" s="54" t="str">
        <f aca="false">IF(A65="","",IF(COUNTIF(CRT_ID,A65)&gt;1,"CHECK: duplicate ID",IF(B65="","CHECK: Supplier ID missing",IF(COUNTIF(INV_ID,B65)=0,"CHECK: Supplier ID not in inventory",IF(AND(W65="Current",COUNTIF(CRT_KEY,X65)&gt;1),"CHECK: two current assessments for supplier","OK")))))</f>
        <v/>
      </c>
    </row>
    <row r="66" customFormat="false" ht="15" hidden="false" customHeight="false" outlineLevel="0" collapsed="false">
      <c r="A66" s="50"/>
      <c r="B66" s="50"/>
      <c r="C66" s="59" t="str">
        <f aca="false">IF(B66="","",IFERROR(INDEX(INV_NAME,MATCH(B66,INV_ID,0)),"CHECK: Supplier ID not found"))</f>
        <v/>
      </c>
      <c r="D66" s="51"/>
      <c r="E66" s="50"/>
      <c r="F66" s="50"/>
      <c r="G66" s="50"/>
      <c r="H66" s="50"/>
      <c r="I66" s="50"/>
      <c r="J66" s="34"/>
      <c r="K66" s="34"/>
      <c r="L66" s="34"/>
      <c r="M66" s="34"/>
      <c r="N66" s="34"/>
      <c r="O66" s="50"/>
      <c r="P66" s="50"/>
      <c r="Q66" s="51"/>
      <c r="R66" s="60"/>
      <c r="S66" s="52" t="str">
        <f aca="false">IF(A66="","",IF(COUNTIFS(E66:I66,"&gt;=1",E66:I66,"&lt;=3")&lt;5,"Incomplete",IF(SUMPRODUCT(--(MOD(E66:I66,1)&lt;&gt;0))&gt;0,"Incomplete",IF(MAX(E66:I66)=3,"High",IF(MAX(E66:I66)=2,"Medium","Low")))))</f>
        <v/>
      </c>
      <c r="T66" s="54" t="str">
        <f aca="false">IF(A66="","",IFERROR(INDEX(TierDD,MATCH(S66,TierNames,0)),"Not determined"))</f>
        <v/>
      </c>
      <c r="U66" s="54" t="str">
        <f aca="false">IF(A66="","",IF(AND(COUNT(E66:I66)=5,COUNTA(J66:N66)=5),"None",IF(COUNT(E66:I66)&lt;5,"Ratings missing: "&amp;(5-COUNT(E66:I66))&amp;". ","")&amp;IF(COUNTA(J66:N66)&lt;5,"Rationale missing: "&amp;(5-COUNTA(J66:N66))&amp;".","")))</f>
        <v/>
      </c>
      <c r="V66" s="54" t="str">
        <f aca="false">IF(A66="","",IF(R66="","Proposed - not confirmed",R66))</f>
        <v/>
      </c>
      <c r="W66" s="52" t="str">
        <f aca="false">IF(OR(A66="",B66=""),"",IF(COUNTIFS(CRT_SUP,B66,CRT_DATE,"&gt;"&amp;N(D66))=0,"Current","Superseded"))</f>
        <v/>
      </c>
      <c r="X66" s="52" t="str">
        <f aca="false">IF(W66="","",B66&amp;"|"&amp;W66)</f>
        <v/>
      </c>
      <c r="Y66" s="54" t="str">
        <f aca="false">IF(A66="","",IF(COUNTIF(CRT_ID,A66)&gt;1,"CHECK: duplicate ID",IF(B66="","CHECK: Supplier ID missing",IF(COUNTIF(INV_ID,B66)=0,"CHECK: Supplier ID not in inventory",IF(AND(W66="Current",COUNTIF(CRT_KEY,X66)&gt;1),"CHECK: two current assessments for supplier","OK")))))</f>
        <v/>
      </c>
    </row>
  </sheetData>
  <sheetProtection sheet="true" formatColumns="false" formatRows="false" sort="false" autoFilter="false"/>
  <conditionalFormatting sqref="T7:T66">
    <cfRule type="expression" priority="2" aboveAverage="0" equalAverage="0" bottom="0" percent="0" rank="0" text="" dxfId="0">
      <formula>OR(ISNUMBER(SEARCH("Above appetite",T7)),ISNUMBER(SEARCH("Overdue",T7)),ISNUMBER(SEARCH("Expired",T7)),ISNUMBER(SEARCH("Breach",T7)),ISNUMBER(SEARCH("CHECK",T7)),ISNUMBER(SEARCH("Not ready",T7)),ISNUMBER(SEARCH("REMAINS",T7)),ISNUMBER(SEARCH("Failed",T7)),ISNUMBER(SEARCH("Cannot assess",T7)))</formula>
    </cfRule>
    <cfRule type="expression" priority="3" aboveAverage="0" equalAverage="0" bottom="0" percent="0" rank="0" text="" dxfId="21">
      <formula>OR(ISNUMBER(SEARCH("Incomplete",T7)),ISNUMBER(SEARCH("Pending",T7)),ISNUMBER(SEARCH("Approaching",T7)),ISNUMBER(SEARCH("insufficient",T7)),ISNUMBER(SEARCH("Awaiting",T7)),ISNUMBER(SEARCH("Review due",T7)),ISNUMBER(SEARCH("Not configured",T7)),ISNUMBER(SEARCH("Not classified",T7)),ISNUMBER(SEARCH("Proposed",T7)),ISNUMBER(SEARCH("Verification",T7)),ISNUMBER(SEARCH("Scope limitation",T7)),ISNUMBER(SEARCH("Follow-up",T7)),ISNUMBER(SEARCH("Open gap",T7)),ISNUMBER(SEARCH("Delivered - verification",T7)),ISNUMBER(SEARCH("Historical",T7)),ISNUMBER(SEARCH("Not scheduled",T7)),ISNUMBER(SEARCH("Not determined",T7)),ISNUMBER(SEARCH("Decision record",T7)),ISNUMBER(SEARCH("Due soon",T7)),ISNUMBER(SEARCH("Not reviewed",T7)),ISNUMBER(SEARCH("Tier not",T7)),ISNUMBER(SEARCH("No decision",T7)),ISNUMBER(SEARCH("Superseded",T7)),ISNUMBER(SEARCH("Optional",T7)),ISNUMBER(SEARCH("legal review",T7)),ISNUMBER(SEARCH("No treatment",T7)),ISNUMBER(SEARCH("not recorded",T7)),ISNUMBER(SEARCH("consider",T7)),ISNUMBER(SEARCH("Not set",T7)),ISNUMBER(SEARCH("Not started",T7)),ISNUMBER(SEARCH("No expiry",T7)),ISNUMBER(SEARCH("No KRI",T7)),ISNUMBER(SEARCH("no reassessment",T7)),ISNUMBER(SEARCH("Applicability",T7)),ISNUMBER(SEARCH("Not current",T7)),ISNUMBER(SEARCH("assess relevance",T7)))</formula>
    </cfRule>
    <cfRule type="expression" priority="4" aboveAverage="0" equalAverage="0" bottom="0" percent="0" rank="0" text="" dxfId="22">
      <formula>OR(LEFT(T7,2)="OK",LEFT(T7,8)="Complete",LEFT(T7,7)="Current",LEFT(T7,10)="Authorised",LEFT(T7,6)="Within",LEFT(T7,11)="On schedule",LEFT(T7,17)="Ready for closure",LEFT(T7,17)="Evidence reviewed",LEFT(T7,19)="Decision referenced",LEFT(T7,27)="Reassessment event recorded",LEFT(T7,14)="Period current",LEFT(T7,17)="Gap dispositioned",LEFT(T7,17)="Reviewed - no gap",LEFT(T7,11)="Recommended",LEFT(T7,17)="Closed - verified")</formula>
    </cfRule>
  </conditionalFormatting>
  <conditionalFormatting sqref="U7:U66">
    <cfRule type="expression" priority="5" aboveAverage="0" equalAverage="0" bottom="0" percent="0" rank="0" text="" dxfId="0">
      <formula>OR(ISNUMBER(SEARCH("Above appetite",U7)),ISNUMBER(SEARCH("Overdue",U7)),ISNUMBER(SEARCH("Expired",U7)),ISNUMBER(SEARCH("Breach",U7)),ISNUMBER(SEARCH("CHECK",U7)),ISNUMBER(SEARCH("Not ready",U7)),ISNUMBER(SEARCH("REMAINS",U7)),ISNUMBER(SEARCH("Failed",U7)),ISNUMBER(SEARCH("Cannot assess",U7)))</formula>
    </cfRule>
    <cfRule type="expression" priority="6" aboveAverage="0" equalAverage="0" bottom="0" percent="0" rank="0" text="" dxfId="21">
      <formula>OR(ISNUMBER(SEARCH("Incomplete",U7)),ISNUMBER(SEARCH("Pending",U7)),ISNUMBER(SEARCH("Approaching",U7)),ISNUMBER(SEARCH("insufficient",U7)),ISNUMBER(SEARCH("Awaiting",U7)),ISNUMBER(SEARCH("Review due",U7)),ISNUMBER(SEARCH("Not configured",U7)),ISNUMBER(SEARCH("Not classified",U7)),ISNUMBER(SEARCH("Proposed",U7)),ISNUMBER(SEARCH("Verification",U7)),ISNUMBER(SEARCH("Scope limitation",U7)),ISNUMBER(SEARCH("Follow-up",U7)),ISNUMBER(SEARCH("Open gap",U7)),ISNUMBER(SEARCH("Delivered - verification",U7)),ISNUMBER(SEARCH("Historical",U7)),ISNUMBER(SEARCH("Not scheduled",U7)),ISNUMBER(SEARCH("Not determined",U7)),ISNUMBER(SEARCH("Decision record",U7)),ISNUMBER(SEARCH("Due soon",U7)),ISNUMBER(SEARCH("Not reviewed",U7)),ISNUMBER(SEARCH("Tier not",U7)),ISNUMBER(SEARCH("No decision",U7)),ISNUMBER(SEARCH("Superseded",U7)),ISNUMBER(SEARCH("Optional",U7)),ISNUMBER(SEARCH("legal review",U7)),ISNUMBER(SEARCH("No treatment",U7)),ISNUMBER(SEARCH("not recorded",U7)),ISNUMBER(SEARCH("consider",U7)),ISNUMBER(SEARCH("Not set",U7)),ISNUMBER(SEARCH("Not started",U7)),ISNUMBER(SEARCH("No expiry",U7)),ISNUMBER(SEARCH("No KRI",U7)),ISNUMBER(SEARCH("no reassessment",U7)),ISNUMBER(SEARCH("Applicability",U7)),ISNUMBER(SEARCH("Not current",U7)),ISNUMBER(SEARCH("assess relevance",U7)))</formula>
    </cfRule>
    <cfRule type="expression" priority="7" aboveAverage="0" equalAverage="0" bottom="0" percent="0" rank="0" text="" dxfId="22">
      <formula>OR(LEFT(U7,2)="OK",LEFT(U7,8)="Complete",LEFT(U7,7)="Current",LEFT(U7,10)="Authorised",LEFT(U7,6)="Within",LEFT(U7,11)="On schedule",LEFT(U7,17)="Ready for closure",LEFT(U7,17)="Evidence reviewed",LEFT(U7,19)="Decision referenced",LEFT(U7,27)="Reassessment event recorded",LEFT(U7,14)="Period current",LEFT(U7,17)="Gap dispositioned",LEFT(U7,17)="Reviewed - no gap",LEFT(U7,11)="Recommended",LEFT(U7,17)="Closed - verified")</formula>
    </cfRule>
  </conditionalFormatting>
  <conditionalFormatting sqref="V7:V66">
    <cfRule type="expression" priority="8" aboveAverage="0" equalAverage="0" bottom="0" percent="0" rank="0" text="" dxfId="0">
      <formula>OR(ISNUMBER(SEARCH("Above appetite",V7)),ISNUMBER(SEARCH("Overdue",V7)),ISNUMBER(SEARCH("Expired",V7)),ISNUMBER(SEARCH("Breach",V7)),ISNUMBER(SEARCH("CHECK",V7)),ISNUMBER(SEARCH("Not ready",V7)),ISNUMBER(SEARCH("REMAINS",V7)),ISNUMBER(SEARCH("Failed",V7)),ISNUMBER(SEARCH("Cannot assess",V7)))</formula>
    </cfRule>
    <cfRule type="expression" priority="9" aboveAverage="0" equalAverage="0" bottom="0" percent="0" rank="0" text="" dxfId="21">
      <formula>OR(ISNUMBER(SEARCH("Incomplete",V7)),ISNUMBER(SEARCH("Pending",V7)),ISNUMBER(SEARCH("Approaching",V7)),ISNUMBER(SEARCH("insufficient",V7)),ISNUMBER(SEARCH("Awaiting",V7)),ISNUMBER(SEARCH("Review due",V7)),ISNUMBER(SEARCH("Not configured",V7)),ISNUMBER(SEARCH("Not classified",V7)),ISNUMBER(SEARCH("Proposed",V7)),ISNUMBER(SEARCH("Verification",V7)),ISNUMBER(SEARCH("Scope limitation",V7)),ISNUMBER(SEARCH("Follow-up",V7)),ISNUMBER(SEARCH("Open gap",V7)),ISNUMBER(SEARCH("Delivered - verification",V7)),ISNUMBER(SEARCH("Historical",V7)),ISNUMBER(SEARCH("Not scheduled",V7)),ISNUMBER(SEARCH("Not determined",V7)),ISNUMBER(SEARCH("Decision record",V7)),ISNUMBER(SEARCH("Due soon",V7)),ISNUMBER(SEARCH("Not reviewed",V7)),ISNUMBER(SEARCH("Tier not",V7)),ISNUMBER(SEARCH("No decision",V7)),ISNUMBER(SEARCH("Superseded",V7)),ISNUMBER(SEARCH("Optional",V7)),ISNUMBER(SEARCH("legal review",V7)),ISNUMBER(SEARCH("No treatment",V7)),ISNUMBER(SEARCH("not recorded",V7)),ISNUMBER(SEARCH("consider",V7)),ISNUMBER(SEARCH("Not set",V7)),ISNUMBER(SEARCH("Not started",V7)),ISNUMBER(SEARCH("No expiry",V7)),ISNUMBER(SEARCH("No KRI",V7)),ISNUMBER(SEARCH("no reassessment",V7)),ISNUMBER(SEARCH("Applicability",V7)),ISNUMBER(SEARCH("Not current",V7)),ISNUMBER(SEARCH("assess relevance",V7)))</formula>
    </cfRule>
    <cfRule type="expression" priority="10" aboveAverage="0" equalAverage="0" bottom="0" percent="0" rank="0" text="" dxfId="22">
      <formula>OR(LEFT(V7,2)="OK",LEFT(V7,8)="Complete",LEFT(V7,7)="Current",LEFT(V7,10)="Authorised",LEFT(V7,6)="Within",LEFT(V7,11)="On schedule",LEFT(V7,17)="Ready for closure",LEFT(V7,17)="Evidence reviewed",LEFT(V7,19)="Decision referenced",LEFT(V7,27)="Reassessment event recorded",LEFT(V7,14)="Period current",LEFT(V7,17)="Gap dispositioned",LEFT(V7,17)="Reviewed - no gap",LEFT(V7,11)="Recommended",LEFT(V7,17)="Closed - verified")</formula>
    </cfRule>
  </conditionalFormatting>
  <conditionalFormatting sqref="W7:W66">
    <cfRule type="expression" priority="11" aboveAverage="0" equalAverage="0" bottom="0" percent="0" rank="0" text="" dxfId="0">
      <formula>OR(ISNUMBER(SEARCH("Above appetite",W7)),ISNUMBER(SEARCH("Overdue",W7)),ISNUMBER(SEARCH("Expired",W7)),ISNUMBER(SEARCH("Breach",W7)),ISNUMBER(SEARCH("CHECK",W7)),ISNUMBER(SEARCH("Not ready",W7)),ISNUMBER(SEARCH("REMAINS",W7)),ISNUMBER(SEARCH("Failed",W7)),ISNUMBER(SEARCH("Cannot assess",W7)))</formula>
    </cfRule>
    <cfRule type="expression" priority="12" aboveAverage="0" equalAverage="0" bottom="0" percent="0" rank="0" text="" dxfId="21">
      <formula>OR(ISNUMBER(SEARCH("Incomplete",W7)),ISNUMBER(SEARCH("Pending",W7)),ISNUMBER(SEARCH("Approaching",W7)),ISNUMBER(SEARCH("insufficient",W7)),ISNUMBER(SEARCH("Awaiting",W7)),ISNUMBER(SEARCH("Review due",W7)),ISNUMBER(SEARCH("Not configured",W7)),ISNUMBER(SEARCH("Not classified",W7)),ISNUMBER(SEARCH("Proposed",W7)),ISNUMBER(SEARCH("Verification",W7)),ISNUMBER(SEARCH("Scope limitation",W7)),ISNUMBER(SEARCH("Follow-up",W7)),ISNUMBER(SEARCH("Open gap",W7)),ISNUMBER(SEARCH("Delivered - verification",W7)),ISNUMBER(SEARCH("Historical",W7)),ISNUMBER(SEARCH("Not scheduled",W7)),ISNUMBER(SEARCH("Not determined",W7)),ISNUMBER(SEARCH("Decision record",W7)),ISNUMBER(SEARCH("Due soon",W7)),ISNUMBER(SEARCH("Not reviewed",W7)),ISNUMBER(SEARCH("Tier not",W7)),ISNUMBER(SEARCH("No decision",W7)),ISNUMBER(SEARCH("Superseded",W7)),ISNUMBER(SEARCH("Optional",W7)),ISNUMBER(SEARCH("legal review",W7)),ISNUMBER(SEARCH("No treatment",W7)),ISNUMBER(SEARCH("not recorded",W7)),ISNUMBER(SEARCH("consider",W7)),ISNUMBER(SEARCH("Not set",W7)),ISNUMBER(SEARCH("Not started",W7)),ISNUMBER(SEARCH("No expiry",W7)),ISNUMBER(SEARCH("No KRI",W7)),ISNUMBER(SEARCH("no reassessment",W7)),ISNUMBER(SEARCH("Applicability",W7)),ISNUMBER(SEARCH("Not current",W7)),ISNUMBER(SEARCH("assess relevance",W7)))</formula>
    </cfRule>
    <cfRule type="expression" priority="13" aboveAverage="0" equalAverage="0" bottom="0" percent="0" rank="0" text="" dxfId="22">
      <formula>OR(LEFT(W7,2)="OK",LEFT(W7,8)="Complete",LEFT(W7,7)="Current",LEFT(W7,10)="Authorised",LEFT(W7,6)="Within",LEFT(W7,11)="On schedule",LEFT(W7,17)="Ready for closure",LEFT(W7,17)="Evidence reviewed",LEFT(W7,19)="Decision referenced",LEFT(W7,27)="Reassessment event recorded",LEFT(W7,14)="Period current",LEFT(W7,17)="Gap dispositioned",LEFT(W7,17)="Reviewed - no gap",LEFT(W7,11)="Recommended",LEFT(W7,17)="Closed - verified")</formula>
    </cfRule>
  </conditionalFormatting>
  <conditionalFormatting sqref="X7:X66">
    <cfRule type="expression" priority="14" aboveAverage="0" equalAverage="0" bottom="0" percent="0" rank="0" text="" dxfId="0">
      <formula>OR(ISNUMBER(SEARCH("Above appetite",X7)),ISNUMBER(SEARCH("Overdue",X7)),ISNUMBER(SEARCH("Expired",X7)),ISNUMBER(SEARCH("Breach",X7)),ISNUMBER(SEARCH("CHECK",X7)),ISNUMBER(SEARCH("Not ready",X7)),ISNUMBER(SEARCH("REMAINS",X7)),ISNUMBER(SEARCH("Failed",X7)),ISNUMBER(SEARCH("Cannot assess",X7)))</formula>
    </cfRule>
    <cfRule type="expression" priority="15" aboveAverage="0" equalAverage="0" bottom="0" percent="0" rank="0" text="" dxfId="21">
      <formula>OR(ISNUMBER(SEARCH("Incomplete",X7)),ISNUMBER(SEARCH("Pending",X7)),ISNUMBER(SEARCH("Approaching",X7)),ISNUMBER(SEARCH("insufficient",X7)),ISNUMBER(SEARCH("Awaiting",X7)),ISNUMBER(SEARCH("Review due",X7)),ISNUMBER(SEARCH("Not configured",X7)),ISNUMBER(SEARCH("Not classified",X7)),ISNUMBER(SEARCH("Proposed",X7)),ISNUMBER(SEARCH("Verification",X7)),ISNUMBER(SEARCH("Scope limitation",X7)),ISNUMBER(SEARCH("Follow-up",X7)),ISNUMBER(SEARCH("Open gap",X7)),ISNUMBER(SEARCH("Delivered - verification",X7)),ISNUMBER(SEARCH("Historical",X7)),ISNUMBER(SEARCH("Not scheduled",X7)),ISNUMBER(SEARCH("Not determined",X7)),ISNUMBER(SEARCH("Decision record",X7)),ISNUMBER(SEARCH("Due soon",X7)),ISNUMBER(SEARCH("Not reviewed",X7)),ISNUMBER(SEARCH("Tier not",X7)),ISNUMBER(SEARCH("No decision",X7)),ISNUMBER(SEARCH("Superseded",X7)),ISNUMBER(SEARCH("Optional",X7)),ISNUMBER(SEARCH("legal review",X7)),ISNUMBER(SEARCH("No treatment",X7)),ISNUMBER(SEARCH("not recorded",X7)),ISNUMBER(SEARCH("consider",X7)),ISNUMBER(SEARCH("Not set",X7)),ISNUMBER(SEARCH("Not started",X7)),ISNUMBER(SEARCH("No expiry",X7)),ISNUMBER(SEARCH("No KRI",X7)),ISNUMBER(SEARCH("no reassessment",X7)),ISNUMBER(SEARCH("Applicability",X7)),ISNUMBER(SEARCH("Not current",X7)),ISNUMBER(SEARCH("assess relevance",X7)))</formula>
    </cfRule>
    <cfRule type="expression" priority="16" aboveAverage="0" equalAverage="0" bottom="0" percent="0" rank="0" text="" dxfId="22">
      <formula>OR(LEFT(X7,2)="OK",LEFT(X7,8)="Complete",LEFT(X7,7)="Current",LEFT(X7,10)="Authorised",LEFT(X7,6)="Within",LEFT(X7,11)="On schedule",LEFT(X7,17)="Ready for closure",LEFT(X7,17)="Evidence reviewed",LEFT(X7,19)="Decision referenced",LEFT(X7,27)="Reassessment event recorded",LEFT(X7,14)="Period current",LEFT(X7,17)="Gap dispositioned",LEFT(X7,17)="Reviewed - no gap",LEFT(X7,11)="Recommended",LEFT(X7,17)="Closed - verified")</formula>
    </cfRule>
  </conditionalFormatting>
  <conditionalFormatting sqref="Y7:Y66">
    <cfRule type="expression" priority="17" aboveAverage="0" equalAverage="0" bottom="0" percent="0" rank="0" text="" dxfId="0">
      <formula>OR(ISNUMBER(SEARCH("Above appetite",Y7)),ISNUMBER(SEARCH("Overdue",Y7)),ISNUMBER(SEARCH("Expired",Y7)),ISNUMBER(SEARCH("Breach",Y7)),ISNUMBER(SEARCH("CHECK",Y7)),ISNUMBER(SEARCH("Not ready",Y7)),ISNUMBER(SEARCH("REMAINS",Y7)),ISNUMBER(SEARCH("Failed",Y7)),ISNUMBER(SEARCH("Cannot assess",Y7)))</formula>
    </cfRule>
    <cfRule type="expression" priority="18" aboveAverage="0" equalAverage="0" bottom="0" percent="0" rank="0" text="" dxfId="21">
      <formula>OR(ISNUMBER(SEARCH("Incomplete",Y7)),ISNUMBER(SEARCH("Pending",Y7)),ISNUMBER(SEARCH("Approaching",Y7)),ISNUMBER(SEARCH("insufficient",Y7)),ISNUMBER(SEARCH("Awaiting",Y7)),ISNUMBER(SEARCH("Review due",Y7)),ISNUMBER(SEARCH("Not configured",Y7)),ISNUMBER(SEARCH("Not classified",Y7)),ISNUMBER(SEARCH("Proposed",Y7)),ISNUMBER(SEARCH("Verification",Y7)),ISNUMBER(SEARCH("Scope limitation",Y7)),ISNUMBER(SEARCH("Follow-up",Y7)),ISNUMBER(SEARCH("Open gap",Y7)),ISNUMBER(SEARCH("Delivered - verification",Y7)),ISNUMBER(SEARCH("Historical",Y7)),ISNUMBER(SEARCH("Not scheduled",Y7)),ISNUMBER(SEARCH("Not determined",Y7)),ISNUMBER(SEARCH("Decision record",Y7)),ISNUMBER(SEARCH("Due soon",Y7)),ISNUMBER(SEARCH("Not reviewed",Y7)),ISNUMBER(SEARCH("Tier not",Y7)),ISNUMBER(SEARCH("No decision",Y7)),ISNUMBER(SEARCH("Superseded",Y7)),ISNUMBER(SEARCH("Optional",Y7)),ISNUMBER(SEARCH("legal review",Y7)),ISNUMBER(SEARCH("No treatment",Y7)),ISNUMBER(SEARCH("not recorded",Y7)),ISNUMBER(SEARCH("consider",Y7)),ISNUMBER(SEARCH("Not set",Y7)),ISNUMBER(SEARCH("Not started",Y7)),ISNUMBER(SEARCH("No expiry",Y7)),ISNUMBER(SEARCH("No KRI",Y7)),ISNUMBER(SEARCH("no reassessment",Y7)),ISNUMBER(SEARCH("Applicability",Y7)),ISNUMBER(SEARCH("Not current",Y7)),ISNUMBER(SEARCH("assess relevance",Y7)))</formula>
    </cfRule>
    <cfRule type="expression" priority="19" aboveAverage="0" equalAverage="0" bottom="0" percent="0" rank="0" text="" dxfId="22">
      <formula>OR(LEFT(Y7,2)="OK",LEFT(Y7,8)="Complete",LEFT(Y7,7)="Current",LEFT(Y7,10)="Authorised",LEFT(Y7,6)="Within",LEFT(Y7,11)="On schedule",LEFT(Y7,17)="Ready for closure",LEFT(Y7,17)="Evidence reviewed",LEFT(Y7,19)="Decision referenced",LEFT(Y7,27)="Reassessment event recorded",LEFT(Y7,14)="Period current",LEFT(Y7,17)="Gap dispositioned",LEFT(Y7,17)="Reviewed - no gap",LEFT(Y7,11)="Recommended",LEFT(Y7,17)="Closed - verified")</formula>
    </cfRule>
  </conditionalFormatting>
  <conditionalFormatting sqref="A7:A66">
    <cfRule type="expression" priority="20" aboveAverage="0" equalAverage="0" bottom="0" percent="0" rank="0" text="" dxfId="0">
      <formula>AND(A7&lt;&gt;"",COUNTIF($A$7:$A$66,A7)&gt;1)</formula>
    </cfRule>
  </conditionalFormatting>
  <dataValidations count="9">
    <dataValidation allowBlank="true" error="Enter a valid date (on or after 1 Jan 2000)." errorStyle="stop" errorTitle="Invalid date" operator="greaterThanOrEqual" showDropDown="false" showErrorMessage="true" showInputMessage="false" sqref="D7:D66 Q7:Q66" type="date">
      <formula1>36526</formula1>
      <formula2>0</formula2>
    </dataValidation>
    <dataValidation allowBlank="true" error="Choose a value from the list (controlled vocabulary or an existing ID)." errorStyle="stop" errorTitle="Invalid entry" operator="between" showDropDown="false" showErrorMessage="true" showInputMessage="false" sqref="B7:B66" type="list">
      <formula1>INV_ID</formula1>
      <formula2>0</formula2>
    </dataValidation>
    <dataValidation allowBlank="true" error="Choose a value from the list (controlled vocabulary or an existing ID)." errorStyle="stop" errorTitle="Invalid entry" operator="between" showDropDown="false" showErrorMessage="true" showInputMessage="false" sqref="E7:E66" type="list">
      <formula1>L_R13</formula1>
      <formula2>0</formula2>
    </dataValidation>
    <dataValidation allowBlank="true" error="Choose a value from the list (controlled vocabulary or an existing ID)." errorStyle="stop" errorTitle="Invalid entry" operator="between" showDropDown="false" showErrorMessage="true" showInputMessage="false" sqref="F7:F66" type="list">
      <formula1>L_R13</formula1>
      <formula2>0</formula2>
    </dataValidation>
    <dataValidation allowBlank="true" error="Choose a value from the list (controlled vocabulary or an existing ID)." errorStyle="stop" errorTitle="Invalid entry" operator="between" showDropDown="false" showErrorMessage="true" showInputMessage="false" sqref="G7:G66" type="list">
      <formula1>L_R13</formula1>
      <formula2>0</formula2>
    </dataValidation>
    <dataValidation allowBlank="true" error="Choose a value from the list (controlled vocabulary or an existing ID)." errorStyle="stop" errorTitle="Invalid entry" operator="between" showDropDown="false" showErrorMessage="true" showInputMessage="false" sqref="H7:H66" type="list">
      <formula1>L_R13</formula1>
      <formula2>0</formula2>
    </dataValidation>
    <dataValidation allowBlank="true" error="Choose a value from the list (controlled vocabulary or an existing ID)." errorStyle="stop" errorTitle="Invalid entry" operator="between" showDropDown="false" showErrorMessage="true" showInputMessage="false" sqref="I7:I66" type="list">
      <formula1>L_R13</formula1>
      <formula2>0</formula2>
    </dataValidation>
    <dataValidation allowBlank="true" error="Choose a value from the list (controlled vocabulary or an existing ID)." errorStyle="stop" errorTitle="Invalid entry" operator="between" showDropDown="false" showErrorMessage="true" showInputMessage="false" sqref="O7:O66" type="list">
      <formula1>L_BizValid</formula1>
      <formula2>0</formula2>
    </dataValidation>
    <dataValidation allowBlank="true" error="Choose a value from the list (controlled vocabulary or an existing ID)." errorStyle="stop" errorTitle="Invalid entry" operator="between" showDropDown="false" showErrorMessage="true" showInputMessage="false" sqref="R7:R66" type="list">
      <formula1>L_CritAppr</formula1>
      <formula2>0</formula2>
    </dataValidation>
  </dataValidations>
  <hyperlinks>
    <hyperlink ref="H1" r:id="rId1" location="'01%20Start%20Here'!A1" display="&lt;&lt; Back to Start Here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tableParts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AJ20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3" ySplit="6" topLeftCell="D7" activePane="bottomRight" state="frozen"/>
      <selection pane="topLeft" activeCell="A1" activeCellId="0" sqref="A1"/>
      <selection pane="topRight" activeCell="D1" activeCellId="0" sqref="D1"/>
      <selection pane="bottomLeft" activeCell="A7" activeCellId="0" sqref="A7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11"/>
    <col collapsed="false" customWidth="true" hidden="false" outlineLevel="0" max="2" min="2" style="1" width="12"/>
    <col collapsed="false" customWidth="true" hidden="false" outlineLevel="0" max="3" min="3" style="1" width="24"/>
    <col collapsed="false" customWidth="true" hidden="false" outlineLevel="0" max="4" min="4" style="1" width="20"/>
    <col collapsed="false" customWidth="true" hidden="false" outlineLevel="0" max="5" min="5" style="1" width="36"/>
    <col collapsed="false" customWidth="true" hidden="false" outlineLevel="0" max="6" min="6" style="1" width="28"/>
    <col collapsed="false" customWidth="true" hidden="false" outlineLevel="0" max="8" min="7" style="1" width="30"/>
    <col collapsed="false" customWidth="true" hidden="false" outlineLevel="0" max="9" min="9" style="1" width="22"/>
    <col collapsed="false" customWidth="true" hidden="false" outlineLevel="0" max="12" min="10" style="1" width="11"/>
    <col collapsed="false" customWidth="true" hidden="false" outlineLevel="0" max="13" min="13" style="1" width="13"/>
    <col collapsed="false" customWidth="true" hidden="false" outlineLevel="0" max="14" min="14" style="1" width="34"/>
    <col collapsed="false" customWidth="true" hidden="false" outlineLevel="0" max="15" min="15" style="1" width="18"/>
    <col collapsed="false" customWidth="true" hidden="false" outlineLevel="0" max="17" min="16" style="1" width="12"/>
    <col collapsed="false" customWidth="true" hidden="false" outlineLevel="0" max="18" min="18" style="1" width="11"/>
    <col collapsed="false" customWidth="true" hidden="false" outlineLevel="0" max="19" min="19" style="1" width="13"/>
    <col collapsed="false" customWidth="true" hidden="false" outlineLevel="0" max="20" min="20" style="1" width="36"/>
    <col collapsed="false" customWidth="true" hidden="false" outlineLevel="0" max="21" min="21" style="1" width="12"/>
    <col collapsed="false" customWidth="true" hidden="false" outlineLevel="0" max="24" min="22" style="1" width="11"/>
    <col collapsed="false" customWidth="true" hidden="false" outlineLevel="0" max="25" min="25" style="1" width="13"/>
    <col collapsed="false" customWidth="true" hidden="false" outlineLevel="0" max="26" min="26" style="1" width="32"/>
    <col collapsed="false" customWidth="true" hidden="false" outlineLevel="0" max="27" min="27" style="1" width="26"/>
    <col collapsed="false" customWidth="true" hidden="false" outlineLevel="0" max="28" min="28" style="1" width="16"/>
    <col collapsed="false" customWidth="true" hidden="false" outlineLevel="0" max="29" min="29" style="1" width="30"/>
    <col collapsed="false" customWidth="true" hidden="false" outlineLevel="0" max="30" min="30" style="1" width="28"/>
    <col collapsed="false" customWidth="true" hidden="false" outlineLevel="0" max="32" min="31" style="1" width="13"/>
    <col collapsed="false" customWidth="true" hidden="false" outlineLevel="0" max="33" min="33" style="1" width="28"/>
    <col collapsed="false" customWidth="true" hidden="false" outlineLevel="0" max="34" min="34" style="1" width="30"/>
    <col collapsed="false" customWidth="true" hidden="true" outlineLevel="0" max="36" min="35" style="1" width="10"/>
  </cols>
  <sheetData>
    <row r="1" customFormat="false" ht="17.35" hidden="false" customHeight="false" outlineLevel="0" collapsed="false">
      <c r="A1" s="22" t="s">
        <v>15</v>
      </c>
      <c r="H1" s="10" t="s">
        <v>100</v>
      </c>
    </row>
    <row r="2" customFormat="false" ht="15" hidden="false" customHeight="false" outlineLevel="0" collapsed="false">
      <c r="A2" s="3" t="s">
        <v>592</v>
      </c>
    </row>
    <row r="3" customFormat="false" ht="15" hidden="false" customHeight="false" outlineLevel="0" collapsed="false">
      <c r="A3" s="4" t="s">
        <v>593</v>
      </c>
    </row>
    <row r="4" customFormat="false" ht="24" hidden="false" customHeight="true" outlineLevel="0" collapsed="false">
      <c r="A4" s="45" t="s">
        <v>69</v>
      </c>
      <c r="B4" s="45" t="s">
        <v>69</v>
      </c>
      <c r="C4" s="55" t="s">
        <v>73</v>
      </c>
      <c r="D4" s="45" t="s">
        <v>69</v>
      </c>
      <c r="E4" s="45" t="s">
        <v>69</v>
      </c>
      <c r="F4" s="45" t="s">
        <v>69</v>
      </c>
      <c r="G4" s="45" t="s">
        <v>69</v>
      </c>
      <c r="H4" s="45" t="s">
        <v>69</v>
      </c>
      <c r="I4" s="45" t="s">
        <v>69</v>
      </c>
      <c r="J4" s="45" t="s">
        <v>69</v>
      </c>
      <c r="K4" s="45" t="s">
        <v>69</v>
      </c>
      <c r="L4" s="46" t="s">
        <v>442</v>
      </c>
      <c r="M4" s="46" t="s">
        <v>442</v>
      </c>
      <c r="N4" s="45" t="s">
        <v>69</v>
      </c>
      <c r="O4" s="45" t="s">
        <v>69</v>
      </c>
      <c r="P4" s="45" t="s">
        <v>69</v>
      </c>
      <c r="Q4" s="45" t="s">
        <v>69</v>
      </c>
      <c r="R4" s="46" t="s">
        <v>442</v>
      </c>
      <c r="S4" s="46" t="s">
        <v>442</v>
      </c>
      <c r="T4" s="45" t="s">
        <v>69</v>
      </c>
      <c r="U4" s="45" t="s">
        <v>69</v>
      </c>
      <c r="V4" s="45" t="s">
        <v>69</v>
      </c>
      <c r="W4" s="45" t="s">
        <v>69</v>
      </c>
      <c r="X4" s="46" t="s">
        <v>442</v>
      </c>
      <c r="Y4" s="46" t="s">
        <v>442</v>
      </c>
      <c r="Z4" s="45" t="s">
        <v>69</v>
      </c>
      <c r="AA4" s="46" t="s">
        <v>442</v>
      </c>
      <c r="AB4" s="45" t="s">
        <v>69</v>
      </c>
      <c r="AC4" s="46" t="s">
        <v>442</v>
      </c>
      <c r="AD4" s="46" t="s">
        <v>442</v>
      </c>
      <c r="AE4" s="45" t="s">
        <v>69</v>
      </c>
      <c r="AF4" s="45" t="s">
        <v>69</v>
      </c>
      <c r="AG4" s="46" t="s">
        <v>442</v>
      </c>
      <c r="AH4" s="46" t="s">
        <v>442</v>
      </c>
      <c r="AI4" s="46" t="s">
        <v>442</v>
      </c>
      <c r="AJ4" s="46" t="s">
        <v>442</v>
      </c>
    </row>
    <row r="5" customFormat="false" ht="30" hidden="false" customHeight="true" outlineLevel="0" collapsed="false">
      <c r="A5" s="47" t="s">
        <v>594</v>
      </c>
      <c r="B5" s="47" t="s">
        <v>443</v>
      </c>
      <c r="C5" s="47"/>
      <c r="D5" s="47" t="s">
        <v>595</v>
      </c>
      <c r="E5" s="47" t="s">
        <v>596</v>
      </c>
      <c r="F5" s="47"/>
      <c r="G5" s="47"/>
      <c r="H5" s="47"/>
      <c r="I5" s="47"/>
      <c r="J5" s="47" t="s">
        <v>597</v>
      </c>
      <c r="K5" s="47" t="s">
        <v>598</v>
      </c>
      <c r="L5" s="47"/>
      <c r="M5" s="47"/>
      <c r="N5" s="47"/>
      <c r="O5" s="47" t="s">
        <v>599</v>
      </c>
      <c r="P5" s="47" t="s">
        <v>530</v>
      </c>
      <c r="Q5" s="47" t="s">
        <v>598</v>
      </c>
      <c r="R5" s="47"/>
      <c r="S5" s="47"/>
      <c r="T5" s="47"/>
      <c r="U5" s="47" t="s">
        <v>600</v>
      </c>
      <c r="V5" s="47" t="s">
        <v>531</v>
      </c>
      <c r="W5" s="47" t="s">
        <v>597</v>
      </c>
      <c r="X5" s="47"/>
      <c r="Y5" s="47"/>
      <c r="Z5" s="47"/>
      <c r="AA5" s="47"/>
      <c r="AB5" s="47" t="s">
        <v>601</v>
      </c>
      <c r="AC5" s="47"/>
      <c r="AD5" s="47"/>
      <c r="AE5" s="47" t="s">
        <v>602</v>
      </c>
      <c r="AF5" s="47" t="s">
        <v>603</v>
      </c>
      <c r="AG5" s="47"/>
      <c r="AH5" s="47"/>
      <c r="AI5" s="47"/>
      <c r="AJ5" s="47"/>
    </row>
    <row r="6" customFormat="false" ht="48" hidden="false" customHeight="true" outlineLevel="0" collapsed="false">
      <c r="A6" s="48" t="s">
        <v>604</v>
      </c>
      <c r="B6" s="48" t="s">
        <v>456</v>
      </c>
      <c r="C6" s="57" t="s">
        <v>538</v>
      </c>
      <c r="D6" s="48" t="s">
        <v>605</v>
      </c>
      <c r="E6" s="48" t="s">
        <v>606</v>
      </c>
      <c r="F6" s="48" t="s">
        <v>607</v>
      </c>
      <c r="G6" s="48" t="s">
        <v>608</v>
      </c>
      <c r="H6" s="48" t="s">
        <v>609</v>
      </c>
      <c r="I6" s="48" t="s">
        <v>610</v>
      </c>
      <c r="J6" s="48" t="s">
        <v>611</v>
      </c>
      <c r="K6" s="48" t="s">
        <v>612</v>
      </c>
      <c r="L6" s="49" t="s">
        <v>613</v>
      </c>
      <c r="M6" s="49" t="s">
        <v>614</v>
      </c>
      <c r="N6" s="48" t="s">
        <v>615</v>
      </c>
      <c r="O6" s="48" t="s">
        <v>616</v>
      </c>
      <c r="P6" s="48" t="s">
        <v>617</v>
      </c>
      <c r="Q6" s="48" t="s">
        <v>618</v>
      </c>
      <c r="R6" s="49" t="s">
        <v>619</v>
      </c>
      <c r="S6" s="49" t="s">
        <v>620</v>
      </c>
      <c r="T6" s="48" t="s">
        <v>621</v>
      </c>
      <c r="U6" s="48" t="s">
        <v>622</v>
      </c>
      <c r="V6" s="48" t="s">
        <v>623</v>
      </c>
      <c r="W6" s="48" t="s">
        <v>624</v>
      </c>
      <c r="X6" s="49" t="s">
        <v>625</v>
      </c>
      <c r="Y6" s="49" t="s">
        <v>626</v>
      </c>
      <c r="Z6" s="48" t="s">
        <v>627</v>
      </c>
      <c r="AA6" s="49" t="s">
        <v>628</v>
      </c>
      <c r="AB6" s="48" t="s">
        <v>629</v>
      </c>
      <c r="AC6" s="49" t="s">
        <v>630</v>
      </c>
      <c r="AD6" s="49" t="s">
        <v>631</v>
      </c>
      <c r="AE6" s="48" t="s">
        <v>539</v>
      </c>
      <c r="AF6" s="48" t="s">
        <v>552</v>
      </c>
      <c r="AG6" s="49" t="s">
        <v>477</v>
      </c>
      <c r="AH6" s="49" t="s">
        <v>560</v>
      </c>
      <c r="AI6" s="49" t="s">
        <v>478</v>
      </c>
      <c r="AJ6" s="49" t="s">
        <v>632</v>
      </c>
    </row>
    <row r="7" customFormat="false" ht="46.25" hidden="false" customHeight="false" outlineLevel="0" collapsed="false">
      <c r="A7" s="50" t="s">
        <v>633</v>
      </c>
      <c r="B7" s="50" t="s">
        <v>479</v>
      </c>
      <c r="C7" s="59" t="str">
        <f aca="false">IF(B7="","",IFERROR(INDEX(INV_NAME,MATCH(B7,INV_ID,0)),"CHECK: Supplier ID not found"))</f>
        <v>Northwind Cloud Hosting Ltd</v>
      </c>
      <c r="D7" s="34" t="s">
        <v>320</v>
      </c>
      <c r="E7" s="34" t="s">
        <v>634</v>
      </c>
      <c r="F7" s="34" t="s">
        <v>635</v>
      </c>
      <c r="G7" s="34" t="s">
        <v>636</v>
      </c>
      <c r="H7" s="34" t="s">
        <v>637</v>
      </c>
      <c r="I7" s="34" t="s">
        <v>482</v>
      </c>
      <c r="J7" s="50" t="n">
        <v>4</v>
      </c>
      <c r="K7" s="50" t="n">
        <v>5</v>
      </c>
      <c r="L7" s="52" t="n">
        <f aca="false">IF(A7="","",IF(AND(ISNUMBER(J7),ISNUMBER(K7),J7&gt;=1,J7&lt;=5,K7&gt;=1,K7&lt;=5),J7*K7,"Incomplete"))</f>
        <v>20</v>
      </c>
      <c r="M7" s="52" t="str">
        <f aca="false">IF(A7="","",IF(ISNUMBER(L7),LOOKUP(L7,BandMin,BandName),"Incomplete"))</f>
        <v>Critical</v>
      </c>
      <c r="N7" s="34" t="s">
        <v>638</v>
      </c>
      <c r="O7" s="34" t="s">
        <v>639</v>
      </c>
      <c r="P7" s="50" t="n">
        <v>3</v>
      </c>
      <c r="Q7" s="50" t="n">
        <v>5</v>
      </c>
      <c r="R7" s="61" t="n">
        <f aca="false">IF(A7="","",IF(AND(ISNUMBER(P7),ISNUMBER(Q7),P7&gt;=1,P7&lt;=5,Q7&gt;=1,Q7&lt;=5),P7*Q7,"Incomplete"))</f>
        <v>15</v>
      </c>
      <c r="S7" s="52" t="str">
        <f aca="false">IF(A7="","",IF(ISNUMBER(R7),LOOKUP(R7,BandMin,BandName),"Incomplete"))</f>
        <v>High</v>
      </c>
      <c r="T7" s="34" t="s">
        <v>640</v>
      </c>
      <c r="U7" s="50" t="s">
        <v>154</v>
      </c>
      <c r="V7" s="50" t="n">
        <v>2</v>
      </c>
      <c r="W7" s="50" t="n">
        <v>4</v>
      </c>
      <c r="X7" s="52" t="n">
        <f aca="false">IF(A7="","",IF(AND(V7="",W7=""),"Not set",IF(AND(ISNUMBER(V7),ISNUMBER(W7),V7&gt;=1,V7&lt;=5,W7&gt;=1,W7&lt;=5),V7*W7,"Incomplete")))</f>
        <v>8</v>
      </c>
      <c r="Y7" s="52" t="str">
        <f aca="false">IF(A7="","",IF(X7="Not set","Not set",IF(ISNUMBER(X7),LOOKUP(X7,BandMin,BandName),"Incomplete")))</f>
        <v>Moderate</v>
      </c>
      <c r="Z7" s="34" t="s">
        <v>641</v>
      </c>
      <c r="AA7" s="54" t="str">
        <f aca="false">IF(A7="","",IF(AppetiteThreshold="","Not configured",IF(NOT(ISNUMBER(R7)),"Cannot assess - residual incomplete",IF(MATCH(S7,BandName,0)&gt;=MATCH(AppetiteThreshold,BandName,0),"Above appetite - escalation required","Within appetite"))))</f>
        <v>Above appetite - escalation required</v>
      </c>
      <c r="AB7" s="50" t="s">
        <v>642</v>
      </c>
      <c r="AC7" s="54" t="str">
        <f aca="false">IF(A7="","",IF(AB7="","No decision referenced",IFERROR(INDEX(DEC_FINAL,MATCH(AB7,DEC_ID,0))&amp;" - "&amp;INDEX(DEC_CURR,MATCH(AB7,DEC_ID,0)),"CHECK: Decision ID not found")))</f>
        <v>Risk accepted - Authorised (user-entered record)</v>
      </c>
      <c r="AD7" s="54" t="str">
        <f aca="false">IF(A7="","",IF(COUNTIF(TRT_RISK,A7)=0,"No treatment recorded",COUNTIF(TRT_RISK,A7)&amp;" action(s); "&amp;COUNTIFS(TRT_RISK,A7,TRT_OPEN,"Open")&amp;" open; "&amp;COUNTIFS(TRT_RISK,A7,TRT_OVERDUE,"Overdue")&amp;" overdue"))</f>
        <v>2 action(s); 1 open; 0 overdue</v>
      </c>
      <c r="AE7" s="51" t="n">
        <v>46275</v>
      </c>
      <c r="AF7" s="51" t="n">
        <v>46456</v>
      </c>
      <c r="AG7" s="54" t="str">
        <f aca="false">IF(A7="","",IF(AI7="","Complete","Incomplete: "&amp;AI7))</f>
        <v>Complete</v>
      </c>
      <c r="AH7" s="54" t="str">
        <f aca="false">IF(A7="","",IF(COUNTIF(RSK_ID,A7)&gt;1,"CHECK: duplicate ID",IF(B7="","CHECK: Supplier ID missing",IF(COUNTIF(INV_ID,B7)=0,"CHECK: Supplier ID not in inventory",IF(AND(ISNUMBER(R7),ISNUMBER(L7),R7&gt;L7),"CHECK: residual score exceeds inherent - confirm",IF(AND(ISNUMBER(AF7),AF7&lt;AsOf),"Review overdue (administrative)","OK"))))))</f>
        <v>OK</v>
      </c>
      <c r="AI7" s="52" t="str">
        <f aca="false">IF(A7="","",IF(I7="","risk owner; ","")&amp;IF(OR(J7="",K7=""),"inherent rating; ","")&amp;IF(N7="","inherent rationale; ","")&amp;IF(OR(P7="",Q7=""),"residual rating; ","")&amp;IF(AND(OR(P7&lt;&gt;"",Q7&lt;&gt;""),T7=""),"residual rationale; ","")&amp;IF(AND(OR(P7&lt;&gt;"",Q7&lt;&gt;""),U7=""),"assessment confidence; ","")&amp;IF(AE7="","assessment date; ",""))</f>
        <v/>
      </c>
      <c r="AJ7" s="52" t="str">
        <f aca="false">IF(OR(A7="",B7=""),"",IF(B7=RptSup,B7&amp;"|"&amp;COUNTIF($B$7:B7,B7),""))</f>
        <v>SUP-001|1</v>
      </c>
    </row>
    <row r="8" customFormat="false" ht="46.25" hidden="false" customHeight="false" outlineLevel="0" collapsed="false">
      <c r="A8" s="50" t="s">
        <v>643</v>
      </c>
      <c r="B8" s="50" t="s">
        <v>479</v>
      </c>
      <c r="C8" s="59" t="str">
        <f aca="false">IF(B8="","",IFERROR(INDEX(INV_NAME,MATCH(B8,INV_ID,0)),"CHECK: Supplier ID not found"))</f>
        <v>Northwind Cloud Hosting Ltd</v>
      </c>
      <c r="D8" s="34" t="s">
        <v>245</v>
      </c>
      <c r="E8" s="34" t="s">
        <v>644</v>
      </c>
      <c r="F8" s="34" t="s">
        <v>645</v>
      </c>
      <c r="G8" s="34" t="s">
        <v>646</v>
      </c>
      <c r="H8" s="34" t="s">
        <v>647</v>
      </c>
      <c r="I8" s="34" t="s">
        <v>482</v>
      </c>
      <c r="J8" s="50" t="n">
        <v>4</v>
      </c>
      <c r="K8" s="50" t="n">
        <v>5</v>
      </c>
      <c r="L8" s="52" t="n">
        <f aca="false">IF(A8="","",IF(AND(ISNUMBER(J8),ISNUMBER(K8),J8&gt;=1,J8&lt;=5,K8&gt;=1,K8&lt;=5),J8*K8,"Incomplete"))</f>
        <v>20</v>
      </c>
      <c r="M8" s="52" t="str">
        <f aca="false">IF(A8="","",IF(ISNUMBER(L8),LOOKUP(L8,BandMin,BandName),"Incomplete"))</f>
        <v>Critical</v>
      </c>
      <c r="N8" s="34" t="s">
        <v>648</v>
      </c>
      <c r="O8" s="34" t="s">
        <v>649</v>
      </c>
      <c r="P8" s="50" t="n">
        <v>3</v>
      </c>
      <c r="Q8" s="50" t="n">
        <v>4</v>
      </c>
      <c r="R8" s="61" t="n">
        <f aca="false">IF(A8="","",IF(AND(ISNUMBER(P8),ISNUMBER(Q8),P8&gt;=1,P8&lt;=5,Q8&gt;=1,Q8&lt;=5),P8*Q8,"Incomplete"))</f>
        <v>12</v>
      </c>
      <c r="S8" s="52" t="str">
        <f aca="false">IF(A8="","",IF(ISNUMBER(R8),LOOKUP(R8,BandMin,BandName),"Incomplete"))</f>
        <v>High</v>
      </c>
      <c r="T8" s="34" t="s">
        <v>650</v>
      </c>
      <c r="U8" s="50" t="s">
        <v>157</v>
      </c>
      <c r="V8" s="50" t="n">
        <v>2</v>
      </c>
      <c r="W8" s="50" t="n">
        <v>4</v>
      </c>
      <c r="X8" s="52" t="n">
        <f aca="false">IF(A8="","",IF(AND(V8="",W8=""),"Not set",IF(AND(ISNUMBER(V8),ISNUMBER(W8),V8&gt;=1,V8&lt;=5,W8&gt;=1,W8&lt;=5),V8*W8,"Incomplete")))</f>
        <v>8</v>
      </c>
      <c r="Y8" s="52" t="str">
        <f aca="false">IF(A8="","",IF(X8="Not set","Not set",IF(ISNUMBER(X8),LOOKUP(X8,BandMin,BandName),"Incomplete")))</f>
        <v>Moderate</v>
      </c>
      <c r="Z8" s="34" t="s">
        <v>651</v>
      </c>
      <c r="AA8" s="54" t="str">
        <f aca="false">IF(A8="","",IF(AppetiteThreshold="","Not configured",IF(NOT(ISNUMBER(R8)),"Cannot assess - residual incomplete",IF(MATCH(S8,BandName,0)&gt;=MATCH(AppetiteThreshold,BandName,0),"Above appetite - escalation required","Within appetite"))))</f>
        <v>Above appetite - escalation required</v>
      </c>
      <c r="AB8" s="50"/>
      <c r="AC8" s="54" t="str">
        <f aca="false">IF(A8="","",IF(AB8="","No decision referenced",IFERROR(INDEX(DEC_FINAL,MATCH(AB8,DEC_ID,0))&amp;" - "&amp;INDEX(DEC_CURR,MATCH(AB8,DEC_ID,0)),"CHECK: Decision ID not found")))</f>
        <v>No decision referenced</v>
      </c>
      <c r="AD8" s="54" t="str">
        <f aca="false">IF(A8="","",IF(COUNTIF(TRT_RISK,A8)=0,"No treatment recorded",COUNTIF(TRT_RISK,A8)&amp;" action(s); "&amp;COUNTIFS(TRT_RISK,A8,TRT_OPEN,"Open")&amp;" open; "&amp;COUNTIFS(TRT_RISK,A8,TRT_OVERDUE,"Overdue")&amp;" overdue"))</f>
        <v>1 action(s); 1 open; 1 overdue</v>
      </c>
      <c r="AE8" s="51" t="n">
        <v>46275</v>
      </c>
      <c r="AF8" s="51" t="n">
        <v>46366</v>
      </c>
      <c r="AG8" s="54" t="str">
        <f aca="false">IF(A8="","",IF(AI8="","Complete","Incomplete: "&amp;AI8))</f>
        <v>Complete</v>
      </c>
      <c r="AH8" s="54" t="str">
        <f aca="false">IF(A8="","",IF(COUNTIF(RSK_ID,A8)&gt;1,"CHECK: duplicate ID",IF(B8="","CHECK: Supplier ID missing",IF(COUNTIF(INV_ID,B8)=0,"CHECK: Supplier ID not in inventory",IF(AND(ISNUMBER(R8),ISNUMBER(L8),R8&gt;L8),"CHECK: residual score exceeds inherent - confirm",IF(AND(ISNUMBER(AF8),AF8&lt;AsOf),"Review overdue (administrative)","OK"))))))</f>
        <v>OK</v>
      </c>
      <c r="AI8" s="52" t="str">
        <f aca="false">IF(A8="","",IF(I8="","risk owner; ","")&amp;IF(OR(J8="",K8=""),"inherent rating; ","")&amp;IF(N8="","inherent rationale; ","")&amp;IF(OR(P8="",Q8=""),"residual rating; ","")&amp;IF(AND(OR(P8&lt;&gt;"",Q8&lt;&gt;""),T8=""),"residual rationale; ","")&amp;IF(AND(OR(P8&lt;&gt;"",Q8&lt;&gt;""),U8=""),"assessment confidence; ","")&amp;IF(AE8="","assessment date; ",""))</f>
        <v/>
      </c>
      <c r="AJ8" s="52" t="str">
        <f aca="false">IF(OR(A8="",B8=""),"",IF(B8=RptSup,B8&amp;"|"&amp;COUNTIF($B$7:B8,B8),""))</f>
        <v>SUP-001|2</v>
      </c>
    </row>
    <row r="9" customFormat="false" ht="35.05" hidden="false" customHeight="false" outlineLevel="0" collapsed="false">
      <c r="A9" s="50" t="s">
        <v>652</v>
      </c>
      <c r="B9" s="50" t="s">
        <v>479</v>
      </c>
      <c r="C9" s="59" t="str">
        <f aca="false">IF(B9="","",IFERROR(INDEX(INV_NAME,MATCH(B9,INV_ID,0)),"CHECK: Supplier ID not found"))</f>
        <v>Northwind Cloud Hosting Ltd</v>
      </c>
      <c r="D9" s="34" t="s">
        <v>384</v>
      </c>
      <c r="E9" s="34" t="s">
        <v>653</v>
      </c>
      <c r="F9" s="34" t="s">
        <v>654</v>
      </c>
      <c r="G9" s="34" t="s">
        <v>655</v>
      </c>
      <c r="H9" s="34" t="s">
        <v>656</v>
      </c>
      <c r="I9" s="34" t="s">
        <v>482</v>
      </c>
      <c r="J9" s="50" t="n">
        <v>3</v>
      </c>
      <c r="K9" s="50" t="n">
        <v>5</v>
      </c>
      <c r="L9" s="52" t="n">
        <f aca="false">IF(A9="","",IF(AND(ISNUMBER(J9),ISNUMBER(K9),J9&gt;=1,J9&lt;=5,K9&gt;=1,K9&lt;=5),J9*K9,"Incomplete"))</f>
        <v>15</v>
      </c>
      <c r="M9" s="52" t="str">
        <f aca="false">IF(A9="","",IF(ISNUMBER(L9),LOOKUP(L9,BandMin,BandName),"Incomplete"))</f>
        <v>High</v>
      </c>
      <c r="N9" s="34" t="s">
        <v>657</v>
      </c>
      <c r="O9" s="34" t="s">
        <v>658</v>
      </c>
      <c r="P9" s="50" t="n">
        <v>2</v>
      </c>
      <c r="Q9" s="50" t="n">
        <v>5</v>
      </c>
      <c r="R9" s="61" t="n">
        <f aca="false">IF(A9="","",IF(AND(ISNUMBER(P9),ISNUMBER(Q9),P9&gt;=1,P9&lt;=5,Q9&gt;=1,Q9&lt;=5),P9*Q9,"Incomplete"))</f>
        <v>10</v>
      </c>
      <c r="S9" s="52" t="str">
        <f aca="false">IF(A9="","",IF(ISNUMBER(R9),LOOKUP(R9,BandMin,BandName),"Incomplete"))</f>
        <v>Moderate</v>
      </c>
      <c r="T9" s="34" t="s">
        <v>659</v>
      </c>
      <c r="U9" s="50" t="s">
        <v>154</v>
      </c>
      <c r="V9" s="50" t="n">
        <v>2</v>
      </c>
      <c r="W9" s="50" t="n">
        <v>4</v>
      </c>
      <c r="X9" s="52" t="n">
        <f aca="false">IF(A9="","",IF(AND(V9="",W9=""),"Not set",IF(AND(ISNUMBER(V9),ISNUMBER(W9),V9&gt;=1,V9&lt;=5,W9&gt;=1,W9&lt;=5),V9*W9,"Incomplete")))</f>
        <v>8</v>
      </c>
      <c r="Y9" s="52" t="str">
        <f aca="false">IF(A9="","",IF(X9="Not set","Not set",IF(ISNUMBER(X9),LOOKUP(X9,BandMin,BandName),"Incomplete")))</f>
        <v>Moderate</v>
      </c>
      <c r="Z9" s="34" t="s">
        <v>660</v>
      </c>
      <c r="AA9" s="54" t="str">
        <f aca="false">IF(A9="","",IF(AppetiteThreshold="","Not configured",IF(NOT(ISNUMBER(R9)),"Cannot assess - residual incomplete",IF(MATCH(S9,BandName,0)&gt;=MATCH(AppetiteThreshold,BandName,0),"Above appetite - escalation required","Within appetite"))))</f>
        <v>Within appetite</v>
      </c>
      <c r="AB9" s="50"/>
      <c r="AC9" s="54" t="str">
        <f aca="false">IF(A9="","",IF(AB9="","No decision referenced",IFERROR(INDEX(DEC_FINAL,MATCH(AB9,DEC_ID,0))&amp;" - "&amp;INDEX(DEC_CURR,MATCH(AB9,DEC_ID,0)),"CHECK: Decision ID not found")))</f>
        <v>No decision referenced</v>
      </c>
      <c r="AD9" s="54" t="str">
        <f aca="false">IF(A9="","",IF(COUNTIF(TRT_RISK,A9)=0,"No treatment recorded",COUNTIF(TRT_RISK,A9)&amp;" action(s); "&amp;COUNTIFS(TRT_RISK,A9,TRT_OPEN,"Open")&amp;" open; "&amp;COUNTIFS(TRT_RISK,A9,TRT_OVERDUE,"Overdue")&amp;" overdue"))</f>
        <v>No treatment recorded</v>
      </c>
      <c r="AE9" s="51" t="n">
        <v>46275</v>
      </c>
      <c r="AF9" s="51" t="n">
        <v>46456</v>
      </c>
      <c r="AG9" s="54" t="str">
        <f aca="false">IF(A9="","",IF(AI9="","Complete","Incomplete: "&amp;AI9))</f>
        <v>Complete</v>
      </c>
      <c r="AH9" s="54" t="str">
        <f aca="false">IF(A9="","",IF(COUNTIF(RSK_ID,A9)&gt;1,"CHECK: duplicate ID",IF(B9="","CHECK: Supplier ID missing",IF(COUNTIF(INV_ID,B9)=0,"CHECK: Supplier ID not in inventory",IF(AND(ISNUMBER(R9),ISNUMBER(L9),R9&gt;L9),"CHECK: residual score exceeds inherent - confirm",IF(AND(ISNUMBER(AF9),AF9&lt;AsOf),"Review overdue (administrative)","OK"))))))</f>
        <v>OK</v>
      </c>
      <c r="AI9" s="52" t="str">
        <f aca="false">IF(A9="","",IF(I9="","risk owner; ","")&amp;IF(OR(J9="",K9=""),"inherent rating; ","")&amp;IF(N9="","inherent rationale; ","")&amp;IF(OR(P9="",Q9=""),"residual rating; ","")&amp;IF(AND(OR(P9&lt;&gt;"",Q9&lt;&gt;""),T9=""),"residual rationale; ","")&amp;IF(AND(OR(P9&lt;&gt;"",Q9&lt;&gt;""),U9=""),"assessment confidence; ","")&amp;IF(AE9="","assessment date; ",""))</f>
        <v/>
      </c>
      <c r="AJ9" s="52" t="str">
        <f aca="false">IF(OR(A9="",B9=""),"",IF(B9=RptSup,B9&amp;"|"&amp;COUNTIF($B$7:B9,B9),""))</f>
        <v>SUP-001|3</v>
      </c>
    </row>
    <row r="10" customFormat="false" ht="57.45" hidden="false" customHeight="false" outlineLevel="0" collapsed="false">
      <c r="A10" s="50" t="s">
        <v>661</v>
      </c>
      <c r="B10" s="50" t="s">
        <v>489</v>
      </c>
      <c r="C10" s="59" t="str">
        <f aca="false">IF(B10="","",IFERROR(INDEX(INV_NAME,MATCH(B10,INV_ID,0)),"CHECK: Supplier ID not found"))</f>
        <v>SupportLoop Ltd</v>
      </c>
      <c r="D10" s="34" t="s">
        <v>245</v>
      </c>
      <c r="E10" s="34" t="s">
        <v>662</v>
      </c>
      <c r="F10" s="34" t="s">
        <v>663</v>
      </c>
      <c r="G10" s="34" t="s">
        <v>664</v>
      </c>
      <c r="H10" s="34" t="s">
        <v>665</v>
      </c>
      <c r="I10" s="34" t="s">
        <v>492</v>
      </c>
      <c r="J10" s="50" t="n">
        <v>4</v>
      </c>
      <c r="K10" s="50" t="n">
        <v>4</v>
      </c>
      <c r="L10" s="52" t="n">
        <f aca="false">IF(A10="","",IF(AND(ISNUMBER(J10),ISNUMBER(K10),J10&gt;=1,J10&lt;=5,K10&gt;=1,K10&lt;=5),J10*K10,"Incomplete"))</f>
        <v>16</v>
      </c>
      <c r="M10" s="52" t="str">
        <f aca="false">IF(A10="","",IF(ISNUMBER(L10),LOOKUP(L10,BandMin,BandName),"Incomplete"))</f>
        <v>Critical</v>
      </c>
      <c r="N10" s="34" t="s">
        <v>666</v>
      </c>
      <c r="O10" s="34" t="s">
        <v>667</v>
      </c>
      <c r="P10" s="50" t="n">
        <v>3</v>
      </c>
      <c r="Q10" s="50" t="n">
        <v>4</v>
      </c>
      <c r="R10" s="61" t="n">
        <f aca="false">IF(A10="","",IF(AND(ISNUMBER(P10),ISNUMBER(Q10),P10&gt;=1,P10&lt;=5,Q10&gt;=1,Q10&lt;=5),P10*Q10,"Incomplete"))</f>
        <v>12</v>
      </c>
      <c r="S10" s="52" t="str">
        <f aca="false">IF(A10="","",IF(ISNUMBER(R10),LOOKUP(R10,BandMin,BandName),"Incomplete"))</f>
        <v>High</v>
      </c>
      <c r="T10" s="34" t="s">
        <v>668</v>
      </c>
      <c r="U10" s="50" t="s">
        <v>154</v>
      </c>
      <c r="V10" s="50" t="n">
        <v>2</v>
      </c>
      <c r="W10" s="50" t="n">
        <v>3</v>
      </c>
      <c r="X10" s="52" t="n">
        <f aca="false">IF(A10="","",IF(AND(V10="",W10=""),"Not set",IF(AND(ISNUMBER(V10),ISNUMBER(W10),V10&gt;=1,V10&lt;=5,W10&gt;=1,W10&lt;=5),V10*W10,"Incomplete")))</f>
        <v>6</v>
      </c>
      <c r="Y10" s="52" t="str">
        <f aca="false">IF(A10="","",IF(X10="Not set","Not set",IF(ISNUMBER(X10),LOOKUP(X10,BandMin,BandName),"Incomplete")))</f>
        <v>Moderate</v>
      </c>
      <c r="Z10" s="34" t="s">
        <v>669</v>
      </c>
      <c r="AA10" s="54" t="str">
        <f aca="false">IF(A10="","",IF(AppetiteThreshold="","Not configured",IF(NOT(ISNUMBER(R10)),"Cannot assess - residual incomplete",IF(MATCH(S10,BandName,0)&gt;=MATCH(AppetiteThreshold,BandName,0),"Above appetite - escalation required","Within appetite"))))</f>
        <v>Above appetite - escalation required</v>
      </c>
      <c r="AB10" s="50"/>
      <c r="AC10" s="54" t="str">
        <f aca="false">IF(A10="","",IF(AB10="","No decision referenced",IFERROR(INDEX(DEC_FINAL,MATCH(AB10,DEC_ID,0))&amp;" - "&amp;INDEX(DEC_CURR,MATCH(AB10,DEC_ID,0)),"CHECK: Decision ID not found")))</f>
        <v>No decision referenced</v>
      </c>
      <c r="AD10" s="54" t="str">
        <f aca="false">IF(A10="","",IF(COUNTIF(TRT_RISK,A10)=0,"No treatment recorded",COUNTIF(TRT_RISK,A10)&amp;" action(s); "&amp;COUNTIFS(TRT_RISK,A10,TRT_OPEN,"Open")&amp;" open; "&amp;COUNTIFS(TRT_RISK,A10,TRT_OVERDUE,"Overdue")&amp;" overdue"))</f>
        <v>1 action(s); 1 open; 1 overdue</v>
      </c>
      <c r="AE10" s="51" t="n">
        <v>46307</v>
      </c>
      <c r="AF10" s="51" t="n">
        <v>46341</v>
      </c>
      <c r="AG10" s="54" t="str">
        <f aca="false">IF(A10="","",IF(AI10="","Complete","Incomplete: "&amp;AI10))</f>
        <v>Complete</v>
      </c>
      <c r="AH10" s="54" t="str">
        <f aca="false">IF(A10="","",IF(COUNTIF(RSK_ID,A10)&gt;1,"CHECK: duplicate ID",IF(B10="","CHECK: Supplier ID missing",IF(COUNTIF(INV_ID,B10)=0,"CHECK: Supplier ID not in inventory",IF(AND(ISNUMBER(R10),ISNUMBER(L10),R10&gt;L10),"CHECK: residual score exceeds inherent - confirm",IF(AND(ISNUMBER(AF10),AF10&lt;AsOf),"Review overdue (administrative)","OK"))))))</f>
        <v>OK</v>
      </c>
      <c r="AI10" s="52" t="str">
        <f aca="false">IF(A10="","",IF(I10="","risk owner; ","")&amp;IF(OR(J10="",K10=""),"inherent rating; ","")&amp;IF(N10="","inherent rationale; ","")&amp;IF(OR(P10="",Q10=""),"residual rating; ","")&amp;IF(AND(OR(P10&lt;&gt;"",Q10&lt;&gt;""),T10=""),"residual rationale; ","")&amp;IF(AND(OR(P10&lt;&gt;"",Q10&lt;&gt;""),U10=""),"assessment confidence; ","")&amp;IF(AE10="","assessment date; ",""))</f>
        <v/>
      </c>
      <c r="AJ10" s="52" t="str">
        <f aca="false">IF(OR(A10="",B10=""),"",IF(B10=RptSup,B10&amp;"|"&amp;COUNTIF($B$7:B10,B10),""))</f>
        <v/>
      </c>
    </row>
    <row r="11" customFormat="false" ht="35.05" hidden="false" customHeight="false" outlineLevel="0" collapsed="false">
      <c r="A11" s="50" t="s">
        <v>670</v>
      </c>
      <c r="B11" s="50" t="s">
        <v>489</v>
      </c>
      <c r="C11" s="59" t="str">
        <f aca="false">IF(B11="","",IFERROR(INDEX(INV_NAME,MATCH(B11,INV_ID,0)),"CHECK: Supplier ID not found"))</f>
        <v>SupportLoop Ltd</v>
      </c>
      <c r="D11" s="34" t="s">
        <v>281</v>
      </c>
      <c r="E11" s="34" t="s">
        <v>671</v>
      </c>
      <c r="F11" s="34" t="s">
        <v>672</v>
      </c>
      <c r="G11" s="34" t="s">
        <v>673</v>
      </c>
      <c r="H11" s="34" t="s">
        <v>674</v>
      </c>
      <c r="I11" s="34" t="s">
        <v>492</v>
      </c>
      <c r="J11" s="50" t="n">
        <v>3</v>
      </c>
      <c r="K11" s="50" t="n">
        <v>4</v>
      </c>
      <c r="L11" s="52" t="n">
        <f aca="false">IF(A11="","",IF(AND(ISNUMBER(J11),ISNUMBER(K11),J11&gt;=1,J11&lt;=5,K11&gt;=1,K11&lt;=5),J11*K11,"Incomplete"))</f>
        <v>12</v>
      </c>
      <c r="M11" s="52" t="str">
        <f aca="false">IF(A11="","",IF(ISNUMBER(L11),LOOKUP(L11,BandMin,BandName),"Incomplete"))</f>
        <v>High</v>
      </c>
      <c r="N11" s="34" t="s">
        <v>675</v>
      </c>
      <c r="O11" s="34" t="s">
        <v>676</v>
      </c>
      <c r="P11" s="50" t="n">
        <v>3</v>
      </c>
      <c r="Q11" s="50" t="n">
        <v>3</v>
      </c>
      <c r="R11" s="61" t="n">
        <f aca="false">IF(A11="","",IF(AND(ISNUMBER(P11),ISNUMBER(Q11),P11&gt;=1,P11&lt;=5,Q11&gt;=1,Q11&lt;=5),P11*Q11,"Incomplete"))</f>
        <v>9</v>
      </c>
      <c r="S11" s="52" t="str">
        <f aca="false">IF(A11="","",IF(ISNUMBER(R11),LOOKUP(R11,BandMin,BandName),"Incomplete"))</f>
        <v>Moderate</v>
      </c>
      <c r="T11" s="34" t="s">
        <v>677</v>
      </c>
      <c r="U11" s="50" t="s">
        <v>157</v>
      </c>
      <c r="V11" s="50" t="n">
        <v>2</v>
      </c>
      <c r="W11" s="50" t="n">
        <v>3</v>
      </c>
      <c r="X11" s="52" t="n">
        <f aca="false">IF(A11="","",IF(AND(V11="",W11=""),"Not set",IF(AND(ISNUMBER(V11),ISNUMBER(W11),V11&gt;=1,V11&lt;=5,W11&gt;=1,W11&lt;=5),V11*W11,"Incomplete")))</f>
        <v>6</v>
      </c>
      <c r="Y11" s="52" t="str">
        <f aca="false">IF(A11="","",IF(X11="Not set","Not set",IF(ISNUMBER(X11),LOOKUP(X11,BandMin,BandName),"Incomplete")))</f>
        <v>Moderate</v>
      </c>
      <c r="Z11" s="34" t="s">
        <v>678</v>
      </c>
      <c r="AA11" s="54" t="str">
        <f aca="false">IF(A11="","",IF(AppetiteThreshold="","Not configured",IF(NOT(ISNUMBER(R11)),"Cannot assess - residual incomplete",IF(MATCH(S11,BandName,0)&gt;=MATCH(AppetiteThreshold,BandName,0),"Above appetite - escalation required","Within appetite"))))</f>
        <v>Within appetite</v>
      </c>
      <c r="AB11" s="50"/>
      <c r="AC11" s="54" t="str">
        <f aca="false">IF(A11="","",IF(AB11="","No decision referenced",IFERROR(INDEX(DEC_FINAL,MATCH(AB11,DEC_ID,0))&amp;" - "&amp;INDEX(DEC_CURR,MATCH(AB11,DEC_ID,0)),"CHECK: Decision ID not found")))</f>
        <v>No decision referenced</v>
      </c>
      <c r="AD11" s="54" t="str">
        <f aca="false">IF(A11="","",IF(COUNTIF(TRT_RISK,A11)=0,"No treatment recorded",COUNTIF(TRT_RISK,A11)&amp;" action(s); "&amp;COUNTIFS(TRT_RISK,A11,TRT_OPEN,"Open")&amp;" open; "&amp;COUNTIFS(TRT_RISK,A11,TRT_OVERDUE,"Overdue")&amp;" overdue"))</f>
        <v>1 action(s); 1 open; 0 overdue</v>
      </c>
      <c r="AE11" s="51" t="n">
        <v>46307</v>
      </c>
      <c r="AF11" s="51" t="n">
        <v>46346</v>
      </c>
      <c r="AG11" s="54" t="str">
        <f aca="false">IF(A11="","",IF(AI11="","Complete","Incomplete: "&amp;AI11))</f>
        <v>Complete</v>
      </c>
      <c r="AH11" s="54" t="str">
        <f aca="false">IF(A11="","",IF(COUNTIF(RSK_ID,A11)&gt;1,"CHECK: duplicate ID",IF(B11="","CHECK: Supplier ID missing",IF(COUNTIF(INV_ID,B11)=0,"CHECK: Supplier ID not in inventory",IF(AND(ISNUMBER(R11),ISNUMBER(L11),R11&gt;L11),"CHECK: residual score exceeds inherent - confirm",IF(AND(ISNUMBER(AF11),AF11&lt;AsOf),"Review overdue (administrative)","OK"))))))</f>
        <v>OK</v>
      </c>
      <c r="AI11" s="52" t="str">
        <f aca="false">IF(A11="","",IF(I11="","risk owner; ","")&amp;IF(OR(J11="",K11=""),"inherent rating; ","")&amp;IF(N11="","inherent rationale; ","")&amp;IF(OR(P11="",Q11=""),"residual rating; ","")&amp;IF(AND(OR(P11&lt;&gt;"",Q11&lt;&gt;""),T11=""),"residual rationale; ","")&amp;IF(AND(OR(P11&lt;&gt;"",Q11&lt;&gt;""),U11=""),"assessment confidence; ","")&amp;IF(AE11="","assessment date; ",""))</f>
        <v/>
      </c>
      <c r="AJ11" s="52" t="str">
        <f aca="false">IF(OR(A11="",B11=""),"",IF(B11=RptSup,B11&amp;"|"&amp;COUNTIF($B$7:B11,B11),""))</f>
        <v/>
      </c>
    </row>
    <row r="12" customFormat="false" ht="23.85" hidden="false" customHeight="false" outlineLevel="0" collapsed="false">
      <c r="A12" s="50" t="s">
        <v>679</v>
      </c>
      <c r="B12" s="50" t="s">
        <v>489</v>
      </c>
      <c r="C12" s="59" t="str">
        <f aca="false">IF(B12="","",IFERROR(INDEX(INV_NAME,MATCH(B12,INV_ID,0)),"CHECK: Supplier ID not found"))</f>
        <v>SupportLoop Ltd</v>
      </c>
      <c r="D12" s="34" t="s">
        <v>320</v>
      </c>
      <c r="E12" s="34" t="s">
        <v>680</v>
      </c>
      <c r="F12" s="34" t="s">
        <v>681</v>
      </c>
      <c r="G12" s="34" t="s">
        <v>682</v>
      </c>
      <c r="H12" s="34" t="s">
        <v>683</v>
      </c>
      <c r="I12" s="34" t="s">
        <v>492</v>
      </c>
      <c r="J12" s="50" t="n">
        <v>3</v>
      </c>
      <c r="K12" s="50" t="n">
        <v>3</v>
      </c>
      <c r="L12" s="52" t="n">
        <f aca="false">IF(A12="","",IF(AND(ISNUMBER(J12),ISNUMBER(K12),J12&gt;=1,J12&lt;=5,K12&gt;=1,K12&lt;=5),J12*K12,"Incomplete"))</f>
        <v>9</v>
      </c>
      <c r="M12" s="52" t="str">
        <f aca="false">IF(A12="","",IF(ISNUMBER(L12),LOOKUP(L12,BandMin,BandName),"Incomplete"))</f>
        <v>Moderate</v>
      </c>
      <c r="N12" s="34" t="s">
        <v>684</v>
      </c>
      <c r="O12" s="34"/>
      <c r="P12" s="50"/>
      <c r="Q12" s="50"/>
      <c r="R12" s="61" t="str">
        <f aca="false">IF(A12="","",IF(AND(ISNUMBER(P12),ISNUMBER(Q12),P12&gt;=1,P12&lt;=5,Q12&gt;=1,Q12&lt;=5),P12*Q12,"Incomplete"))</f>
        <v>Incomplete</v>
      </c>
      <c r="S12" s="52" t="str">
        <f aca="false">IF(A12="","",IF(ISNUMBER(R12),LOOKUP(R12,BandMin,BandName),"Incomplete"))</f>
        <v>Incomplete</v>
      </c>
      <c r="T12" s="34"/>
      <c r="U12" s="50" t="s">
        <v>157</v>
      </c>
      <c r="V12" s="50"/>
      <c r="W12" s="50"/>
      <c r="X12" s="52" t="str">
        <f aca="false">IF(A12="","",IF(AND(V12="",W12=""),"Not set",IF(AND(ISNUMBER(V12),ISNUMBER(W12),V12&gt;=1,V12&lt;=5,W12&gt;=1,W12&lt;=5),V12*W12,"Incomplete")))</f>
        <v>Not set</v>
      </c>
      <c r="Y12" s="52" t="str">
        <f aca="false">IF(A12="","",IF(X12="Not set","Not set",IF(ISNUMBER(X12),LOOKUP(X12,BandMin,BandName),"Incomplete")))</f>
        <v>Not set</v>
      </c>
      <c r="Z12" s="34"/>
      <c r="AA12" s="54" t="str">
        <f aca="false">IF(A12="","",IF(AppetiteThreshold="","Not configured",IF(NOT(ISNUMBER(R12)),"Cannot assess - residual incomplete",IF(MATCH(S12,BandName,0)&gt;=MATCH(AppetiteThreshold,BandName,0),"Above appetite - escalation required","Within appetite"))))</f>
        <v>Cannot assess - residual incomplete</v>
      </c>
      <c r="AB12" s="50"/>
      <c r="AC12" s="54" t="str">
        <f aca="false">IF(A12="","",IF(AB12="","No decision referenced",IFERROR(INDEX(DEC_FINAL,MATCH(AB12,DEC_ID,0))&amp;" - "&amp;INDEX(DEC_CURR,MATCH(AB12,DEC_ID,0)),"CHECK: Decision ID not found")))</f>
        <v>No decision referenced</v>
      </c>
      <c r="AD12" s="54" t="str">
        <f aca="false">IF(A12="","",IF(COUNTIF(TRT_RISK,A12)=0,"No treatment recorded",COUNTIF(TRT_RISK,A12)&amp;" action(s); "&amp;COUNTIFS(TRT_RISK,A12,TRT_OPEN,"Open")&amp;" open; "&amp;COUNTIFS(TRT_RISK,A12,TRT_OVERDUE,"Overdue")&amp;" overdue"))</f>
        <v>No treatment recorded</v>
      </c>
      <c r="AE12" s="51" t="n">
        <v>46307</v>
      </c>
      <c r="AF12" s="51" t="n">
        <v>46341</v>
      </c>
      <c r="AG12" s="54" t="str">
        <f aca="false">IF(A12="","",IF(AI12="","Complete","Incomplete: "&amp;AI12))</f>
        <v>Incomplete: residual rating; </v>
      </c>
      <c r="AH12" s="54" t="str">
        <f aca="false">IF(A12="","",IF(COUNTIF(RSK_ID,A12)&gt;1,"CHECK: duplicate ID",IF(B12="","CHECK: Supplier ID missing",IF(COUNTIF(INV_ID,B12)=0,"CHECK: Supplier ID not in inventory",IF(AND(ISNUMBER(R12),ISNUMBER(L12),R12&gt;L12),"CHECK: residual score exceeds inherent - confirm",IF(AND(ISNUMBER(AF12),AF12&lt;AsOf),"Review overdue (administrative)","OK"))))))</f>
        <v>OK</v>
      </c>
      <c r="AI12" s="52" t="str">
        <f aca="false">IF(A12="","",IF(I12="","risk owner; ","")&amp;IF(OR(J12="",K12=""),"inherent rating; ","")&amp;IF(N12="","inherent rationale; ","")&amp;IF(OR(P12="",Q12=""),"residual rating; ","")&amp;IF(AND(OR(P12&lt;&gt;"",Q12&lt;&gt;""),T12=""),"residual rationale; ","")&amp;IF(AND(OR(P12&lt;&gt;"",Q12&lt;&gt;""),U12=""),"assessment confidence; ","")&amp;IF(AE12="","assessment date; ",""))</f>
        <v>residual rating; </v>
      </c>
      <c r="AJ12" s="52" t="str">
        <f aca="false">IF(OR(A12="",B12=""),"",IF(B12=RptSup,B12&amp;"|"&amp;COUNTIF($B$7:B12,B12),""))</f>
        <v/>
      </c>
    </row>
    <row r="13" customFormat="false" ht="23.85" hidden="false" customHeight="false" outlineLevel="0" collapsed="false">
      <c r="A13" s="50" t="s">
        <v>685</v>
      </c>
      <c r="B13" s="50" t="s">
        <v>499</v>
      </c>
      <c r="C13" s="59" t="str">
        <f aca="false">IF(B13="","",IFERROR(INDEX(INV_NAME,MATCH(B13,INV_ID,0)),"CHECK: Supplier ID not found"))</f>
        <v>BrightDesk Office Supplies</v>
      </c>
      <c r="D13" s="34" t="s">
        <v>320</v>
      </c>
      <c r="E13" s="34" t="s">
        <v>686</v>
      </c>
      <c r="F13" s="34" t="s">
        <v>687</v>
      </c>
      <c r="G13" s="34" t="s">
        <v>688</v>
      </c>
      <c r="H13" s="34" t="s">
        <v>689</v>
      </c>
      <c r="I13" s="34" t="s">
        <v>502</v>
      </c>
      <c r="J13" s="50" t="n">
        <v>2</v>
      </c>
      <c r="K13" s="50" t="n">
        <v>1</v>
      </c>
      <c r="L13" s="52" t="n">
        <f aca="false">IF(A13="","",IF(AND(ISNUMBER(J13),ISNUMBER(K13),J13&gt;=1,J13&lt;=5,K13&gt;=1,K13&lt;=5),J13*K13,"Incomplete"))</f>
        <v>2</v>
      </c>
      <c r="M13" s="52" t="str">
        <f aca="false">IF(A13="","",IF(ISNUMBER(L13),LOOKUP(L13,BandMin,BandName),"Incomplete"))</f>
        <v>Low</v>
      </c>
      <c r="N13" s="34" t="s">
        <v>690</v>
      </c>
      <c r="O13" s="34"/>
      <c r="P13" s="50" t="n">
        <v>2</v>
      </c>
      <c r="Q13" s="50" t="n">
        <v>1</v>
      </c>
      <c r="R13" s="61" t="n">
        <f aca="false">IF(A13="","",IF(AND(ISNUMBER(P13),ISNUMBER(Q13),P13&gt;=1,P13&lt;=5,Q13&gt;=1,Q13&lt;=5),P13*Q13,"Incomplete"))</f>
        <v>2</v>
      </c>
      <c r="S13" s="52" t="str">
        <f aca="false">IF(A13="","",IF(ISNUMBER(R13),LOOKUP(R13,BandMin,BandName),"Incomplete"))</f>
        <v>Low</v>
      </c>
      <c r="T13" s="34" t="s">
        <v>691</v>
      </c>
      <c r="U13" s="50" t="s">
        <v>117</v>
      </c>
      <c r="V13" s="50" t="n">
        <v>2</v>
      </c>
      <c r="W13" s="50" t="n">
        <v>1</v>
      </c>
      <c r="X13" s="52" t="n">
        <f aca="false">IF(A13="","",IF(AND(V13="",W13=""),"Not set",IF(AND(ISNUMBER(V13),ISNUMBER(W13),V13&gt;=1,V13&lt;=5,W13&gt;=1,W13&lt;=5),V13*W13,"Incomplete")))</f>
        <v>2</v>
      </c>
      <c r="Y13" s="52" t="str">
        <f aca="false">IF(A13="","",IF(X13="Not set","Not set",IF(ISNUMBER(X13),LOOKUP(X13,BandMin,BandName),"Incomplete")))</f>
        <v>Low</v>
      </c>
      <c r="Z13" s="34" t="s">
        <v>692</v>
      </c>
      <c r="AA13" s="54" t="str">
        <f aca="false">IF(A13="","",IF(AppetiteThreshold="","Not configured",IF(NOT(ISNUMBER(R13)),"Cannot assess - residual incomplete",IF(MATCH(S13,BandName,0)&gt;=MATCH(AppetiteThreshold,BandName,0),"Above appetite - escalation required","Within appetite"))))</f>
        <v>Within appetite</v>
      </c>
      <c r="AB13" s="50"/>
      <c r="AC13" s="54" t="str">
        <f aca="false">IF(A13="","",IF(AB13="","No decision referenced",IFERROR(INDEX(DEC_FINAL,MATCH(AB13,DEC_ID,0))&amp;" - "&amp;INDEX(DEC_CURR,MATCH(AB13,DEC_ID,0)),"CHECK: Decision ID not found")))</f>
        <v>No decision referenced</v>
      </c>
      <c r="AD13" s="54" t="str">
        <f aca="false">IF(A13="","",IF(COUNTIF(TRT_RISK,A13)=0,"No treatment recorded",COUNTIF(TRT_RISK,A13)&amp;" action(s); "&amp;COUNTIFS(TRT_RISK,A13,TRT_OPEN,"Open")&amp;" open; "&amp;COUNTIFS(TRT_RISK,A13,TRT_OVERDUE,"Overdue")&amp;" overdue"))</f>
        <v>No treatment recorded</v>
      </c>
      <c r="AE13" s="51" t="n">
        <v>46254</v>
      </c>
      <c r="AF13" s="51" t="n">
        <v>46985</v>
      </c>
      <c r="AG13" s="54" t="str">
        <f aca="false">IF(A13="","",IF(AI13="","Complete","Incomplete: "&amp;AI13))</f>
        <v>Complete</v>
      </c>
      <c r="AH13" s="54" t="str">
        <f aca="false">IF(A13="","",IF(COUNTIF(RSK_ID,A13)&gt;1,"CHECK: duplicate ID",IF(B13="","CHECK: Supplier ID missing",IF(COUNTIF(INV_ID,B13)=0,"CHECK: Supplier ID not in inventory",IF(AND(ISNUMBER(R13),ISNUMBER(L13),R13&gt;L13),"CHECK: residual score exceeds inherent - confirm",IF(AND(ISNUMBER(AF13),AF13&lt;AsOf),"Review overdue (administrative)","OK"))))))</f>
        <v>OK</v>
      </c>
      <c r="AI13" s="52" t="str">
        <f aca="false">IF(A13="","",IF(I13="","risk owner; ","")&amp;IF(OR(J13="",K13=""),"inherent rating; ","")&amp;IF(N13="","inherent rationale; ","")&amp;IF(OR(P13="",Q13=""),"residual rating; ","")&amp;IF(AND(OR(P13&lt;&gt;"",Q13&lt;&gt;""),T13=""),"residual rationale; ","")&amp;IF(AND(OR(P13&lt;&gt;"",Q13&lt;&gt;""),U13=""),"assessment confidence; ","")&amp;IF(AE13="","assessment date; ",""))</f>
        <v/>
      </c>
      <c r="AJ13" s="52" t="str">
        <f aca="false">IF(OR(A13="",B13=""),"",IF(B13=RptSup,B13&amp;"|"&amp;COUNTIF($B$7:B13,B13),""))</f>
        <v/>
      </c>
    </row>
    <row r="14" customFormat="false" ht="35.05" hidden="false" customHeight="false" outlineLevel="0" collapsed="false">
      <c r="A14" s="50" t="s">
        <v>693</v>
      </c>
      <c r="B14" s="50" t="s">
        <v>506</v>
      </c>
      <c r="C14" s="59" t="str">
        <f aca="false">IF(B14="","",IFERROR(INDEX(INV_NAME,MATCH(B14,INV_ID,0)),"CHECK: Supplier ID not found"))</f>
        <v>Cleanwell Facilities Ltd</v>
      </c>
      <c r="D14" s="34" t="s">
        <v>414</v>
      </c>
      <c r="E14" s="34" t="s">
        <v>694</v>
      </c>
      <c r="F14" s="34" t="s">
        <v>695</v>
      </c>
      <c r="G14" s="34" t="s">
        <v>696</v>
      </c>
      <c r="H14" s="34" t="s">
        <v>697</v>
      </c>
      <c r="I14" s="34" t="s">
        <v>509</v>
      </c>
      <c r="J14" s="50" t="n">
        <v>3</v>
      </c>
      <c r="K14" s="50" t="n">
        <v>3</v>
      </c>
      <c r="L14" s="52" t="n">
        <f aca="false">IF(A14="","",IF(AND(ISNUMBER(J14),ISNUMBER(K14),J14&gt;=1,J14&lt;=5,K14&gt;=1,K14&lt;=5),J14*K14,"Incomplete"))</f>
        <v>9</v>
      </c>
      <c r="M14" s="52" t="str">
        <f aca="false">IF(A14="","",IF(ISNUMBER(L14),LOOKUP(L14,BandMin,BandName),"Incomplete"))</f>
        <v>Moderate</v>
      </c>
      <c r="N14" s="34" t="s">
        <v>698</v>
      </c>
      <c r="O14" s="34" t="s">
        <v>699</v>
      </c>
      <c r="P14" s="50" t="n">
        <v>2</v>
      </c>
      <c r="Q14" s="50" t="n">
        <v>3</v>
      </c>
      <c r="R14" s="61" t="n">
        <f aca="false">IF(A14="","",IF(AND(ISNUMBER(P14),ISNUMBER(Q14),P14&gt;=1,P14&lt;=5,Q14&gt;=1,Q14&lt;=5),P14*Q14,"Incomplete"))</f>
        <v>6</v>
      </c>
      <c r="S14" s="52" t="str">
        <f aca="false">IF(A14="","",IF(ISNUMBER(R14),LOOKUP(R14,BandMin,BandName),"Incomplete"))</f>
        <v>Moderate</v>
      </c>
      <c r="T14" s="34" t="s">
        <v>700</v>
      </c>
      <c r="U14" s="50" t="s">
        <v>154</v>
      </c>
      <c r="V14" s="50" t="n">
        <v>1</v>
      </c>
      <c r="W14" s="50" t="n">
        <v>3</v>
      </c>
      <c r="X14" s="52" t="n">
        <f aca="false">IF(A14="","",IF(AND(V14="",W14=""),"Not set",IF(AND(ISNUMBER(V14),ISNUMBER(W14),V14&gt;=1,V14&lt;=5,W14&gt;=1,W14&lt;=5),V14*W14,"Incomplete")))</f>
        <v>3</v>
      </c>
      <c r="Y14" s="52" t="str">
        <f aca="false">IF(A14="","",IF(X14="Not set","Not set",IF(ISNUMBER(X14),LOOKUP(X14,BandMin,BandName),"Incomplete")))</f>
        <v>Low</v>
      </c>
      <c r="Z14" s="34" t="s">
        <v>701</v>
      </c>
      <c r="AA14" s="54" t="str">
        <f aca="false">IF(A14="","",IF(AppetiteThreshold="","Not configured",IF(NOT(ISNUMBER(R14)),"Cannot assess - residual incomplete",IF(MATCH(S14,BandName,0)&gt;=MATCH(AppetiteThreshold,BandName,0),"Above appetite - escalation required","Within appetite"))))</f>
        <v>Within appetite</v>
      </c>
      <c r="AB14" s="50"/>
      <c r="AC14" s="54" t="str">
        <f aca="false">IF(A14="","",IF(AB14="","No decision referenced",IFERROR(INDEX(DEC_FINAL,MATCH(AB14,DEC_ID,0))&amp;" - "&amp;INDEX(DEC_CURR,MATCH(AB14,DEC_ID,0)),"CHECK: Decision ID not found")))</f>
        <v>No decision referenced</v>
      </c>
      <c r="AD14" s="54" t="str">
        <f aca="false">IF(A14="","",IF(COUNTIF(TRT_RISK,A14)=0,"No treatment recorded",COUNTIF(TRT_RISK,A14)&amp;" action(s); "&amp;COUNTIFS(TRT_RISK,A14,TRT_OPEN,"Open")&amp;" open; "&amp;COUNTIFS(TRT_RISK,A14,TRT_OVERDUE,"Overdue")&amp;" overdue"))</f>
        <v>1 action(s); 1 open; 0 overdue</v>
      </c>
      <c r="AE14" s="51" t="n">
        <v>46266</v>
      </c>
      <c r="AF14" s="51" t="n">
        <v>46357</v>
      </c>
      <c r="AG14" s="54" t="str">
        <f aca="false">IF(A14="","",IF(AI14="","Complete","Incomplete: "&amp;AI14))</f>
        <v>Complete</v>
      </c>
      <c r="AH14" s="54" t="str">
        <f aca="false">IF(A14="","",IF(COUNTIF(RSK_ID,A14)&gt;1,"CHECK: duplicate ID",IF(B14="","CHECK: Supplier ID missing",IF(COUNTIF(INV_ID,B14)=0,"CHECK: Supplier ID not in inventory",IF(AND(ISNUMBER(R14),ISNUMBER(L14),R14&gt;L14),"CHECK: residual score exceeds inherent - confirm",IF(AND(ISNUMBER(AF14),AF14&lt;AsOf),"Review overdue (administrative)","OK"))))))</f>
        <v>OK</v>
      </c>
      <c r="AI14" s="52" t="str">
        <f aca="false">IF(A14="","",IF(I14="","risk owner; ","")&amp;IF(OR(J14="",K14=""),"inherent rating; ","")&amp;IF(N14="","inherent rationale; ","")&amp;IF(OR(P14="",Q14=""),"residual rating; ","")&amp;IF(AND(OR(P14&lt;&gt;"",Q14&lt;&gt;""),T14=""),"residual rationale; ","")&amp;IF(AND(OR(P14&lt;&gt;"",Q14&lt;&gt;""),U14=""),"assessment confidence; ","")&amp;IF(AE14="","assessment date; ",""))</f>
        <v/>
      </c>
      <c r="AJ14" s="52" t="str">
        <f aca="false">IF(OR(A14="",B14=""),"",IF(B14=RptSup,B14&amp;"|"&amp;COUNTIF($B$7:B14,B14),""))</f>
        <v/>
      </c>
    </row>
    <row r="15" customFormat="false" ht="46.25" hidden="false" customHeight="false" outlineLevel="0" collapsed="false">
      <c r="A15" s="50" t="s">
        <v>702</v>
      </c>
      <c r="B15" s="50" t="s">
        <v>515</v>
      </c>
      <c r="C15" s="59" t="str">
        <f aca="false">IF(B15="","",IFERROR(INDEX(INV_NAME,MATCH(B15,INV_ID,0)),"CHECK: Supplier ID not found"))</f>
        <v>Datavault Backup Services Ltd</v>
      </c>
      <c r="D15" s="34" t="s">
        <v>428</v>
      </c>
      <c r="E15" s="34" t="s">
        <v>703</v>
      </c>
      <c r="F15" s="34" t="s">
        <v>704</v>
      </c>
      <c r="G15" s="34" t="s">
        <v>705</v>
      </c>
      <c r="H15" s="34" t="s">
        <v>706</v>
      </c>
      <c r="I15" s="34" t="s">
        <v>518</v>
      </c>
      <c r="J15" s="50" t="n">
        <v>3</v>
      </c>
      <c r="K15" s="50" t="n">
        <v>4</v>
      </c>
      <c r="L15" s="52" t="n">
        <f aca="false">IF(A15="","",IF(AND(ISNUMBER(J15),ISNUMBER(K15),J15&gt;=1,J15&lt;=5,K15&gt;=1,K15&lt;=5),J15*K15,"Incomplete"))</f>
        <v>12</v>
      </c>
      <c r="M15" s="52" t="str">
        <f aca="false">IF(A15="","",IF(ISNUMBER(L15),LOOKUP(L15,BandMin,BandName),"Incomplete"))</f>
        <v>High</v>
      </c>
      <c r="N15" s="34" t="s">
        <v>707</v>
      </c>
      <c r="O15" s="34" t="s">
        <v>708</v>
      </c>
      <c r="P15" s="50" t="n">
        <v>3</v>
      </c>
      <c r="Q15" s="50" t="n">
        <v>4</v>
      </c>
      <c r="R15" s="61" t="n">
        <f aca="false">IF(A15="","",IF(AND(ISNUMBER(P15),ISNUMBER(Q15),P15&gt;=1,P15&lt;=5,Q15&gt;=1,Q15&lt;=5),P15*Q15,"Incomplete"))</f>
        <v>12</v>
      </c>
      <c r="S15" s="52" t="str">
        <f aca="false">IF(A15="","",IF(ISNUMBER(R15),LOOKUP(R15,BandMin,BandName),"Incomplete"))</f>
        <v>High</v>
      </c>
      <c r="T15" s="34" t="s">
        <v>709</v>
      </c>
      <c r="U15" s="50" t="s">
        <v>154</v>
      </c>
      <c r="V15" s="50" t="n">
        <v>1</v>
      </c>
      <c r="W15" s="50" t="n">
        <v>4</v>
      </c>
      <c r="X15" s="52" t="n">
        <f aca="false">IF(A15="","",IF(AND(V15="",W15=""),"Not set",IF(AND(ISNUMBER(V15),ISNUMBER(W15),V15&gt;=1,V15&lt;=5,W15&gt;=1,W15&lt;=5),V15*W15,"Incomplete")))</f>
        <v>4</v>
      </c>
      <c r="Y15" s="52" t="str">
        <f aca="false">IF(A15="","",IF(X15="Not set","Not set",IF(ISNUMBER(X15),LOOKUP(X15,BandMin,BandName),"Incomplete")))</f>
        <v>Low</v>
      </c>
      <c r="Z15" s="34" t="s">
        <v>710</v>
      </c>
      <c r="AA15" s="54" t="str">
        <f aca="false">IF(A15="","",IF(AppetiteThreshold="","Not configured",IF(NOT(ISNUMBER(R15)),"Cannot assess - residual incomplete",IF(MATCH(S15,BandName,0)&gt;=MATCH(AppetiteThreshold,BandName,0),"Above appetite - escalation required","Within appetite"))))</f>
        <v>Above appetite - escalation required</v>
      </c>
      <c r="AB15" s="50"/>
      <c r="AC15" s="54" t="str">
        <f aca="false">IF(A15="","",IF(AB15="","No decision referenced",IFERROR(INDEX(DEC_FINAL,MATCH(AB15,DEC_ID,0))&amp;" - "&amp;INDEX(DEC_CURR,MATCH(AB15,DEC_ID,0)),"CHECK: Decision ID not found")))</f>
        <v>No decision referenced</v>
      </c>
      <c r="AD15" s="54" t="str">
        <f aca="false">IF(A15="","",IF(COUNTIF(TRT_RISK,A15)=0,"No treatment recorded",COUNTIF(TRT_RISK,A15)&amp;" action(s); "&amp;COUNTIFS(TRT_RISK,A15,TRT_OPEN,"Open")&amp;" open; "&amp;COUNTIFS(TRT_RISK,A15,TRT_OVERDUE,"Overdue")&amp;" overdue"))</f>
        <v>1 action(s); 1 open; 0 overdue</v>
      </c>
      <c r="AE15" s="51" t="n">
        <v>46300</v>
      </c>
      <c r="AF15" s="51" t="n">
        <v>46387</v>
      </c>
      <c r="AG15" s="54" t="str">
        <f aca="false">IF(A15="","",IF(AI15="","Complete","Incomplete: "&amp;AI15))</f>
        <v>Complete</v>
      </c>
      <c r="AH15" s="54" t="str">
        <f aca="false">IF(A15="","",IF(COUNTIF(RSK_ID,A15)&gt;1,"CHECK: duplicate ID",IF(B15="","CHECK: Supplier ID missing",IF(COUNTIF(INV_ID,B15)=0,"CHECK: Supplier ID not in inventory",IF(AND(ISNUMBER(R15),ISNUMBER(L15),R15&gt;L15),"CHECK: residual score exceeds inherent - confirm",IF(AND(ISNUMBER(AF15),AF15&lt;AsOf),"Review overdue (administrative)","OK"))))))</f>
        <v>OK</v>
      </c>
      <c r="AI15" s="52" t="str">
        <f aca="false">IF(A15="","",IF(I15="","risk owner; ","")&amp;IF(OR(J15="",K15=""),"inherent rating; ","")&amp;IF(N15="","inherent rationale; ","")&amp;IF(OR(P15="",Q15=""),"residual rating; ","")&amp;IF(AND(OR(P15&lt;&gt;"",Q15&lt;&gt;""),T15=""),"residual rationale; ","")&amp;IF(AND(OR(P15&lt;&gt;"",Q15&lt;&gt;""),U15=""),"assessment confidence; ","")&amp;IF(AE15="","assessment date; ",""))</f>
        <v/>
      </c>
      <c r="AJ15" s="52" t="str">
        <f aca="false">IF(OR(A15="",B15=""),"",IF(B15=RptSup,B15&amp;"|"&amp;COUNTIF($B$7:B15,B15),""))</f>
        <v/>
      </c>
    </row>
    <row r="16" customFormat="false" ht="15" hidden="false" customHeight="false" outlineLevel="0" collapsed="false">
      <c r="A16" s="50"/>
      <c r="B16" s="50"/>
      <c r="C16" s="59" t="str">
        <f aca="false">IF(B16="","",IFERROR(INDEX(INV_NAME,MATCH(B16,INV_ID,0)),"CHECK: Supplier ID not found"))</f>
        <v/>
      </c>
      <c r="D16" s="34"/>
      <c r="E16" s="34"/>
      <c r="F16" s="34"/>
      <c r="G16" s="34"/>
      <c r="H16" s="34"/>
      <c r="I16" s="34"/>
      <c r="J16" s="50"/>
      <c r="K16" s="50"/>
      <c r="L16" s="52" t="str">
        <f aca="false">IF(A16="","",IF(AND(ISNUMBER(J16),ISNUMBER(K16),J16&gt;=1,J16&lt;=5,K16&gt;=1,K16&lt;=5),J16*K16,"Incomplete"))</f>
        <v/>
      </c>
      <c r="M16" s="52" t="str">
        <f aca="false">IF(A16="","",IF(ISNUMBER(L16),LOOKUP(L16,BandMin,BandName),"Incomplete"))</f>
        <v/>
      </c>
      <c r="N16" s="34"/>
      <c r="O16" s="34"/>
      <c r="P16" s="50"/>
      <c r="Q16" s="50"/>
      <c r="R16" s="61" t="str">
        <f aca="false">IF(A16="","",IF(AND(ISNUMBER(P16),ISNUMBER(Q16),P16&gt;=1,P16&lt;=5,Q16&gt;=1,Q16&lt;=5),P16*Q16,"Incomplete"))</f>
        <v/>
      </c>
      <c r="S16" s="52" t="str">
        <f aca="false">IF(A16="","",IF(ISNUMBER(R16),LOOKUP(R16,BandMin,BandName),"Incomplete"))</f>
        <v/>
      </c>
      <c r="T16" s="34"/>
      <c r="U16" s="50"/>
      <c r="V16" s="50"/>
      <c r="W16" s="50"/>
      <c r="X16" s="52" t="str">
        <f aca="false">IF(A16="","",IF(AND(V16="",W16=""),"Not set",IF(AND(ISNUMBER(V16),ISNUMBER(W16),V16&gt;=1,V16&lt;=5,W16&gt;=1,W16&lt;=5),V16*W16,"Incomplete")))</f>
        <v/>
      </c>
      <c r="Y16" s="52" t="str">
        <f aca="false">IF(A16="","",IF(X16="Not set","Not set",IF(ISNUMBER(X16),LOOKUP(X16,BandMin,BandName),"Incomplete")))</f>
        <v/>
      </c>
      <c r="Z16" s="34"/>
      <c r="AA16" s="54" t="str">
        <f aca="false">IF(A16="","",IF(AppetiteThreshold="","Not configured",IF(NOT(ISNUMBER(R16)),"Cannot assess - residual incomplete",IF(MATCH(S16,BandName,0)&gt;=MATCH(AppetiteThreshold,BandName,0),"Above appetite - escalation required","Within appetite"))))</f>
        <v/>
      </c>
      <c r="AB16" s="50"/>
      <c r="AC16" s="54" t="str">
        <f aca="false">IF(A16="","",IF(AB16="","No decision referenced",IFERROR(INDEX(DEC_FINAL,MATCH(AB16,DEC_ID,0))&amp;" - "&amp;INDEX(DEC_CURR,MATCH(AB16,DEC_ID,0)),"CHECK: Decision ID not found")))</f>
        <v/>
      </c>
      <c r="AD16" s="54" t="str">
        <f aca="false">IF(A16="","",IF(COUNTIF(TRT_RISK,A16)=0,"No treatment recorded",COUNTIF(TRT_RISK,A16)&amp;" action(s); "&amp;COUNTIFS(TRT_RISK,A16,TRT_OPEN,"Open")&amp;" open; "&amp;COUNTIFS(TRT_RISK,A16,TRT_OVERDUE,"Overdue")&amp;" overdue"))</f>
        <v/>
      </c>
      <c r="AE16" s="51"/>
      <c r="AF16" s="51"/>
      <c r="AG16" s="54" t="str">
        <f aca="false">IF(A16="","",IF(AI16="","Complete","Incomplete: "&amp;AI16))</f>
        <v/>
      </c>
      <c r="AH16" s="54" t="str">
        <f aca="false">IF(A16="","",IF(COUNTIF(RSK_ID,A16)&gt;1,"CHECK: duplicate ID",IF(B16="","CHECK: Supplier ID missing",IF(COUNTIF(INV_ID,B16)=0,"CHECK: Supplier ID not in inventory",IF(AND(ISNUMBER(R16),ISNUMBER(L16),R16&gt;L16),"CHECK: residual score exceeds inherent - confirm",IF(AND(ISNUMBER(AF16),AF16&lt;AsOf),"Review overdue (administrative)","OK"))))))</f>
        <v/>
      </c>
      <c r="AI16" s="52" t="str">
        <f aca="false">IF(A16="","",IF(I16="","risk owner; ","")&amp;IF(OR(J16="",K16=""),"inherent rating; ","")&amp;IF(N16="","inherent rationale; ","")&amp;IF(OR(P16="",Q16=""),"residual rating; ","")&amp;IF(AND(OR(P16&lt;&gt;"",Q16&lt;&gt;""),T16=""),"residual rationale; ","")&amp;IF(AND(OR(P16&lt;&gt;"",Q16&lt;&gt;""),U16=""),"assessment confidence; ","")&amp;IF(AE16="","assessment date; ",""))</f>
        <v/>
      </c>
      <c r="AJ16" s="52" t="str">
        <f aca="false">IF(OR(A16="",B16=""),"",IF(B16=RptSup,B16&amp;"|"&amp;COUNTIF($B$7:B16,B16),""))</f>
        <v/>
      </c>
    </row>
    <row r="17" customFormat="false" ht="15" hidden="false" customHeight="false" outlineLevel="0" collapsed="false">
      <c r="A17" s="50"/>
      <c r="B17" s="50"/>
      <c r="C17" s="59" t="str">
        <f aca="false">IF(B17="","",IFERROR(INDEX(INV_NAME,MATCH(B17,INV_ID,0)),"CHECK: Supplier ID not found"))</f>
        <v/>
      </c>
      <c r="D17" s="34"/>
      <c r="E17" s="34"/>
      <c r="F17" s="34"/>
      <c r="G17" s="34"/>
      <c r="H17" s="34"/>
      <c r="I17" s="34"/>
      <c r="J17" s="50"/>
      <c r="K17" s="50"/>
      <c r="L17" s="52" t="str">
        <f aca="false">IF(A17="","",IF(AND(ISNUMBER(J17),ISNUMBER(K17),J17&gt;=1,J17&lt;=5,K17&gt;=1,K17&lt;=5),J17*K17,"Incomplete"))</f>
        <v/>
      </c>
      <c r="M17" s="52" t="str">
        <f aca="false">IF(A17="","",IF(ISNUMBER(L17),LOOKUP(L17,BandMin,BandName),"Incomplete"))</f>
        <v/>
      </c>
      <c r="N17" s="34"/>
      <c r="O17" s="34"/>
      <c r="P17" s="50"/>
      <c r="Q17" s="50"/>
      <c r="R17" s="61" t="str">
        <f aca="false">IF(A17="","",IF(AND(ISNUMBER(P17),ISNUMBER(Q17),P17&gt;=1,P17&lt;=5,Q17&gt;=1,Q17&lt;=5),P17*Q17,"Incomplete"))</f>
        <v/>
      </c>
      <c r="S17" s="52" t="str">
        <f aca="false">IF(A17="","",IF(ISNUMBER(R17),LOOKUP(R17,BandMin,BandName),"Incomplete"))</f>
        <v/>
      </c>
      <c r="T17" s="34"/>
      <c r="U17" s="50"/>
      <c r="V17" s="50"/>
      <c r="W17" s="50"/>
      <c r="X17" s="52" t="str">
        <f aca="false">IF(A17="","",IF(AND(V17="",W17=""),"Not set",IF(AND(ISNUMBER(V17),ISNUMBER(W17),V17&gt;=1,V17&lt;=5,W17&gt;=1,W17&lt;=5),V17*W17,"Incomplete")))</f>
        <v/>
      </c>
      <c r="Y17" s="52" t="str">
        <f aca="false">IF(A17="","",IF(X17="Not set","Not set",IF(ISNUMBER(X17),LOOKUP(X17,BandMin,BandName),"Incomplete")))</f>
        <v/>
      </c>
      <c r="Z17" s="34"/>
      <c r="AA17" s="54" t="str">
        <f aca="false">IF(A17="","",IF(AppetiteThreshold="","Not configured",IF(NOT(ISNUMBER(R17)),"Cannot assess - residual incomplete",IF(MATCH(S17,BandName,0)&gt;=MATCH(AppetiteThreshold,BandName,0),"Above appetite - escalation required","Within appetite"))))</f>
        <v/>
      </c>
      <c r="AB17" s="50"/>
      <c r="AC17" s="54" t="str">
        <f aca="false">IF(A17="","",IF(AB17="","No decision referenced",IFERROR(INDEX(DEC_FINAL,MATCH(AB17,DEC_ID,0))&amp;" - "&amp;INDEX(DEC_CURR,MATCH(AB17,DEC_ID,0)),"CHECK: Decision ID not found")))</f>
        <v/>
      </c>
      <c r="AD17" s="54" t="str">
        <f aca="false">IF(A17="","",IF(COUNTIF(TRT_RISK,A17)=0,"No treatment recorded",COUNTIF(TRT_RISK,A17)&amp;" action(s); "&amp;COUNTIFS(TRT_RISK,A17,TRT_OPEN,"Open")&amp;" open; "&amp;COUNTIFS(TRT_RISK,A17,TRT_OVERDUE,"Overdue")&amp;" overdue"))</f>
        <v/>
      </c>
      <c r="AE17" s="51"/>
      <c r="AF17" s="51"/>
      <c r="AG17" s="54" t="str">
        <f aca="false">IF(A17="","",IF(AI17="","Complete","Incomplete: "&amp;AI17))</f>
        <v/>
      </c>
      <c r="AH17" s="54" t="str">
        <f aca="false">IF(A17="","",IF(COUNTIF(RSK_ID,A17)&gt;1,"CHECK: duplicate ID",IF(B17="","CHECK: Supplier ID missing",IF(COUNTIF(INV_ID,B17)=0,"CHECK: Supplier ID not in inventory",IF(AND(ISNUMBER(R17),ISNUMBER(L17),R17&gt;L17),"CHECK: residual score exceeds inherent - confirm",IF(AND(ISNUMBER(AF17),AF17&lt;AsOf),"Review overdue (administrative)","OK"))))))</f>
        <v/>
      </c>
      <c r="AI17" s="52" t="str">
        <f aca="false">IF(A17="","",IF(I17="","risk owner; ","")&amp;IF(OR(J17="",K17=""),"inherent rating; ","")&amp;IF(N17="","inherent rationale; ","")&amp;IF(OR(P17="",Q17=""),"residual rating; ","")&amp;IF(AND(OR(P17&lt;&gt;"",Q17&lt;&gt;""),T17=""),"residual rationale; ","")&amp;IF(AND(OR(P17&lt;&gt;"",Q17&lt;&gt;""),U17=""),"assessment confidence; ","")&amp;IF(AE17="","assessment date; ",""))</f>
        <v/>
      </c>
      <c r="AJ17" s="52" t="str">
        <f aca="false">IF(OR(A17="",B17=""),"",IF(B17=RptSup,B17&amp;"|"&amp;COUNTIF($B$7:B17,B17),""))</f>
        <v/>
      </c>
    </row>
    <row r="18" customFormat="false" ht="15" hidden="false" customHeight="false" outlineLevel="0" collapsed="false">
      <c r="A18" s="50"/>
      <c r="B18" s="50"/>
      <c r="C18" s="59" t="str">
        <f aca="false">IF(B18="","",IFERROR(INDEX(INV_NAME,MATCH(B18,INV_ID,0)),"CHECK: Supplier ID not found"))</f>
        <v/>
      </c>
      <c r="D18" s="34"/>
      <c r="E18" s="34"/>
      <c r="F18" s="34"/>
      <c r="G18" s="34"/>
      <c r="H18" s="34"/>
      <c r="I18" s="34"/>
      <c r="J18" s="50"/>
      <c r="K18" s="50"/>
      <c r="L18" s="52" t="str">
        <f aca="false">IF(A18="","",IF(AND(ISNUMBER(J18),ISNUMBER(K18),J18&gt;=1,J18&lt;=5,K18&gt;=1,K18&lt;=5),J18*K18,"Incomplete"))</f>
        <v/>
      </c>
      <c r="M18" s="52" t="str">
        <f aca="false">IF(A18="","",IF(ISNUMBER(L18),LOOKUP(L18,BandMin,BandName),"Incomplete"))</f>
        <v/>
      </c>
      <c r="N18" s="34"/>
      <c r="O18" s="34"/>
      <c r="P18" s="50"/>
      <c r="Q18" s="50"/>
      <c r="R18" s="61" t="str">
        <f aca="false">IF(A18="","",IF(AND(ISNUMBER(P18),ISNUMBER(Q18),P18&gt;=1,P18&lt;=5,Q18&gt;=1,Q18&lt;=5),P18*Q18,"Incomplete"))</f>
        <v/>
      </c>
      <c r="S18" s="52" t="str">
        <f aca="false">IF(A18="","",IF(ISNUMBER(R18),LOOKUP(R18,BandMin,BandName),"Incomplete"))</f>
        <v/>
      </c>
      <c r="T18" s="34"/>
      <c r="U18" s="50"/>
      <c r="V18" s="50"/>
      <c r="W18" s="50"/>
      <c r="X18" s="52" t="str">
        <f aca="false">IF(A18="","",IF(AND(V18="",W18=""),"Not set",IF(AND(ISNUMBER(V18),ISNUMBER(W18),V18&gt;=1,V18&lt;=5,W18&gt;=1,W18&lt;=5),V18*W18,"Incomplete")))</f>
        <v/>
      </c>
      <c r="Y18" s="52" t="str">
        <f aca="false">IF(A18="","",IF(X18="Not set","Not set",IF(ISNUMBER(X18),LOOKUP(X18,BandMin,BandName),"Incomplete")))</f>
        <v/>
      </c>
      <c r="Z18" s="34"/>
      <c r="AA18" s="54" t="str">
        <f aca="false">IF(A18="","",IF(AppetiteThreshold="","Not configured",IF(NOT(ISNUMBER(R18)),"Cannot assess - residual incomplete",IF(MATCH(S18,BandName,0)&gt;=MATCH(AppetiteThreshold,BandName,0),"Above appetite - escalation required","Within appetite"))))</f>
        <v/>
      </c>
      <c r="AB18" s="50"/>
      <c r="AC18" s="54" t="str">
        <f aca="false">IF(A18="","",IF(AB18="","No decision referenced",IFERROR(INDEX(DEC_FINAL,MATCH(AB18,DEC_ID,0))&amp;" - "&amp;INDEX(DEC_CURR,MATCH(AB18,DEC_ID,0)),"CHECK: Decision ID not found")))</f>
        <v/>
      </c>
      <c r="AD18" s="54" t="str">
        <f aca="false">IF(A18="","",IF(COUNTIF(TRT_RISK,A18)=0,"No treatment recorded",COUNTIF(TRT_RISK,A18)&amp;" action(s); "&amp;COUNTIFS(TRT_RISK,A18,TRT_OPEN,"Open")&amp;" open; "&amp;COUNTIFS(TRT_RISK,A18,TRT_OVERDUE,"Overdue")&amp;" overdue"))</f>
        <v/>
      </c>
      <c r="AE18" s="51"/>
      <c r="AF18" s="51"/>
      <c r="AG18" s="54" t="str">
        <f aca="false">IF(A18="","",IF(AI18="","Complete","Incomplete: "&amp;AI18))</f>
        <v/>
      </c>
      <c r="AH18" s="54" t="str">
        <f aca="false">IF(A18="","",IF(COUNTIF(RSK_ID,A18)&gt;1,"CHECK: duplicate ID",IF(B18="","CHECK: Supplier ID missing",IF(COUNTIF(INV_ID,B18)=0,"CHECK: Supplier ID not in inventory",IF(AND(ISNUMBER(R18),ISNUMBER(L18),R18&gt;L18),"CHECK: residual score exceeds inherent - confirm",IF(AND(ISNUMBER(AF18),AF18&lt;AsOf),"Review overdue (administrative)","OK"))))))</f>
        <v/>
      </c>
      <c r="AI18" s="52" t="str">
        <f aca="false">IF(A18="","",IF(I18="","risk owner; ","")&amp;IF(OR(J18="",K18=""),"inherent rating; ","")&amp;IF(N18="","inherent rationale; ","")&amp;IF(OR(P18="",Q18=""),"residual rating; ","")&amp;IF(AND(OR(P18&lt;&gt;"",Q18&lt;&gt;""),T18=""),"residual rationale; ","")&amp;IF(AND(OR(P18&lt;&gt;"",Q18&lt;&gt;""),U18=""),"assessment confidence; ","")&amp;IF(AE18="","assessment date; ",""))</f>
        <v/>
      </c>
      <c r="AJ18" s="52" t="str">
        <f aca="false">IF(OR(A18="",B18=""),"",IF(B18=RptSup,B18&amp;"|"&amp;COUNTIF($B$7:B18,B18),""))</f>
        <v/>
      </c>
    </row>
    <row r="19" customFormat="false" ht="15" hidden="false" customHeight="false" outlineLevel="0" collapsed="false">
      <c r="A19" s="50"/>
      <c r="B19" s="50"/>
      <c r="C19" s="59" t="str">
        <f aca="false">IF(B19="","",IFERROR(INDEX(INV_NAME,MATCH(B19,INV_ID,0)),"CHECK: Supplier ID not found"))</f>
        <v/>
      </c>
      <c r="D19" s="34"/>
      <c r="E19" s="34"/>
      <c r="F19" s="34"/>
      <c r="G19" s="34"/>
      <c r="H19" s="34"/>
      <c r="I19" s="34"/>
      <c r="J19" s="50"/>
      <c r="K19" s="50"/>
      <c r="L19" s="52" t="str">
        <f aca="false">IF(A19="","",IF(AND(ISNUMBER(J19),ISNUMBER(K19),J19&gt;=1,J19&lt;=5,K19&gt;=1,K19&lt;=5),J19*K19,"Incomplete"))</f>
        <v/>
      </c>
      <c r="M19" s="52" t="str">
        <f aca="false">IF(A19="","",IF(ISNUMBER(L19),LOOKUP(L19,BandMin,BandName),"Incomplete"))</f>
        <v/>
      </c>
      <c r="N19" s="34"/>
      <c r="O19" s="34"/>
      <c r="P19" s="50"/>
      <c r="Q19" s="50"/>
      <c r="R19" s="61" t="str">
        <f aca="false">IF(A19="","",IF(AND(ISNUMBER(P19),ISNUMBER(Q19),P19&gt;=1,P19&lt;=5,Q19&gt;=1,Q19&lt;=5),P19*Q19,"Incomplete"))</f>
        <v/>
      </c>
      <c r="S19" s="52" t="str">
        <f aca="false">IF(A19="","",IF(ISNUMBER(R19),LOOKUP(R19,BandMin,BandName),"Incomplete"))</f>
        <v/>
      </c>
      <c r="T19" s="34"/>
      <c r="U19" s="50"/>
      <c r="V19" s="50"/>
      <c r="W19" s="50"/>
      <c r="X19" s="52" t="str">
        <f aca="false">IF(A19="","",IF(AND(V19="",W19=""),"Not set",IF(AND(ISNUMBER(V19),ISNUMBER(W19),V19&gt;=1,V19&lt;=5,W19&gt;=1,W19&lt;=5),V19*W19,"Incomplete")))</f>
        <v/>
      </c>
      <c r="Y19" s="52" t="str">
        <f aca="false">IF(A19="","",IF(X19="Not set","Not set",IF(ISNUMBER(X19),LOOKUP(X19,BandMin,BandName),"Incomplete")))</f>
        <v/>
      </c>
      <c r="Z19" s="34"/>
      <c r="AA19" s="54" t="str">
        <f aca="false">IF(A19="","",IF(AppetiteThreshold="","Not configured",IF(NOT(ISNUMBER(R19)),"Cannot assess - residual incomplete",IF(MATCH(S19,BandName,0)&gt;=MATCH(AppetiteThreshold,BandName,0),"Above appetite - escalation required","Within appetite"))))</f>
        <v/>
      </c>
      <c r="AB19" s="50"/>
      <c r="AC19" s="54" t="str">
        <f aca="false">IF(A19="","",IF(AB19="","No decision referenced",IFERROR(INDEX(DEC_FINAL,MATCH(AB19,DEC_ID,0))&amp;" - "&amp;INDEX(DEC_CURR,MATCH(AB19,DEC_ID,0)),"CHECK: Decision ID not found")))</f>
        <v/>
      </c>
      <c r="AD19" s="54" t="str">
        <f aca="false">IF(A19="","",IF(COUNTIF(TRT_RISK,A19)=0,"No treatment recorded",COUNTIF(TRT_RISK,A19)&amp;" action(s); "&amp;COUNTIFS(TRT_RISK,A19,TRT_OPEN,"Open")&amp;" open; "&amp;COUNTIFS(TRT_RISK,A19,TRT_OVERDUE,"Overdue")&amp;" overdue"))</f>
        <v/>
      </c>
      <c r="AE19" s="51"/>
      <c r="AF19" s="51"/>
      <c r="AG19" s="54" t="str">
        <f aca="false">IF(A19="","",IF(AI19="","Complete","Incomplete: "&amp;AI19))</f>
        <v/>
      </c>
      <c r="AH19" s="54" t="str">
        <f aca="false">IF(A19="","",IF(COUNTIF(RSK_ID,A19)&gt;1,"CHECK: duplicate ID",IF(B19="","CHECK: Supplier ID missing",IF(COUNTIF(INV_ID,B19)=0,"CHECK: Supplier ID not in inventory",IF(AND(ISNUMBER(R19),ISNUMBER(L19),R19&gt;L19),"CHECK: residual score exceeds inherent - confirm",IF(AND(ISNUMBER(AF19),AF19&lt;AsOf),"Review overdue (administrative)","OK"))))))</f>
        <v/>
      </c>
      <c r="AI19" s="52" t="str">
        <f aca="false">IF(A19="","",IF(I19="","risk owner; ","")&amp;IF(OR(J19="",K19=""),"inherent rating; ","")&amp;IF(N19="","inherent rationale; ","")&amp;IF(OR(P19="",Q19=""),"residual rating; ","")&amp;IF(AND(OR(P19&lt;&gt;"",Q19&lt;&gt;""),T19=""),"residual rationale; ","")&amp;IF(AND(OR(P19&lt;&gt;"",Q19&lt;&gt;""),U19=""),"assessment confidence; ","")&amp;IF(AE19="","assessment date; ",""))</f>
        <v/>
      </c>
      <c r="AJ19" s="52" t="str">
        <f aca="false">IF(OR(A19="",B19=""),"",IF(B19=RptSup,B19&amp;"|"&amp;COUNTIF($B$7:B19,B19),""))</f>
        <v/>
      </c>
    </row>
    <row r="20" customFormat="false" ht="15" hidden="false" customHeight="false" outlineLevel="0" collapsed="false">
      <c r="A20" s="50"/>
      <c r="B20" s="50"/>
      <c r="C20" s="59" t="str">
        <f aca="false">IF(B20="","",IFERROR(INDEX(INV_NAME,MATCH(B20,INV_ID,0)),"CHECK: Supplier ID not found"))</f>
        <v/>
      </c>
      <c r="D20" s="34"/>
      <c r="E20" s="34"/>
      <c r="F20" s="34"/>
      <c r="G20" s="34"/>
      <c r="H20" s="34"/>
      <c r="I20" s="34"/>
      <c r="J20" s="50"/>
      <c r="K20" s="50"/>
      <c r="L20" s="52" t="str">
        <f aca="false">IF(A20="","",IF(AND(ISNUMBER(J20),ISNUMBER(K20),J20&gt;=1,J20&lt;=5,K20&gt;=1,K20&lt;=5),J20*K20,"Incomplete"))</f>
        <v/>
      </c>
      <c r="M20" s="52" t="str">
        <f aca="false">IF(A20="","",IF(ISNUMBER(L20),LOOKUP(L20,BandMin,BandName),"Incomplete"))</f>
        <v/>
      </c>
      <c r="N20" s="34"/>
      <c r="O20" s="34"/>
      <c r="P20" s="50"/>
      <c r="Q20" s="50"/>
      <c r="R20" s="61" t="str">
        <f aca="false">IF(A20="","",IF(AND(ISNUMBER(P20),ISNUMBER(Q20),P20&gt;=1,P20&lt;=5,Q20&gt;=1,Q20&lt;=5),P20*Q20,"Incomplete"))</f>
        <v/>
      </c>
      <c r="S20" s="52" t="str">
        <f aca="false">IF(A20="","",IF(ISNUMBER(R20),LOOKUP(R20,BandMin,BandName),"Incomplete"))</f>
        <v/>
      </c>
      <c r="T20" s="34"/>
      <c r="U20" s="50"/>
      <c r="V20" s="50"/>
      <c r="W20" s="50"/>
      <c r="X20" s="52" t="str">
        <f aca="false">IF(A20="","",IF(AND(V20="",W20=""),"Not set",IF(AND(ISNUMBER(V20),ISNUMBER(W20),V20&gt;=1,V20&lt;=5,W20&gt;=1,W20&lt;=5),V20*W20,"Incomplete")))</f>
        <v/>
      </c>
      <c r="Y20" s="52" t="str">
        <f aca="false">IF(A20="","",IF(X20="Not set","Not set",IF(ISNUMBER(X20),LOOKUP(X20,BandMin,BandName),"Incomplete")))</f>
        <v/>
      </c>
      <c r="Z20" s="34"/>
      <c r="AA20" s="54" t="str">
        <f aca="false">IF(A20="","",IF(AppetiteThreshold="","Not configured",IF(NOT(ISNUMBER(R20)),"Cannot assess - residual incomplete",IF(MATCH(S20,BandName,0)&gt;=MATCH(AppetiteThreshold,BandName,0),"Above appetite - escalation required","Within appetite"))))</f>
        <v/>
      </c>
      <c r="AB20" s="50"/>
      <c r="AC20" s="54" t="str">
        <f aca="false">IF(A20="","",IF(AB20="","No decision referenced",IFERROR(INDEX(DEC_FINAL,MATCH(AB20,DEC_ID,0))&amp;" - "&amp;INDEX(DEC_CURR,MATCH(AB20,DEC_ID,0)),"CHECK: Decision ID not found")))</f>
        <v/>
      </c>
      <c r="AD20" s="54" t="str">
        <f aca="false">IF(A20="","",IF(COUNTIF(TRT_RISK,A20)=0,"No treatment recorded",COUNTIF(TRT_RISK,A20)&amp;" action(s); "&amp;COUNTIFS(TRT_RISK,A20,TRT_OPEN,"Open")&amp;" open; "&amp;COUNTIFS(TRT_RISK,A20,TRT_OVERDUE,"Overdue")&amp;" overdue"))</f>
        <v/>
      </c>
      <c r="AE20" s="51"/>
      <c r="AF20" s="51"/>
      <c r="AG20" s="54" t="str">
        <f aca="false">IF(A20="","",IF(AI20="","Complete","Incomplete: "&amp;AI20))</f>
        <v/>
      </c>
      <c r="AH20" s="54" t="str">
        <f aca="false">IF(A20="","",IF(COUNTIF(RSK_ID,A20)&gt;1,"CHECK: duplicate ID",IF(B20="","CHECK: Supplier ID missing",IF(COUNTIF(INV_ID,B20)=0,"CHECK: Supplier ID not in inventory",IF(AND(ISNUMBER(R20),ISNUMBER(L20),R20&gt;L20),"CHECK: residual score exceeds inherent - confirm",IF(AND(ISNUMBER(AF20),AF20&lt;AsOf),"Review overdue (administrative)","OK"))))))</f>
        <v/>
      </c>
      <c r="AI20" s="52" t="str">
        <f aca="false">IF(A20="","",IF(I20="","risk owner; ","")&amp;IF(OR(J20="",K20=""),"inherent rating; ","")&amp;IF(N20="","inherent rationale; ","")&amp;IF(OR(P20="",Q20=""),"residual rating; ","")&amp;IF(AND(OR(P20&lt;&gt;"",Q20&lt;&gt;""),T20=""),"residual rationale; ","")&amp;IF(AND(OR(P20&lt;&gt;"",Q20&lt;&gt;""),U20=""),"assessment confidence; ","")&amp;IF(AE20="","assessment date; ",""))</f>
        <v/>
      </c>
      <c r="AJ20" s="52" t="str">
        <f aca="false">IF(OR(A20="",B20=""),"",IF(B20=RptSup,B20&amp;"|"&amp;COUNTIF($B$7:B20,B20),""))</f>
        <v/>
      </c>
    </row>
    <row r="21" customFormat="false" ht="15" hidden="false" customHeight="false" outlineLevel="0" collapsed="false">
      <c r="A21" s="50"/>
      <c r="B21" s="50"/>
      <c r="C21" s="59" t="str">
        <f aca="false">IF(B21="","",IFERROR(INDEX(INV_NAME,MATCH(B21,INV_ID,0)),"CHECK: Supplier ID not found"))</f>
        <v/>
      </c>
      <c r="D21" s="34"/>
      <c r="E21" s="34"/>
      <c r="F21" s="34"/>
      <c r="G21" s="34"/>
      <c r="H21" s="34"/>
      <c r="I21" s="34"/>
      <c r="J21" s="50"/>
      <c r="K21" s="50"/>
      <c r="L21" s="52" t="str">
        <f aca="false">IF(A21="","",IF(AND(ISNUMBER(J21),ISNUMBER(K21),J21&gt;=1,J21&lt;=5,K21&gt;=1,K21&lt;=5),J21*K21,"Incomplete"))</f>
        <v/>
      </c>
      <c r="M21" s="52" t="str">
        <f aca="false">IF(A21="","",IF(ISNUMBER(L21),LOOKUP(L21,BandMin,BandName),"Incomplete"))</f>
        <v/>
      </c>
      <c r="N21" s="34"/>
      <c r="O21" s="34"/>
      <c r="P21" s="50"/>
      <c r="Q21" s="50"/>
      <c r="R21" s="61" t="str">
        <f aca="false">IF(A21="","",IF(AND(ISNUMBER(P21),ISNUMBER(Q21),P21&gt;=1,P21&lt;=5,Q21&gt;=1,Q21&lt;=5),P21*Q21,"Incomplete"))</f>
        <v/>
      </c>
      <c r="S21" s="52" t="str">
        <f aca="false">IF(A21="","",IF(ISNUMBER(R21),LOOKUP(R21,BandMin,BandName),"Incomplete"))</f>
        <v/>
      </c>
      <c r="T21" s="34"/>
      <c r="U21" s="50"/>
      <c r="V21" s="50"/>
      <c r="W21" s="50"/>
      <c r="X21" s="52" t="str">
        <f aca="false">IF(A21="","",IF(AND(V21="",W21=""),"Not set",IF(AND(ISNUMBER(V21),ISNUMBER(W21),V21&gt;=1,V21&lt;=5,W21&gt;=1,W21&lt;=5),V21*W21,"Incomplete")))</f>
        <v/>
      </c>
      <c r="Y21" s="52" t="str">
        <f aca="false">IF(A21="","",IF(X21="Not set","Not set",IF(ISNUMBER(X21),LOOKUP(X21,BandMin,BandName),"Incomplete")))</f>
        <v/>
      </c>
      <c r="Z21" s="34"/>
      <c r="AA21" s="54" t="str">
        <f aca="false">IF(A21="","",IF(AppetiteThreshold="","Not configured",IF(NOT(ISNUMBER(R21)),"Cannot assess - residual incomplete",IF(MATCH(S21,BandName,0)&gt;=MATCH(AppetiteThreshold,BandName,0),"Above appetite - escalation required","Within appetite"))))</f>
        <v/>
      </c>
      <c r="AB21" s="50"/>
      <c r="AC21" s="54" t="str">
        <f aca="false">IF(A21="","",IF(AB21="","No decision referenced",IFERROR(INDEX(DEC_FINAL,MATCH(AB21,DEC_ID,0))&amp;" - "&amp;INDEX(DEC_CURR,MATCH(AB21,DEC_ID,0)),"CHECK: Decision ID not found")))</f>
        <v/>
      </c>
      <c r="AD21" s="54" t="str">
        <f aca="false">IF(A21="","",IF(COUNTIF(TRT_RISK,A21)=0,"No treatment recorded",COUNTIF(TRT_RISK,A21)&amp;" action(s); "&amp;COUNTIFS(TRT_RISK,A21,TRT_OPEN,"Open")&amp;" open; "&amp;COUNTIFS(TRT_RISK,A21,TRT_OVERDUE,"Overdue")&amp;" overdue"))</f>
        <v/>
      </c>
      <c r="AE21" s="51"/>
      <c r="AF21" s="51"/>
      <c r="AG21" s="54" t="str">
        <f aca="false">IF(A21="","",IF(AI21="","Complete","Incomplete: "&amp;AI21))</f>
        <v/>
      </c>
      <c r="AH21" s="54" t="str">
        <f aca="false">IF(A21="","",IF(COUNTIF(RSK_ID,A21)&gt;1,"CHECK: duplicate ID",IF(B21="","CHECK: Supplier ID missing",IF(COUNTIF(INV_ID,B21)=0,"CHECK: Supplier ID not in inventory",IF(AND(ISNUMBER(R21),ISNUMBER(L21),R21&gt;L21),"CHECK: residual score exceeds inherent - confirm",IF(AND(ISNUMBER(AF21),AF21&lt;AsOf),"Review overdue (administrative)","OK"))))))</f>
        <v/>
      </c>
      <c r="AI21" s="52" t="str">
        <f aca="false">IF(A21="","",IF(I21="","risk owner; ","")&amp;IF(OR(J21="",K21=""),"inherent rating; ","")&amp;IF(N21="","inherent rationale; ","")&amp;IF(OR(P21="",Q21=""),"residual rating; ","")&amp;IF(AND(OR(P21&lt;&gt;"",Q21&lt;&gt;""),T21=""),"residual rationale; ","")&amp;IF(AND(OR(P21&lt;&gt;"",Q21&lt;&gt;""),U21=""),"assessment confidence; ","")&amp;IF(AE21="","assessment date; ",""))</f>
        <v/>
      </c>
      <c r="AJ21" s="52" t="str">
        <f aca="false">IF(OR(A21="",B21=""),"",IF(B21=RptSup,B21&amp;"|"&amp;COUNTIF($B$7:B21,B21),""))</f>
        <v/>
      </c>
    </row>
    <row r="22" customFormat="false" ht="15" hidden="false" customHeight="false" outlineLevel="0" collapsed="false">
      <c r="A22" s="50"/>
      <c r="B22" s="50"/>
      <c r="C22" s="59" t="str">
        <f aca="false">IF(B22="","",IFERROR(INDEX(INV_NAME,MATCH(B22,INV_ID,0)),"CHECK: Supplier ID not found"))</f>
        <v/>
      </c>
      <c r="D22" s="34"/>
      <c r="E22" s="34"/>
      <c r="F22" s="34"/>
      <c r="G22" s="34"/>
      <c r="H22" s="34"/>
      <c r="I22" s="34"/>
      <c r="J22" s="50"/>
      <c r="K22" s="50"/>
      <c r="L22" s="52" t="str">
        <f aca="false">IF(A22="","",IF(AND(ISNUMBER(J22),ISNUMBER(K22),J22&gt;=1,J22&lt;=5,K22&gt;=1,K22&lt;=5),J22*K22,"Incomplete"))</f>
        <v/>
      </c>
      <c r="M22" s="52" t="str">
        <f aca="false">IF(A22="","",IF(ISNUMBER(L22),LOOKUP(L22,BandMin,BandName),"Incomplete"))</f>
        <v/>
      </c>
      <c r="N22" s="34"/>
      <c r="O22" s="34"/>
      <c r="P22" s="50"/>
      <c r="Q22" s="50"/>
      <c r="R22" s="61" t="str">
        <f aca="false">IF(A22="","",IF(AND(ISNUMBER(P22),ISNUMBER(Q22),P22&gt;=1,P22&lt;=5,Q22&gt;=1,Q22&lt;=5),P22*Q22,"Incomplete"))</f>
        <v/>
      </c>
      <c r="S22" s="52" t="str">
        <f aca="false">IF(A22="","",IF(ISNUMBER(R22),LOOKUP(R22,BandMin,BandName),"Incomplete"))</f>
        <v/>
      </c>
      <c r="T22" s="34"/>
      <c r="U22" s="50"/>
      <c r="V22" s="50"/>
      <c r="W22" s="50"/>
      <c r="X22" s="52" t="str">
        <f aca="false">IF(A22="","",IF(AND(V22="",W22=""),"Not set",IF(AND(ISNUMBER(V22),ISNUMBER(W22),V22&gt;=1,V22&lt;=5,W22&gt;=1,W22&lt;=5),V22*W22,"Incomplete")))</f>
        <v/>
      </c>
      <c r="Y22" s="52" t="str">
        <f aca="false">IF(A22="","",IF(X22="Not set","Not set",IF(ISNUMBER(X22),LOOKUP(X22,BandMin,BandName),"Incomplete")))</f>
        <v/>
      </c>
      <c r="Z22" s="34"/>
      <c r="AA22" s="54" t="str">
        <f aca="false">IF(A22="","",IF(AppetiteThreshold="","Not configured",IF(NOT(ISNUMBER(R22)),"Cannot assess - residual incomplete",IF(MATCH(S22,BandName,0)&gt;=MATCH(AppetiteThreshold,BandName,0),"Above appetite - escalation required","Within appetite"))))</f>
        <v/>
      </c>
      <c r="AB22" s="50"/>
      <c r="AC22" s="54" t="str">
        <f aca="false">IF(A22="","",IF(AB22="","No decision referenced",IFERROR(INDEX(DEC_FINAL,MATCH(AB22,DEC_ID,0))&amp;" - "&amp;INDEX(DEC_CURR,MATCH(AB22,DEC_ID,0)),"CHECK: Decision ID not found")))</f>
        <v/>
      </c>
      <c r="AD22" s="54" t="str">
        <f aca="false">IF(A22="","",IF(COUNTIF(TRT_RISK,A22)=0,"No treatment recorded",COUNTIF(TRT_RISK,A22)&amp;" action(s); "&amp;COUNTIFS(TRT_RISK,A22,TRT_OPEN,"Open")&amp;" open; "&amp;COUNTIFS(TRT_RISK,A22,TRT_OVERDUE,"Overdue")&amp;" overdue"))</f>
        <v/>
      </c>
      <c r="AE22" s="51"/>
      <c r="AF22" s="51"/>
      <c r="AG22" s="54" t="str">
        <f aca="false">IF(A22="","",IF(AI22="","Complete","Incomplete: "&amp;AI22))</f>
        <v/>
      </c>
      <c r="AH22" s="54" t="str">
        <f aca="false">IF(A22="","",IF(COUNTIF(RSK_ID,A22)&gt;1,"CHECK: duplicate ID",IF(B22="","CHECK: Supplier ID missing",IF(COUNTIF(INV_ID,B22)=0,"CHECK: Supplier ID not in inventory",IF(AND(ISNUMBER(R22),ISNUMBER(L22),R22&gt;L22),"CHECK: residual score exceeds inherent - confirm",IF(AND(ISNUMBER(AF22),AF22&lt;AsOf),"Review overdue (administrative)","OK"))))))</f>
        <v/>
      </c>
      <c r="AI22" s="52" t="str">
        <f aca="false">IF(A22="","",IF(I22="","risk owner; ","")&amp;IF(OR(J22="",K22=""),"inherent rating; ","")&amp;IF(N22="","inherent rationale; ","")&amp;IF(OR(P22="",Q22=""),"residual rating; ","")&amp;IF(AND(OR(P22&lt;&gt;"",Q22&lt;&gt;""),T22=""),"residual rationale; ","")&amp;IF(AND(OR(P22&lt;&gt;"",Q22&lt;&gt;""),U22=""),"assessment confidence; ","")&amp;IF(AE22="","assessment date; ",""))</f>
        <v/>
      </c>
      <c r="AJ22" s="52" t="str">
        <f aca="false">IF(OR(A22="",B22=""),"",IF(B22=RptSup,B22&amp;"|"&amp;COUNTIF($B$7:B22,B22),""))</f>
        <v/>
      </c>
    </row>
    <row r="23" customFormat="false" ht="15" hidden="false" customHeight="false" outlineLevel="0" collapsed="false">
      <c r="A23" s="50"/>
      <c r="B23" s="50"/>
      <c r="C23" s="59" t="str">
        <f aca="false">IF(B23="","",IFERROR(INDEX(INV_NAME,MATCH(B23,INV_ID,0)),"CHECK: Supplier ID not found"))</f>
        <v/>
      </c>
      <c r="D23" s="34"/>
      <c r="E23" s="34"/>
      <c r="F23" s="34"/>
      <c r="G23" s="34"/>
      <c r="H23" s="34"/>
      <c r="I23" s="34"/>
      <c r="J23" s="50"/>
      <c r="K23" s="50"/>
      <c r="L23" s="52" t="str">
        <f aca="false">IF(A23="","",IF(AND(ISNUMBER(J23),ISNUMBER(K23),J23&gt;=1,J23&lt;=5,K23&gt;=1,K23&lt;=5),J23*K23,"Incomplete"))</f>
        <v/>
      </c>
      <c r="M23" s="52" t="str">
        <f aca="false">IF(A23="","",IF(ISNUMBER(L23),LOOKUP(L23,BandMin,BandName),"Incomplete"))</f>
        <v/>
      </c>
      <c r="N23" s="34"/>
      <c r="O23" s="34"/>
      <c r="P23" s="50"/>
      <c r="Q23" s="50"/>
      <c r="R23" s="61" t="str">
        <f aca="false">IF(A23="","",IF(AND(ISNUMBER(P23),ISNUMBER(Q23),P23&gt;=1,P23&lt;=5,Q23&gt;=1,Q23&lt;=5),P23*Q23,"Incomplete"))</f>
        <v/>
      </c>
      <c r="S23" s="52" t="str">
        <f aca="false">IF(A23="","",IF(ISNUMBER(R23),LOOKUP(R23,BandMin,BandName),"Incomplete"))</f>
        <v/>
      </c>
      <c r="T23" s="34"/>
      <c r="U23" s="50"/>
      <c r="V23" s="50"/>
      <c r="W23" s="50"/>
      <c r="X23" s="52" t="str">
        <f aca="false">IF(A23="","",IF(AND(V23="",W23=""),"Not set",IF(AND(ISNUMBER(V23),ISNUMBER(W23),V23&gt;=1,V23&lt;=5,W23&gt;=1,W23&lt;=5),V23*W23,"Incomplete")))</f>
        <v/>
      </c>
      <c r="Y23" s="52" t="str">
        <f aca="false">IF(A23="","",IF(X23="Not set","Not set",IF(ISNUMBER(X23),LOOKUP(X23,BandMin,BandName),"Incomplete")))</f>
        <v/>
      </c>
      <c r="Z23" s="34"/>
      <c r="AA23" s="54" t="str">
        <f aca="false">IF(A23="","",IF(AppetiteThreshold="","Not configured",IF(NOT(ISNUMBER(R23)),"Cannot assess - residual incomplete",IF(MATCH(S23,BandName,0)&gt;=MATCH(AppetiteThreshold,BandName,0),"Above appetite - escalation required","Within appetite"))))</f>
        <v/>
      </c>
      <c r="AB23" s="50"/>
      <c r="AC23" s="54" t="str">
        <f aca="false">IF(A23="","",IF(AB23="","No decision referenced",IFERROR(INDEX(DEC_FINAL,MATCH(AB23,DEC_ID,0))&amp;" - "&amp;INDEX(DEC_CURR,MATCH(AB23,DEC_ID,0)),"CHECK: Decision ID not found")))</f>
        <v/>
      </c>
      <c r="AD23" s="54" t="str">
        <f aca="false">IF(A23="","",IF(COUNTIF(TRT_RISK,A23)=0,"No treatment recorded",COUNTIF(TRT_RISK,A23)&amp;" action(s); "&amp;COUNTIFS(TRT_RISK,A23,TRT_OPEN,"Open")&amp;" open; "&amp;COUNTIFS(TRT_RISK,A23,TRT_OVERDUE,"Overdue")&amp;" overdue"))</f>
        <v/>
      </c>
      <c r="AE23" s="51"/>
      <c r="AF23" s="51"/>
      <c r="AG23" s="54" t="str">
        <f aca="false">IF(A23="","",IF(AI23="","Complete","Incomplete: "&amp;AI23))</f>
        <v/>
      </c>
      <c r="AH23" s="54" t="str">
        <f aca="false">IF(A23="","",IF(COUNTIF(RSK_ID,A23)&gt;1,"CHECK: duplicate ID",IF(B23="","CHECK: Supplier ID missing",IF(COUNTIF(INV_ID,B23)=0,"CHECK: Supplier ID not in inventory",IF(AND(ISNUMBER(R23),ISNUMBER(L23),R23&gt;L23),"CHECK: residual score exceeds inherent - confirm",IF(AND(ISNUMBER(AF23),AF23&lt;AsOf),"Review overdue (administrative)","OK"))))))</f>
        <v/>
      </c>
      <c r="AI23" s="52" t="str">
        <f aca="false">IF(A23="","",IF(I23="","risk owner; ","")&amp;IF(OR(J23="",K23=""),"inherent rating; ","")&amp;IF(N23="","inherent rationale; ","")&amp;IF(OR(P23="",Q23=""),"residual rating; ","")&amp;IF(AND(OR(P23&lt;&gt;"",Q23&lt;&gt;""),T23=""),"residual rationale; ","")&amp;IF(AND(OR(P23&lt;&gt;"",Q23&lt;&gt;""),U23=""),"assessment confidence; ","")&amp;IF(AE23="","assessment date; ",""))</f>
        <v/>
      </c>
      <c r="AJ23" s="52" t="str">
        <f aca="false">IF(OR(A23="",B23=""),"",IF(B23=RptSup,B23&amp;"|"&amp;COUNTIF($B$7:B23,B23),""))</f>
        <v/>
      </c>
    </row>
    <row r="24" customFormat="false" ht="15" hidden="false" customHeight="false" outlineLevel="0" collapsed="false">
      <c r="A24" s="50"/>
      <c r="B24" s="50"/>
      <c r="C24" s="59" t="str">
        <f aca="false">IF(B24="","",IFERROR(INDEX(INV_NAME,MATCH(B24,INV_ID,0)),"CHECK: Supplier ID not found"))</f>
        <v/>
      </c>
      <c r="D24" s="34"/>
      <c r="E24" s="34"/>
      <c r="F24" s="34"/>
      <c r="G24" s="34"/>
      <c r="H24" s="34"/>
      <c r="I24" s="34"/>
      <c r="J24" s="50"/>
      <c r="K24" s="50"/>
      <c r="L24" s="52" t="str">
        <f aca="false">IF(A24="","",IF(AND(ISNUMBER(J24),ISNUMBER(K24),J24&gt;=1,J24&lt;=5,K24&gt;=1,K24&lt;=5),J24*K24,"Incomplete"))</f>
        <v/>
      </c>
      <c r="M24" s="52" t="str">
        <f aca="false">IF(A24="","",IF(ISNUMBER(L24),LOOKUP(L24,BandMin,BandName),"Incomplete"))</f>
        <v/>
      </c>
      <c r="N24" s="34"/>
      <c r="O24" s="34"/>
      <c r="P24" s="50"/>
      <c r="Q24" s="50"/>
      <c r="R24" s="61" t="str">
        <f aca="false">IF(A24="","",IF(AND(ISNUMBER(P24),ISNUMBER(Q24),P24&gt;=1,P24&lt;=5,Q24&gt;=1,Q24&lt;=5),P24*Q24,"Incomplete"))</f>
        <v/>
      </c>
      <c r="S24" s="52" t="str">
        <f aca="false">IF(A24="","",IF(ISNUMBER(R24),LOOKUP(R24,BandMin,BandName),"Incomplete"))</f>
        <v/>
      </c>
      <c r="T24" s="34"/>
      <c r="U24" s="50"/>
      <c r="V24" s="50"/>
      <c r="W24" s="50"/>
      <c r="X24" s="52" t="str">
        <f aca="false">IF(A24="","",IF(AND(V24="",W24=""),"Not set",IF(AND(ISNUMBER(V24),ISNUMBER(W24),V24&gt;=1,V24&lt;=5,W24&gt;=1,W24&lt;=5),V24*W24,"Incomplete")))</f>
        <v/>
      </c>
      <c r="Y24" s="52" t="str">
        <f aca="false">IF(A24="","",IF(X24="Not set","Not set",IF(ISNUMBER(X24),LOOKUP(X24,BandMin,BandName),"Incomplete")))</f>
        <v/>
      </c>
      <c r="Z24" s="34"/>
      <c r="AA24" s="54" t="str">
        <f aca="false">IF(A24="","",IF(AppetiteThreshold="","Not configured",IF(NOT(ISNUMBER(R24)),"Cannot assess - residual incomplete",IF(MATCH(S24,BandName,0)&gt;=MATCH(AppetiteThreshold,BandName,0),"Above appetite - escalation required","Within appetite"))))</f>
        <v/>
      </c>
      <c r="AB24" s="50"/>
      <c r="AC24" s="54" t="str">
        <f aca="false">IF(A24="","",IF(AB24="","No decision referenced",IFERROR(INDEX(DEC_FINAL,MATCH(AB24,DEC_ID,0))&amp;" - "&amp;INDEX(DEC_CURR,MATCH(AB24,DEC_ID,0)),"CHECK: Decision ID not found")))</f>
        <v/>
      </c>
      <c r="AD24" s="54" t="str">
        <f aca="false">IF(A24="","",IF(COUNTIF(TRT_RISK,A24)=0,"No treatment recorded",COUNTIF(TRT_RISK,A24)&amp;" action(s); "&amp;COUNTIFS(TRT_RISK,A24,TRT_OPEN,"Open")&amp;" open; "&amp;COUNTIFS(TRT_RISK,A24,TRT_OVERDUE,"Overdue")&amp;" overdue"))</f>
        <v/>
      </c>
      <c r="AE24" s="51"/>
      <c r="AF24" s="51"/>
      <c r="AG24" s="54" t="str">
        <f aca="false">IF(A24="","",IF(AI24="","Complete","Incomplete: "&amp;AI24))</f>
        <v/>
      </c>
      <c r="AH24" s="54" t="str">
        <f aca="false">IF(A24="","",IF(COUNTIF(RSK_ID,A24)&gt;1,"CHECK: duplicate ID",IF(B24="","CHECK: Supplier ID missing",IF(COUNTIF(INV_ID,B24)=0,"CHECK: Supplier ID not in inventory",IF(AND(ISNUMBER(R24),ISNUMBER(L24),R24&gt;L24),"CHECK: residual score exceeds inherent - confirm",IF(AND(ISNUMBER(AF24),AF24&lt;AsOf),"Review overdue (administrative)","OK"))))))</f>
        <v/>
      </c>
      <c r="AI24" s="52" t="str">
        <f aca="false">IF(A24="","",IF(I24="","risk owner; ","")&amp;IF(OR(J24="",K24=""),"inherent rating; ","")&amp;IF(N24="","inherent rationale; ","")&amp;IF(OR(P24="",Q24=""),"residual rating; ","")&amp;IF(AND(OR(P24&lt;&gt;"",Q24&lt;&gt;""),T24=""),"residual rationale; ","")&amp;IF(AND(OR(P24&lt;&gt;"",Q24&lt;&gt;""),U24=""),"assessment confidence; ","")&amp;IF(AE24="","assessment date; ",""))</f>
        <v/>
      </c>
      <c r="AJ24" s="52" t="str">
        <f aca="false">IF(OR(A24="",B24=""),"",IF(B24=RptSup,B24&amp;"|"&amp;COUNTIF($B$7:B24,B24),""))</f>
        <v/>
      </c>
    </row>
    <row r="25" customFormat="false" ht="15" hidden="false" customHeight="false" outlineLevel="0" collapsed="false">
      <c r="A25" s="50"/>
      <c r="B25" s="50"/>
      <c r="C25" s="59" t="str">
        <f aca="false">IF(B25="","",IFERROR(INDEX(INV_NAME,MATCH(B25,INV_ID,0)),"CHECK: Supplier ID not found"))</f>
        <v/>
      </c>
      <c r="D25" s="34"/>
      <c r="E25" s="34"/>
      <c r="F25" s="34"/>
      <c r="G25" s="34"/>
      <c r="H25" s="34"/>
      <c r="I25" s="34"/>
      <c r="J25" s="50"/>
      <c r="K25" s="50"/>
      <c r="L25" s="52" t="str">
        <f aca="false">IF(A25="","",IF(AND(ISNUMBER(J25),ISNUMBER(K25),J25&gt;=1,J25&lt;=5,K25&gt;=1,K25&lt;=5),J25*K25,"Incomplete"))</f>
        <v/>
      </c>
      <c r="M25" s="52" t="str">
        <f aca="false">IF(A25="","",IF(ISNUMBER(L25),LOOKUP(L25,BandMin,BandName),"Incomplete"))</f>
        <v/>
      </c>
      <c r="N25" s="34"/>
      <c r="O25" s="34"/>
      <c r="P25" s="50"/>
      <c r="Q25" s="50"/>
      <c r="R25" s="61" t="str">
        <f aca="false">IF(A25="","",IF(AND(ISNUMBER(P25),ISNUMBER(Q25),P25&gt;=1,P25&lt;=5,Q25&gt;=1,Q25&lt;=5),P25*Q25,"Incomplete"))</f>
        <v/>
      </c>
      <c r="S25" s="52" t="str">
        <f aca="false">IF(A25="","",IF(ISNUMBER(R25),LOOKUP(R25,BandMin,BandName),"Incomplete"))</f>
        <v/>
      </c>
      <c r="T25" s="34"/>
      <c r="U25" s="50"/>
      <c r="V25" s="50"/>
      <c r="W25" s="50"/>
      <c r="X25" s="52" t="str">
        <f aca="false">IF(A25="","",IF(AND(V25="",W25=""),"Not set",IF(AND(ISNUMBER(V25),ISNUMBER(W25),V25&gt;=1,V25&lt;=5,W25&gt;=1,W25&lt;=5),V25*W25,"Incomplete")))</f>
        <v/>
      </c>
      <c r="Y25" s="52" t="str">
        <f aca="false">IF(A25="","",IF(X25="Not set","Not set",IF(ISNUMBER(X25),LOOKUP(X25,BandMin,BandName),"Incomplete")))</f>
        <v/>
      </c>
      <c r="Z25" s="34"/>
      <c r="AA25" s="54" t="str">
        <f aca="false">IF(A25="","",IF(AppetiteThreshold="","Not configured",IF(NOT(ISNUMBER(R25)),"Cannot assess - residual incomplete",IF(MATCH(S25,BandName,0)&gt;=MATCH(AppetiteThreshold,BandName,0),"Above appetite - escalation required","Within appetite"))))</f>
        <v/>
      </c>
      <c r="AB25" s="50"/>
      <c r="AC25" s="54" t="str">
        <f aca="false">IF(A25="","",IF(AB25="","No decision referenced",IFERROR(INDEX(DEC_FINAL,MATCH(AB25,DEC_ID,0))&amp;" - "&amp;INDEX(DEC_CURR,MATCH(AB25,DEC_ID,0)),"CHECK: Decision ID not found")))</f>
        <v/>
      </c>
      <c r="AD25" s="54" t="str">
        <f aca="false">IF(A25="","",IF(COUNTIF(TRT_RISK,A25)=0,"No treatment recorded",COUNTIF(TRT_RISK,A25)&amp;" action(s); "&amp;COUNTIFS(TRT_RISK,A25,TRT_OPEN,"Open")&amp;" open; "&amp;COUNTIFS(TRT_RISK,A25,TRT_OVERDUE,"Overdue")&amp;" overdue"))</f>
        <v/>
      </c>
      <c r="AE25" s="51"/>
      <c r="AF25" s="51"/>
      <c r="AG25" s="54" t="str">
        <f aca="false">IF(A25="","",IF(AI25="","Complete","Incomplete: "&amp;AI25))</f>
        <v/>
      </c>
      <c r="AH25" s="54" t="str">
        <f aca="false">IF(A25="","",IF(COUNTIF(RSK_ID,A25)&gt;1,"CHECK: duplicate ID",IF(B25="","CHECK: Supplier ID missing",IF(COUNTIF(INV_ID,B25)=0,"CHECK: Supplier ID not in inventory",IF(AND(ISNUMBER(R25),ISNUMBER(L25),R25&gt;L25),"CHECK: residual score exceeds inherent - confirm",IF(AND(ISNUMBER(AF25),AF25&lt;AsOf),"Review overdue (administrative)","OK"))))))</f>
        <v/>
      </c>
      <c r="AI25" s="52" t="str">
        <f aca="false">IF(A25="","",IF(I25="","risk owner; ","")&amp;IF(OR(J25="",K25=""),"inherent rating; ","")&amp;IF(N25="","inherent rationale; ","")&amp;IF(OR(P25="",Q25=""),"residual rating; ","")&amp;IF(AND(OR(P25&lt;&gt;"",Q25&lt;&gt;""),T25=""),"residual rationale; ","")&amp;IF(AND(OR(P25&lt;&gt;"",Q25&lt;&gt;""),U25=""),"assessment confidence; ","")&amp;IF(AE25="","assessment date; ",""))</f>
        <v/>
      </c>
      <c r="AJ25" s="52" t="str">
        <f aca="false">IF(OR(A25="",B25=""),"",IF(B25=RptSup,B25&amp;"|"&amp;COUNTIF($B$7:B25,B25),""))</f>
        <v/>
      </c>
    </row>
    <row r="26" customFormat="false" ht="15" hidden="false" customHeight="false" outlineLevel="0" collapsed="false">
      <c r="A26" s="50"/>
      <c r="B26" s="50"/>
      <c r="C26" s="59" t="str">
        <f aca="false">IF(B26="","",IFERROR(INDEX(INV_NAME,MATCH(B26,INV_ID,0)),"CHECK: Supplier ID not found"))</f>
        <v/>
      </c>
      <c r="D26" s="34"/>
      <c r="E26" s="34"/>
      <c r="F26" s="34"/>
      <c r="G26" s="34"/>
      <c r="H26" s="34"/>
      <c r="I26" s="34"/>
      <c r="J26" s="50"/>
      <c r="K26" s="50"/>
      <c r="L26" s="52" t="str">
        <f aca="false">IF(A26="","",IF(AND(ISNUMBER(J26),ISNUMBER(K26),J26&gt;=1,J26&lt;=5,K26&gt;=1,K26&lt;=5),J26*K26,"Incomplete"))</f>
        <v/>
      </c>
      <c r="M26" s="52" t="str">
        <f aca="false">IF(A26="","",IF(ISNUMBER(L26),LOOKUP(L26,BandMin,BandName),"Incomplete"))</f>
        <v/>
      </c>
      <c r="N26" s="34"/>
      <c r="O26" s="34"/>
      <c r="P26" s="50"/>
      <c r="Q26" s="50"/>
      <c r="R26" s="61" t="str">
        <f aca="false">IF(A26="","",IF(AND(ISNUMBER(P26),ISNUMBER(Q26),P26&gt;=1,P26&lt;=5,Q26&gt;=1,Q26&lt;=5),P26*Q26,"Incomplete"))</f>
        <v/>
      </c>
      <c r="S26" s="52" t="str">
        <f aca="false">IF(A26="","",IF(ISNUMBER(R26),LOOKUP(R26,BandMin,BandName),"Incomplete"))</f>
        <v/>
      </c>
      <c r="T26" s="34"/>
      <c r="U26" s="50"/>
      <c r="V26" s="50"/>
      <c r="W26" s="50"/>
      <c r="X26" s="52" t="str">
        <f aca="false">IF(A26="","",IF(AND(V26="",W26=""),"Not set",IF(AND(ISNUMBER(V26),ISNUMBER(W26),V26&gt;=1,V26&lt;=5,W26&gt;=1,W26&lt;=5),V26*W26,"Incomplete")))</f>
        <v/>
      </c>
      <c r="Y26" s="52" t="str">
        <f aca="false">IF(A26="","",IF(X26="Not set","Not set",IF(ISNUMBER(X26),LOOKUP(X26,BandMin,BandName),"Incomplete")))</f>
        <v/>
      </c>
      <c r="Z26" s="34"/>
      <c r="AA26" s="54" t="str">
        <f aca="false">IF(A26="","",IF(AppetiteThreshold="","Not configured",IF(NOT(ISNUMBER(R26)),"Cannot assess - residual incomplete",IF(MATCH(S26,BandName,0)&gt;=MATCH(AppetiteThreshold,BandName,0),"Above appetite - escalation required","Within appetite"))))</f>
        <v/>
      </c>
      <c r="AB26" s="50"/>
      <c r="AC26" s="54" t="str">
        <f aca="false">IF(A26="","",IF(AB26="","No decision referenced",IFERROR(INDEX(DEC_FINAL,MATCH(AB26,DEC_ID,0))&amp;" - "&amp;INDEX(DEC_CURR,MATCH(AB26,DEC_ID,0)),"CHECK: Decision ID not found")))</f>
        <v/>
      </c>
      <c r="AD26" s="54" t="str">
        <f aca="false">IF(A26="","",IF(COUNTIF(TRT_RISK,A26)=0,"No treatment recorded",COUNTIF(TRT_RISK,A26)&amp;" action(s); "&amp;COUNTIFS(TRT_RISK,A26,TRT_OPEN,"Open")&amp;" open; "&amp;COUNTIFS(TRT_RISK,A26,TRT_OVERDUE,"Overdue")&amp;" overdue"))</f>
        <v/>
      </c>
      <c r="AE26" s="51"/>
      <c r="AF26" s="51"/>
      <c r="AG26" s="54" t="str">
        <f aca="false">IF(A26="","",IF(AI26="","Complete","Incomplete: "&amp;AI26))</f>
        <v/>
      </c>
      <c r="AH26" s="54" t="str">
        <f aca="false">IF(A26="","",IF(COUNTIF(RSK_ID,A26)&gt;1,"CHECK: duplicate ID",IF(B26="","CHECK: Supplier ID missing",IF(COUNTIF(INV_ID,B26)=0,"CHECK: Supplier ID not in inventory",IF(AND(ISNUMBER(R26),ISNUMBER(L26),R26&gt;L26),"CHECK: residual score exceeds inherent - confirm",IF(AND(ISNUMBER(AF26),AF26&lt;AsOf),"Review overdue (administrative)","OK"))))))</f>
        <v/>
      </c>
      <c r="AI26" s="52" t="str">
        <f aca="false">IF(A26="","",IF(I26="","risk owner; ","")&amp;IF(OR(J26="",K26=""),"inherent rating; ","")&amp;IF(N26="","inherent rationale; ","")&amp;IF(OR(P26="",Q26=""),"residual rating; ","")&amp;IF(AND(OR(P26&lt;&gt;"",Q26&lt;&gt;""),T26=""),"residual rationale; ","")&amp;IF(AND(OR(P26&lt;&gt;"",Q26&lt;&gt;""),U26=""),"assessment confidence; ","")&amp;IF(AE26="","assessment date; ",""))</f>
        <v/>
      </c>
      <c r="AJ26" s="52" t="str">
        <f aca="false">IF(OR(A26="",B26=""),"",IF(B26=RptSup,B26&amp;"|"&amp;COUNTIF($B$7:B26,B26),""))</f>
        <v/>
      </c>
    </row>
    <row r="27" customFormat="false" ht="15" hidden="false" customHeight="false" outlineLevel="0" collapsed="false">
      <c r="A27" s="50"/>
      <c r="B27" s="50"/>
      <c r="C27" s="59" t="str">
        <f aca="false">IF(B27="","",IFERROR(INDEX(INV_NAME,MATCH(B27,INV_ID,0)),"CHECK: Supplier ID not found"))</f>
        <v/>
      </c>
      <c r="D27" s="34"/>
      <c r="E27" s="34"/>
      <c r="F27" s="34"/>
      <c r="G27" s="34"/>
      <c r="H27" s="34"/>
      <c r="I27" s="34"/>
      <c r="J27" s="50"/>
      <c r="K27" s="50"/>
      <c r="L27" s="52" t="str">
        <f aca="false">IF(A27="","",IF(AND(ISNUMBER(J27),ISNUMBER(K27),J27&gt;=1,J27&lt;=5,K27&gt;=1,K27&lt;=5),J27*K27,"Incomplete"))</f>
        <v/>
      </c>
      <c r="M27" s="52" t="str">
        <f aca="false">IF(A27="","",IF(ISNUMBER(L27),LOOKUP(L27,BandMin,BandName),"Incomplete"))</f>
        <v/>
      </c>
      <c r="N27" s="34"/>
      <c r="O27" s="34"/>
      <c r="P27" s="50"/>
      <c r="Q27" s="50"/>
      <c r="R27" s="61" t="str">
        <f aca="false">IF(A27="","",IF(AND(ISNUMBER(P27),ISNUMBER(Q27),P27&gt;=1,P27&lt;=5,Q27&gt;=1,Q27&lt;=5),P27*Q27,"Incomplete"))</f>
        <v/>
      </c>
      <c r="S27" s="52" t="str">
        <f aca="false">IF(A27="","",IF(ISNUMBER(R27),LOOKUP(R27,BandMin,BandName),"Incomplete"))</f>
        <v/>
      </c>
      <c r="T27" s="34"/>
      <c r="U27" s="50"/>
      <c r="V27" s="50"/>
      <c r="W27" s="50"/>
      <c r="X27" s="52" t="str">
        <f aca="false">IF(A27="","",IF(AND(V27="",W27=""),"Not set",IF(AND(ISNUMBER(V27),ISNUMBER(W27),V27&gt;=1,V27&lt;=5,W27&gt;=1,W27&lt;=5),V27*W27,"Incomplete")))</f>
        <v/>
      </c>
      <c r="Y27" s="52" t="str">
        <f aca="false">IF(A27="","",IF(X27="Not set","Not set",IF(ISNUMBER(X27),LOOKUP(X27,BandMin,BandName),"Incomplete")))</f>
        <v/>
      </c>
      <c r="Z27" s="34"/>
      <c r="AA27" s="54" t="str">
        <f aca="false">IF(A27="","",IF(AppetiteThreshold="","Not configured",IF(NOT(ISNUMBER(R27)),"Cannot assess - residual incomplete",IF(MATCH(S27,BandName,0)&gt;=MATCH(AppetiteThreshold,BandName,0),"Above appetite - escalation required","Within appetite"))))</f>
        <v/>
      </c>
      <c r="AB27" s="50"/>
      <c r="AC27" s="54" t="str">
        <f aca="false">IF(A27="","",IF(AB27="","No decision referenced",IFERROR(INDEX(DEC_FINAL,MATCH(AB27,DEC_ID,0))&amp;" - "&amp;INDEX(DEC_CURR,MATCH(AB27,DEC_ID,0)),"CHECK: Decision ID not found")))</f>
        <v/>
      </c>
      <c r="AD27" s="54" t="str">
        <f aca="false">IF(A27="","",IF(COUNTIF(TRT_RISK,A27)=0,"No treatment recorded",COUNTIF(TRT_RISK,A27)&amp;" action(s); "&amp;COUNTIFS(TRT_RISK,A27,TRT_OPEN,"Open")&amp;" open; "&amp;COUNTIFS(TRT_RISK,A27,TRT_OVERDUE,"Overdue")&amp;" overdue"))</f>
        <v/>
      </c>
      <c r="AE27" s="51"/>
      <c r="AF27" s="51"/>
      <c r="AG27" s="54" t="str">
        <f aca="false">IF(A27="","",IF(AI27="","Complete","Incomplete: "&amp;AI27))</f>
        <v/>
      </c>
      <c r="AH27" s="54" t="str">
        <f aca="false">IF(A27="","",IF(COUNTIF(RSK_ID,A27)&gt;1,"CHECK: duplicate ID",IF(B27="","CHECK: Supplier ID missing",IF(COUNTIF(INV_ID,B27)=0,"CHECK: Supplier ID not in inventory",IF(AND(ISNUMBER(R27),ISNUMBER(L27),R27&gt;L27),"CHECK: residual score exceeds inherent - confirm",IF(AND(ISNUMBER(AF27),AF27&lt;AsOf),"Review overdue (administrative)","OK"))))))</f>
        <v/>
      </c>
      <c r="AI27" s="52" t="str">
        <f aca="false">IF(A27="","",IF(I27="","risk owner; ","")&amp;IF(OR(J27="",K27=""),"inherent rating; ","")&amp;IF(N27="","inherent rationale; ","")&amp;IF(OR(P27="",Q27=""),"residual rating; ","")&amp;IF(AND(OR(P27&lt;&gt;"",Q27&lt;&gt;""),T27=""),"residual rationale; ","")&amp;IF(AND(OR(P27&lt;&gt;"",Q27&lt;&gt;""),U27=""),"assessment confidence; ","")&amp;IF(AE27="","assessment date; ",""))</f>
        <v/>
      </c>
      <c r="AJ27" s="52" t="str">
        <f aca="false">IF(OR(A27="",B27=""),"",IF(B27=RptSup,B27&amp;"|"&amp;COUNTIF($B$7:B27,B27),""))</f>
        <v/>
      </c>
    </row>
    <row r="28" customFormat="false" ht="15" hidden="false" customHeight="false" outlineLevel="0" collapsed="false">
      <c r="A28" s="50"/>
      <c r="B28" s="50"/>
      <c r="C28" s="59" t="str">
        <f aca="false">IF(B28="","",IFERROR(INDEX(INV_NAME,MATCH(B28,INV_ID,0)),"CHECK: Supplier ID not found"))</f>
        <v/>
      </c>
      <c r="D28" s="34"/>
      <c r="E28" s="34"/>
      <c r="F28" s="34"/>
      <c r="G28" s="34"/>
      <c r="H28" s="34"/>
      <c r="I28" s="34"/>
      <c r="J28" s="50"/>
      <c r="K28" s="50"/>
      <c r="L28" s="52" t="str">
        <f aca="false">IF(A28="","",IF(AND(ISNUMBER(J28),ISNUMBER(K28),J28&gt;=1,J28&lt;=5,K28&gt;=1,K28&lt;=5),J28*K28,"Incomplete"))</f>
        <v/>
      </c>
      <c r="M28" s="52" t="str">
        <f aca="false">IF(A28="","",IF(ISNUMBER(L28),LOOKUP(L28,BandMin,BandName),"Incomplete"))</f>
        <v/>
      </c>
      <c r="N28" s="34"/>
      <c r="O28" s="34"/>
      <c r="P28" s="50"/>
      <c r="Q28" s="50"/>
      <c r="R28" s="61" t="str">
        <f aca="false">IF(A28="","",IF(AND(ISNUMBER(P28),ISNUMBER(Q28),P28&gt;=1,P28&lt;=5,Q28&gt;=1,Q28&lt;=5),P28*Q28,"Incomplete"))</f>
        <v/>
      </c>
      <c r="S28" s="52" t="str">
        <f aca="false">IF(A28="","",IF(ISNUMBER(R28),LOOKUP(R28,BandMin,BandName),"Incomplete"))</f>
        <v/>
      </c>
      <c r="T28" s="34"/>
      <c r="U28" s="50"/>
      <c r="V28" s="50"/>
      <c r="W28" s="50"/>
      <c r="X28" s="52" t="str">
        <f aca="false">IF(A28="","",IF(AND(V28="",W28=""),"Not set",IF(AND(ISNUMBER(V28),ISNUMBER(W28),V28&gt;=1,V28&lt;=5,W28&gt;=1,W28&lt;=5),V28*W28,"Incomplete")))</f>
        <v/>
      </c>
      <c r="Y28" s="52" t="str">
        <f aca="false">IF(A28="","",IF(X28="Not set","Not set",IF(ISNUMBER(X28),LOOKUP(X28,BandMin,BandName),"Incomplete")))</f>
        <v/>
      </c>
      <c r="Z28" s="34"/>
      <c r="AA28" s="54" t="str">
        <f aca="false">IF(A28="","",IF(AppetiteThreshold="","Not configured",IF(NOT(ISNUMBER(R28)),"Cannot assess - residual incomplete",IF(MATCH(S28,BandName,0)&gt;=MATCH(AppetiteThreshold,BandName,0),"Above appetite - escalation required","Within appetite"))))</f>
        <v/>
      </c>
      <c r="AB28" s="50"/>
      <c r="AC28" s="54" t="str">
        <f aca="false">IF(A28="","",IF(AB28="","No decision referenced",IFERROR(INDEX(DEC_FINAL,MATCH(AB28,DEC_ID,0))&amp;" - "&amp;INDEX(DEC_CURR,MATCH(AB28,DEC_ID,0)),"CHECK: Decision ID not found")))</f>
        <v/>
      </c>
      <c r="AD28" s="54" t="str">
        <f aca="false">IF(A28="","",IF(COUNTIF(TRT_RISK,A28)=0,"No treatment recorded",COUNTIF(TRT_RISK,A28)&amp;" action(s); "&amp;COUNTIFS(TRT_RISK,A28,TRT_OPEN,"Open")&amp;" open; "&amp;COUNTIFS(TRT_RISK,A28,TRT_OVERDUE,"Overdue")&amp;" overdue"))</f>
        <v/>
      </c>
      <c r="AE28" s="51"/>
      <c r="AF28" s="51"/>
      <c r="AG28" s="54" t="str">
        <f aca="false">IF(A28="","",IF(AI28="","Complete","Incomplete: "&amp;AI28))</f>
        <v/>
      </c>
      <c r="AH28" s="54" t="str">
        <f aca="false">IF(A28="","",IF(COUNTIF(RSK_ID,A28)&gt;1,"CHECK: duplicate ID",IF(B28="","CHECK: Supplier ID missing",IF(COUNTIF(INV_ID,B28)=0,"CHECK: Supplier ID not in inventory",IF(AND(ISNUMBER(R28),ISNUMBER(L28),R28&gt;L28),"CHECK: residual score exceeds inherent - confirm",IF(AND(ISNUMBER(AF28),AF28&lt;AsOf),"Review overdue (administrative)","OK"))))))</f>
        <v/>
      </c>
      <c r="AI28" s="52" t="str">
        <f aca="false">IF(A28="","",IF(I28="","risk owner; ","")&amp;IF(OR(J28="",K28=""),"inherent rating; ","")&amp;IF(N28="","inherent rationale; ","")&amp;IF(OR(P28="",Q28=""),"residual rating; ","")&amp;IF(AND(OR(P28&lt;&gt;"",Q28&lt;&gt;""),T28=""),"residual rationale; ","")&amp;IF(AND(OR(P28&lt;&gt;"",Q28&lt;&gt;""),U28=""),"assessment confidence; ","")&amp;IF(AE28="","assessment date; ",""))</f>
        <v/>
      </c>
      <c r="AJ28" s="52" t="str">
        <f aca="false">IF(OR(A28="",B28=""),"",IF(B28=RptSup,B28&amp;"|"&amp;COUNTIF($B$7:B28,B28),""))</f>
        <v/>
      </c>
    </row>
    <row r="29" customFormat="false" ht="15" hidden="false" customHeight="false" outlineLevel="0" collapsed="false">
      <c r="A29" s="50"/>
      <c r="B29" s="50"/>
      <c r="C29" s="59" t="str">
        <f aca="false">IF(B29="","",IFERROR(INDEX(INV_NAME,MATCH(B29,INV_ID,0)),"CHECK: Supplier ID not found"))</f>
        <v/>
      </c>
      <c r="D29" s="34"/>
      <c r="E29" s="34"/>
      <c r="F29" s="34"/>
      <c r="G29" s="34"/>
      <c r="H29" s="34"/>
      <c r="I29" s="34"/>
      <c r="J29" s="50"/>
      <c r="K29" s="50"/>
      <c r="L29" s="52" t="str">
        <f aca="false">IF(A29="","",IF(AND(ISNUMBER(J29),ISNUMBER(K29),J29&gt;=1,J29&lt;=5,K29&gt;=1,K29&lt;=5),J29*K29,"Incomplete"))</f>
        <v/>
      </c>
      <c r="M29" s="52" t="str">
        <f aca="false">IF(A29="","",IF(ISNUMBER(L29),LOOKUP(L29,BandMin,BandName),"Incomplete"))</f>
        <v/>
      </c>
      <c r="N29" s="34"/>
      <c r="O29" s="34"/>
      <c r="P29" s="50"/>
      <c r="Q29" s="50"/>
      <c r="R29" s="61" t="str">
        <f aca="false">IF(A29="","",IF(AND(ISNUMBER(P29),ISNUMBER(Q29),P29&gt;=1,P29&lt;=5,Q29&gt;=1,Q29&lt;=5),P29*Q29,"Incomplete"))</f>
        <v/>
      </c>
      <c r="S29" s="52" t="str">
        <f aca="false">IF(A29="","",IF(ISNUMBER(R29),LOOKUP(R29,BandMin,BandName),"Incomplete"))</f>
        <v/>
      </c>
      <c r="T29" s="34"/>
      <c r="U29" s="50"/>
      <c r="V29" s="50"/>
      <c r="W29" s="50"/>
      <c r="X29" s="52" t="str">
        <f aca="false">IF(A29="","",IF(AND(V29="",W29=""),"Not set",IF(AND(ISNUMBER(V29),ISNUMBER(W29),V29&gt;=1,V29&lt;=5,W29&gt;=1,W29&lt;=5),V29*W29,"Incomplete")))</f>
        <v/>
      </c>
      <c r="Y29" s="52" t="str">
        <f aca="false">IF(A29="","",IF(X29="Not set","Not set",IF(ISNUMBER(X29),LOOKUP(X29,BandMin,BandName),"Incomplete")))</f>
        <v/>
      </c>
      <c r="Z29" s="34"/>
      <c r="AA29" s="54" t="str">
        <f aca="false">IF(A29="","",IF(AppetiteThreshold="","Not configured",IF(NOT(ISNUMBER(R29)),"Cannot assess - residual incomplete",IF(MATCH(S29,BandName,0)&gt;=MATCH(AppetiteThreshold,BandName,0),"Above appetite - escalation required","Within appetite"))))</f>
        <v/>
      </c>
      <c r="AB29" s="50"/>
      <c r="AC29" s="54" t="str">
        <f aca="false">IF(A29="","",IF(AB29="","No decision referenced",IFERROR(INDEX(DEC_FINAL,MATCH(AB29,DEC_ID,0))&amp;" - "&amp;INDEX(DEC_CURR,MATCH(AB29,DEC_ID,0)),"CHECK: Decision ID not found")))</f>
        <v/>
      </c>
      <c r="AD29" s="54" t="str">
        <f aca="false">IF(A29="","",IF(COUNTIF(TRT_RISK,A29)=0,"No treatment recorded",COUNTIF(TRT_RISK,A29)&amp;" action(s); "&amp;COUNTIFS(TRT_RISK,A29,TRT_OPEN,"Open")&amp;" open; "&amp;COUNTIFS(TRT_RISK,A29,TRT_OVERDUE,"Overdue")&amp;" overdue"))</f>
        <v/>
      </c>
      <c r="AE29" s="51"/>
      <c r="AF29" s="51"/>
      <c r="AG29" s="54" t="str">
        <f aca="false">IF(A29="","",IF(AI29="","Complete","Incomplete: "&amp;AI29))</f>
        <v/>
      </c>
      <c r="AH29" s="54" t="str">
        <f aca="false">IF(A29="","",IF(COUNTIF(RSK_ID,A29)&gt;1,"CHECK: duplicate ID",IF(B29="","CHECK: Supplier ID missing",IF(COUNTIF(INV_ID,B29)=0,"CHECK: Supplier ID not in inventory",IF(AND(ISNUMBER(R29),ISNUMBER(L29),R29&gt;L29),"CHECK: residual score exceeds inherent - confirm",IF(AND(ISNUMBER(AF29),AF29&lt;AsOf),"Review overdue (administrative)","OK"))))))</f>
        <v/>
      </c>
      <c r="AI29" s="52" t="str">
        <f aca="false">IF(A29="","",IF(I29="","risk owner; ","")&amp;IF(OR(J29="",K29=""),"inherent rating; ","")&amp;IF(N29="","inherent rationale; ","")&amp;IF(OR(P29="",Q29=""),"residual rating; ","")&amp;IF(AND(OR(P29&lt;&gt;"",Q29&lt;&gt;""),T29=""),"residual rationale; ","")&amp;IF(AND(OR(P29&lt;&gt;"",Q29&lt;&gt;""),U29=""),"assessment confidence; ","")&amp;IF(AE29="","assessment date; ",""))</f>
        <v/>
      </c>
      <c r="AJ29" s="52" t="str">
        <f aca="false">IF(OR(A29="",B29=""),"",IF(B29=RptSup,B29&amp;"|"&amp;COUNTIF($B$7:B29,B29),""))</f>
        <v/>
      </c>
    </row>
    <row r="30" customFormat="false" ht="15" hidden="false" customHeight="false" outlineLevel="0" collapsed="false">
      <c r="A30" s="50"/>
      <c r="B30" s="50"/>
      <c r="C30" s="59" t="str">
        <f aca="false">IF(B30="","",IFERROR(INDEX(INV_NAME,MATCH(B30,INV_ID,0)),"CHECK: Supplier ID not found"))</f>
        <v/>
      </c>
      <c r="D30" s="34"/>
      <c r="E30" s="34"/>
      <c r="F30" s="34"/>
      <c r="G30" s="34"/>
      <c r="H30" s="34"/>
      <c r="I30" s="34"/>
      <c r="J30" s="50"/>
      <c r="K30" s="50"/>
      <c r="L30" s="52" t="str">
        <f aca="false">IF(A30="","",IF(AND(ISNUMBER(J30),ISNUMBER(K30),J30&gt;=1,J30&lt;=5,K30&gt;=1,K30&lt;=5),J30*K30,"Incomplete"))</f>
        <v/>
      </c>
      <c r="M30" s="52" t="str">
        <f aca="false">IF(A30="","",IF(ISNUMBER(L30),LOOKUP(L30,BandMin,BandName),"Incomplete"))</f>
        <v/>
      </c>
      <c r="N30" s="34"/>
      <c r="O30" s="34"/>
      <c r="P30" s="50"/>
      <c r="Q30" s="50"/>
      <c r="R30" s="61" t="str">
        <f aca="false">IF(A30="","",IF(AND(ISNUMBER(P30),ISNUMBER(Q30),P30&gt;=1,P30&lt;=5,Q30&gt;=1,Q30&lt;=5),P30*Q30,"Incomplete"))</f>
        <v/>
      </c>
      <c r="S30" s="52" t="str">
        <f aca="false">IF(A30="","",IF(ISNUMBER(R30),LOOKUP(R30,BandMin,BandName),"Incomplete"))</f>
        <v/>
      </c>
      <c r="T30" s="34"/>
      <c r="U30" s="50"/>
      <c r="V30" s="50"/>
      <c r="W30" s="50"/>
      <c r="X30" s="52" t="str">
        <f aca="false">IF(A30="","",IF(AND(V30="",W30=""),"Not set",IF(AND(ISNUMBER(V30),ISNUMBER(W30),V30&gt;=1,V30&lt;=5,W30&gt;=1,W30&lt;=5),V30*W30,"Incomplete")))</f>
        <v/>
      </c>
      <c r="Y30" s="52" t="str">
        <f aca="false">IF(A30="","",IF(X30="Not set","Not set",IF(ISNUMBER(X30),LOOKUP(X30,BandMin,BandName),"Incomplete")))</f>
        <v/>
      </c>
      <c r="Z30" s="34"/>
      <c r="AA30" s="54" t="str">
        <f aca="false">IF(A30="","",IF(AppetiteThreshold="","Not configured",IF(NOT(ISNUMBER(R30)),"Cannot assess - residual incomplete",IF(MATCH(S30,BandName,0)&gt;=MATCH(AppetiteThreshold,BandName,0),"Above appetite - escalation required","Within appetite"))))</f>
        <v/>
      </c>
      <c r="AB30" s="50"/>
      <c r="AC30" s="54" t="str">
        <f aca="false">IF(A30="","",IF(AB30="","No decision referenced",IFERROR(INDEX(DEC_FINAL,MATCH(AB30,DEC_ID,0))&amp;" - "&amp;INDEX(DEC_CURR,MATCH(AB30,DEC_ID,0)),"CHECK: Decision ID not found")))</f>
        <v/>
      </c>
      <c r="AD30" s="54" t="str">
        <f aca="false">IF(A30="","",IF(COUNTIF(TRT_RISK,A30)=0,"No treatment recorded",COUNTIF(TRT_RISK,A30)&amp;" action(s); "&amp;COUNTIFS(TRT_RISK,A30,TRT_OPEN,"Open")&amp;" open; "&amp;COUNTIFS(TRT_RISK,A30,TRT_OVERDUE,"Overdue")&amp;" overdue"))</f>
        <v/>
      </c>
      <c r="AE30" s="51"/>
      <c r="AF30" s="51"/>
      <c r="AG30" s="54" t="str">
        <f aca="false">IF(A30="","",IF(AI30="","Complete","Incomplete: "&amp;AI30))</f>
        <v/>
      </c>
      <c r="AH30" s="54" t="str">
        <f aca="false">IF(A30="","",IF(COUNTIF(RSK_ID,A30)&gt;1,"CHECK: duplicate ID",IF(B30="","CHECK: Supplier ID missing",IF(COUNTIF(INV_ID,B30)=0,"CHECK: Supplier ID not in inventory",IF(AND(ISNUMBER(R30),ISNUMBER(L30),R30&gt;L30),"CHECK: residual score exceeds inherent - confirm",IF(AND(ISNUMBER(AF30),AF30&lt;AsOf),"Review overdue (administrative)","OK"))))))</f>
        <v/>
      </c>
      <c r="AI30" s="52" t="str">
        <f aca="false">IF(A30="","",IF(I30="","risk owner; ","")&amp;IF(OR(J30="",K30=""),"inherent rating; ","")&amp;IF(N30="","inherent rationale; ","")&amp;IF(OR(P30="",Q30=""),"residual rating; ","")&amp;IF(AND(OR(P30&lt;&gt;"",Q30&lt;&gt;""),T30=""),"residual rationale; ","")&amp;IF(AND(OR(P30&lt;&gt;"",Q30&lt;&gt;""),U30=""),"assessment confidence; ","")&amp;IF(AE30="","assessment date; ",""))</f>
        <v/>
      </c>
      <c r="AJ30" s="52" t="str">
        <f aca="false">IF(OR(A30="",B30=""),"",IF(B30=RptSup,B30&amp;"|"&amp;COUNTIF($B$7:B30,B30),""))</f>
        <v/>
      </c>
    </row>
    <row r="31" customFormat="false" ht="15" hidden="false" customHeight="false" outlineLevel="0" collapsed="false">
      <c r="A31" s="50"/>
      <c r="B31" s="50"/>
      <c r="C31" s="59" t="str">
        <f aca="false">IF(B31="","",IFERROR(INDEX(INV_NAME,MATCH(B31,INV_ID,0)),"CHECK: Supplier ID not found"))</f>
        <v/>
      </c>
      <c r="D31" s="34"/>
      <c r="E31" s="34"/>
      <c r="F31" s="34"/>
      <c r="G31" s="34"/>
      <c r="H31" s="34"/>
      <c r="I31" s="34"/>
      <c r="J31" s="50"/>
      <c r="K31" s="50"/>
      <c r="L31" s="52" t="str">
        <f aca="false">IF(A31="","",IF(AND(ISNUMBER(J31),ISNUMBER(K31),J31&gt;=1,J31&lt;=5,K31&gt;=1,K31&lt;=5),J31*K31,"Incomplete"))</f>
        <v/>
      </c>
      <c r="M31" s="52" t="str">
        <f aca="false">IF(A31="","",IF(ISNUMBER(L31),LOOKUP(L31,BandMin,BandName),"Incomplete"))</f>
        <v/>
      </c>
      <c r="N31" s="34"/>
      <c r="O31" s="34"/>
      <c r="P31" s="50"/>
      <c r="Q31" s="50"/>
      <c r="R31" s="61" t="str">
        <f aca="false">IF(A31="","",IF(AND(ISNUMBER(P31),ISNUMBER(Q31),P31&gt;=1,P31&lt;=5,Q31&gt;=1,Q31&lt;=5),P31*Q31,"Incomplete"))</f>
        <v/>
      </c>
      <c r="S31" s="52" t="str">
        <f aca="false">IF(A31="","",IF(ISNUMBER(R31),LOOKUP(R31,BandMin,BandName),"Incomplete"))</f>
        <v/>
      </c>
      <c r="T31" s="34"/>
      <c r="U31" s="50"/>
      <c r="V31" s="50"/>
      <c r="W31" s="50"/>
      <c r="X31" s="52" t="str">
        <f aca="false">IF(A31="","",IF(AND(V31="",W31=""),"Not set",IF(AND(ISNUMBER(V31),ISNUMBER(W31),V31&gt;=1,V31&lt;=5,W31&gt;=1,W31&lt;=5),V31*W31,"Incomplete")))</f>
        <v/>
      </c>
      <c r="Y31" s="52" t="str">
        <f aca="false">IF(A31="","",IF(X31="Not set","Not set",IF(ISNUMBER(X31),LOOKUP(X31,BandMin,BandName),"Incomplete")))</f>
        <v/>
      </c>
      <c r="Z31" s="34"/>
      <c r="AA31" s="54" t="str">
        <f aca="false">IF(A31="","",IF(AppetiteThreshold="","Not configured",IF(NOT(ISNUMBER(R31)),"Cannot assess - residual incomplete",IF(MATCH(S31,BandName,0)&gt;=MATCH(AppetiteThreshold,BandName,0),"Above appetite - escalation required","Within appetite"))))</f>
        <v/>
      </c>
      <c r="AB31" s="50"/>
      <c r="AC31" s="54" t="str">
        <f aca="false">IF(A31="","",IF(AB31="","No decision referenced",IFERROR(INDEX(DEC_FINAL,MATCH(AB31,DEC_ID,0))&amp;" - "&amp;INDEX(DEC_CURR,MATCH(AB31,DEC_ID,0)),"CHECK: Decision ID not found")))</f>
        <v/>
      </c>
      <c r="AD31" s="54" t="str">
        <f aca="false">IF(A31="","",IF(COUNTIF(TRT_RISK,A31)=0,"No treatment recorded",COUNTIF(TRT_RISK,A31)&amp;" action(s); "&amp;COUNTIFS(TRT_RISK,A31,TRT_OPEN,"Open")&amp;" open; "&amp;COUNTIFS(TRT_RISK,A31,TRT_OVERDUE,"Overdue")&amp;" overdue"))</f>
        <v/>
      </c>
      <c r="AE31" s="51"/>
      <c r="AF31" s="51"/>
      <c r="AG31" s="54" t="str">
        <f aca="false">IF(A31="","",IF(AI31="","Complete","Incomplete: "&amp;AI31))</f>
        <v/>
      </c>
      <c r="AH31" s="54" t="str">
        <f aca="false">IF(A31="","",IF(COUNTIF(RSK_ID,A31)&gt;1,"CHECK: duplicate ID",IF(B31="","CHECK: Supplier ID missing",IF(COUNTIF(INV_ID,B31)=0,"CHECK: Supplier ID not in inventory",IF(AND(ISNUMBER(R31),ISNUMBER(L31),R31&gt;L31),"CHECK: residual score exceeds inherent - confirm",IF(AND(ISNUMBER(AF31),AF31&lt;AsOf),"Review overdue (administrative)","OK"))))))</f>
        <v/>
      </c>
      <c r="AI31" s="52" t="str">
        <f aca="false">IF(A31="","",IF(I31="","risk owner; ","")&amp;IF(OR(J31="",K31=""),"inherent rating; ","")&amp;IF(N31="","inherent rationale; ","")&amp;IF(OR(P31="",Q31=""),"residual rating; ","")&amp;IF(AND(OR(P31&lt;&gt;"",Q31&lt;&gt;""),T31=""),"residual rationale; ","")&amp;IF(AND(OR(P31&lt;&gt;"",Q31&lt;&gt;""),U31=""),"assessment confidence; ","")&amp;IF(AE31="","assessment date; ",""))</f>
        <v/>
      </c>
      <c r="AJ31" s="52" t="str">
        <f aca="false">IF(OR(A31="",B31=""),"",IF(B31=RptSup,B31&amp;"|"&amp;COUNTIF($B$7:B31,B31),""))</f>
        <v/>
      </c>
    </row>
    <row r="32" customFormat="false" ht="15" hidden="false" customHeight="false" outlineLevel="0" collapsed="false">
      <c r="A32" s="50"/>
      <c r="B32" s="50"/>
      <c r="C32" s="59" t="str">
        <f aca="false">IF(B32="","",IFERROR(INDEX(INV_NAME,MATCH(B32,INV_ID,0)),"CHECK: Supplier ID not found"))</f>
        <v/>
      </c>
      <c r="D32" s="34"/>
      <c r="E32" s="34"/>
      <c r="F32" s="34"/>
      <c r="G32" s="34"/>
      <c r="H32" s="34"/>
      <c r="I32" s="34"/>
      <c r="J32" s="50"/>
      <c r="K32" s="50"/>
      <c r="L32" s="52" t="str">
        <f aca="false">IF(A32="","",IF(AND(ISNUMBER(J32),ISNUMBER(K32),J32&gt;=1,J32&lt;=5,K32&gt;=1,K32&lt;=5),J32*K32,"Incomplete"))</f>
        <v/>
      </c>
      <c r="M32" s="52" t="str">
        <f aca="false">IF(A32="","",IF(ISNUMBER(L32),LOOKUP(L32,BandMin,BandName),"Incomplete"))</f>
        <v/>
      </c>
      <c r="N32" s="34"/>
      <c r="O32" s="34"/>
      <c r="P32" s="50"/>
      <c r="Q32" s="50"/>
      <c r="R32" s="61" t="str">
        <f aca="false">IF(A32="","",IF(AND(ISNUMBER(P32),ISNUMBER(Q32),P32&gt;=1,P32&lt;=5,Q32&gt;=1,Q32&lt;=5),P32*Q32,"Incomplete"))</f>
        <v/>
      </c>
      <c r="S32" s="52" t="str">
        <f aca="false">IF(A32="","",IF(ISNUMBER(R32),LOOKUP(R32,BandMin,BandName),"Incomplete"))</f>
        <v/>
      </c>
      <c r="T32" s="34"/>
      <c r="U32" s="50"/>
      <c r="V32" s="50"/>
      <c r="W32" s="50"/>
      <c r="X32" s="52" t="str">
        <f aca="false">IF(A32="","",IF(AND(V32="",W32=""),"Not set",IF(AND(ISNUMBER(V32),ISNUMBER(W32),V32&gt;=1,V32&lt;=5,W32&gt;=1,W32&lt;=5),V32*W32,"Incomplete")))</f>
        <v/>
      </c>
      <c r="Y32" s="52" t="str">
        <f aca="false">IF(A32="","",IF(X32="Not set","Not set",IF(ISNUMBER(X32),LOOKUP(X32,BandMin,BandName),"Incomplete")))</f>
        <v/>
      </c>
      <c r="Z32" s="34"/>
      <c r="AA32" s="54" t="str">
        <f aca="false">IF(A32="","",IF(AppetiteThreshold="","Not configured",IF(NOT(ISNUMBER(R32)),"Cannot assess - residual incomplete",IF(MATCH(S32,BandName,0)&gt;=MATCH(AppetiteThreshold,BandName,0),"Above appetite - escalation required","Within appetite"))))</f>
        <v/>
      </c>
      <c r="AB32" s="50"/>
      <c r="AC32" s="54" t="str">
        <f aca="false">IF(A32="","",IF(AB32="","No decision referenced",IFERROR(INDEX(DEC_FINAL,MATCH(AB32,DEC_ID,0))&amp;" - "&amp;INDEX(DEC_CURR,MATCH(AB32,DEC_ID,0)),"CHECK: Decision ID not found")))</f>
        <v/>
      </c>
      <c r="AD32" s="54" t="str">
        <f aca="false">IF(A32="","",IF(COUNTIF(TRT_RISK,A32)=0,"No treatment recorded",COUNTIF(TRT_RISK,A32)&amp;" action(s); "&amp;COUNTIFS(TRT_RISK,A32,TRT_OPEN,"Open")&amp;" open; "&amp;COUNTIFS(TRT_RISK,A32,TRT_OVERDUE,"Overdue")&amp;" overdue"))</f>
        <v/>
      </c>
      <c r="AE32" s="51"/>
      <c r="AF32" s="51"/>
      <c r="AG32" s="54" t="str">
        <f aca="false">IF(A32="","",IF(AI32="","Complete","Incomplete: "&amp;AI32))</f>
        <v/>
      </c>
      <c r="AH32" s="54" t="str">
        <f aca="false">IF(A32="","",IF(COUNTIF(RSK_ID,A32)&gt;1,"CHECK: duplicate ID",IF(B32="","CHECK: Supplier ID missing",IF(COUNTIF(INV_ID,B32)=0,"CHECK: Supplier ID not in inventory",IF(AND(ISNUMBER(R32),ISNUMBER(L32),R32&gt;L32),"CHECK: residual score exceeds inherent - confirm",IF(AND(ISNUMBER(AF32),AF32&lt;AsOf),"Review overdue (administrative)","OK"))))))</f>
        <v/>
      </c>
      <c r="AI32" s="52" t="str">
        <f aca="false">IF(A32="","",IF(I32="","risk owner; ","")&amp;IF(OR(J32="",K32=""),"inherent rating; ","")&amp;IF(N32="","inherent rationale; ","")&amp;IF(OR(P32="",Q32=""),"residual rating; ","")&amp;IF(AND(OR(P32&lt;&gt;"",Q32&lt;&gt;""),T32=""),"residual rationale; ","")&amp;IF(AND(OR(P32&lt;&gt;"",Q32&lt;&gt;""),U32=""),"assessment confidence; ","")&amp;IF(AE32="","assessment date; ",""))</f>
        <v/>
      </c>
      <c r="AJ32" s="52" t="str">
        <f aca="false">IF(OR(A32="",B32=""),"",IF(B32=RptSup,B32&amp;"|"&amp;COUNTIF($B$7:B32,B32),""))</f>
        <v/>
      </c>
    </row>
    <row r="33" customFormat="false" ht="15" hidden="false" customHeight="false" outlineLevel="0" collapsed="false">
      <c r="A33" s="50"/>
      <c r="B33" s="50"/>
      <c r="C33" s="59" t="str">
        <f aca="false">IF(B33="","",IFERROR(INDEX(INV_NAME,MATCH(B33,INV_ID,0)),"CHECK: Supplier ID not found"))</f>
        <v/>
      </c>
      <c r="D33" s="34"/>
      <c r="E33" s="34"/>
      <c r="F33" s="34"/>
      <c r="G33" s="34"/>
      <c r="H33" s="34"/>
      <c r="I33" s="34"/>
      <c r="J33" s="50"/>
      <c r="K33" s="50"/>
      <c r="L33" s="52" t="str">
        <f aca="false">IF(A33="","",IF(AND(ISNUMBER(J33),ISNUMBER(K33),J33&gt;=1,J33&lt;=5,K33&gt;=1,K33&lt;=5),J33*K33,"Incomplete"))</f>
        <v/>
      </c>
      <c r="M33" s="52" t="str">
        <f aca="false">IF(A33="","",IF(ISNUMBER(L33),LOOKUP(L33,BandMin,BandName),"Incomplete"))</f>
        <v/>
      </c>
      <c r="N33" s="34"/>
      <c r="O33" s="34"/>
      <c r="P33" s="50"/>
      <c r="Q33" s="50"/>
      <c r="R33" s="61" t="str">
        <f aca="false">IF(A33="","",IF(AND(ISNUMBER(P33),ISNUMBER(Q33),P33&gt;=1,P33&lt;=5,Q33&gt;=1,Q33&lt;=5),P33*Q33,"Incomplete"))</f>
        <v/>
      </c>
      <c r="S33" s="52" t="str">
        <f aca="false">IF(A33="","",IF(ISNUMBER(R33),LOOKUP(R33,BandMin,BandName),"Incomplete"))</f>
        <v/>
      </c>
      <c r="T33" s="34"/>
      <c r="U33" s="50"/>
      <c r="V33" s="50"/>
      <c r="W33" s="50"/>
      <c r="X33" s="52" t="str">
        <f aca="false">IF(A33="","",IF(AND(V33="",W33=""),"Not set",IF(AND(ISNUMBER(V33),ISNUMBER(W33),V33&gt;=1,V33&lt;=5,W33&gt;=1,W33&lt;=5),V33*W33,"Incomplete")))</f>
        <v/>
      </c>
      <c r="Y33" s="52" t="str">
        <f aca="false">IF(A33="","",IF(X33="Not set","Not set",IF(ISNUMBER(X33),LOOKUP(X33,BandMin,BandName),"Incomplete")))</f>
        <v/>
      </c>
      <c r="Z33" s="34"/>
      <c r="AA33" s="54" t="str">
        <f aca="false">IF(A33="","",IF(AppetiteThreshold="","Not configured",IF(NOT(ISNUMBER(R33)),"Cannot assess - residual incomplete",IF(MATCH(S33,BandName,0)&gt;=MATCH(AppetiteThreshold,BandName,0),"Above appetite - escalation required","Within appetite"))))</f>
        <v/>
      </c>
      <c r="AB33" s="50"/>
      <c r="AC33" s="54" t="str">
        <f aca="false">IF(A33="","",IF(AB33="","No decision referenced",IFERROR(INDEX(DEC_FINAL,MATCH(AB33,DEC_ID,0))&amp;" - "&amp;INDEX(DEC_CURR,MATCH(AB33,DEC_ID,0)),"CHECK: Decision ID not found")))</f>
        <v/>
      </c>
      <c r="AD33" s="54" t="str">
        <f aca="false">IF(A33="","",IF(COUNTIF(TRT_RISK,A33)=0,"No treatment recorded",COUNTIF(TRT_RISK,A33)&amp;" action(s); "&amp;COUNTIFS(TRT_RISK,A33,TRT_OPEN,"Open")&amp;" open; "&amp;COUNTIFS(TRT_RISK,A33,TRT_OVERDUE,"Overdue")&amp;" overdue"))</f>
        <v/>
      </c>
      <c r="AE33" s="51"/>
      <c r="AF33" s="51"/>
      <c r="AG33" s="54" t="str">
        <f aca="false">IF(A33="","",IF(AI33="","Complete","Incomplete: "&amp;AI33))</f>
        <v/>
      </c>
      <c r="AH33" s="54" t="str">
        <f aca="false">IF(A33="","",IF(COUNTIF(RSK_ID,A33)&gt;1,"CHECK: duplicate ID",IF(B33="","CHECK: Supplier ID missing",IF(COUNTIF(INV_ID,B33)=0,"CHECK: Supplier ID not in inventory",IF(AND(ISNUMBER(R33),ISNUMBER(L33),R33&gt;L33),"CHECK: residual score exceeds inherent - confirm",IF(AND(ISNUMBER(AF33),AF33&lt;AsOf),"Review overdue (administrative)","OK"))))))</f>
        <v/>
      </c>
      <c r="AI33" s="52" t="str">
        <f aca="false">IF(A33="","",IF(I33="","risk owner; ","")&amp;IF(OR(J33="",K33=""),"inherent rating; ","")&amp;IF(N33="","inherent rationale; ","")&amp;IF(OR(P33="",Q33=""),"residual rating; ","")&amp;IF(AND(OR(P33&lt;&gt;"",Q33&lt;&gt;""),T33=""),"residual rationale; ","")&amp;IF(AND(OR(P33&lt;&gt;"",Q33&lt;&gt;""),U33=""),"assessment confidence; ","")&amp;IF(AE33="","assessment date; ",""))</f>
        <v/>
      </c>
      <c r="AJ33" s="52" t="str">
        <f aca="false">IF(OR(A33="",B33=""),"",IF(B33=RptSup,B33&amp;"|"&amp;COUNTIF($B$7:B33,B33),""))</f>
        <v/>
      </c>
    </row>
    <row r="34" customFormat="false" ht="15" hidden="false" customHeight="false" outlineLevel="0" collapsed="false">
      <c r="A34" s="50"/>
      <c r="B34" s="50"/>
      <c r="C34" s="59" t="str">
        <f aca="false">IF(B34="","",IFERROR(INDEX(INV_NAME,MATCH(B34,INV_ID,0)),"CHECK: Supplier ID not found"))</f>
        <v/>
      </c>
      <c r="D34" s="34"/>
      <c r="E34" s="34"/>
      <c r="F34" s="34"/>
      <c r="G34" s="34"/>
      <c r="H34" s="34"/>
      <c r="I34" s="34"/>
      <c r="J34" s="50"/>
      <c r="K34" s="50"/>
      <c r="L34" s="52" t="str">
        <f aca="false">IF(A34="","",IF(AND(ISNUMBER(J34),ISNUMBER(K34),J34&gt;=1,J34&lt;=5,K34&gt;=1,K34&lt;=5),J34*K34,"Incomplete"))</f>
        <v/>
      </c>
      <c r="M34" s="52" t="str">
        <f aca="false">IF(A34="","",IF(ISNUMBER(L34),LOOKUP(L34,BandMin,BandName),"Incomplete"))</f>
        <v/>
      </c>
      <c r="N34" s="34"/>
      <c r="O34" s="34"/>
      <c r="P34" s="50"/>
      <c r="Q34" s="50"/>
      <c r="R34" s="61" t="str">
        <f aca="false">IF(A34="","",IF(AND(ISNUMBER(P34),ISNUMBER(Q34),P34&gt;=1,P34&lt;=5,Q34&gt;=1,Q34&lt;=5),P34*Q34,"Incomplete"))</f>
        <v/>
      </c>
      <c r="S34" s="52" t="str">
        <f aca="false">IF(A34="","",IF(ISNUMBER(R34),LOOKUP(R34,BandMin,BandName),"Incomplete"))</f>
        <v/>
      </c>
      <c r="T34" s="34"/>
      <c r="U34" s="50"/>
      <c r="V34" s="50"/>
      <c r="W34" s="50"/>
      <c r="X34" s="52" t="str">
        <f aca="false">IF(A34="","",IF(AND(V34="",W34=""),"Not set",IF(AND(ISNUMBER(V34),ISNUMBER(W34),V34&gt;=1,V34&lt;=5,W34&gt;=1,W34&lt;=5),V34*W34,"Incomplete")))</f>
        <v/>
      </c>
      <c r="Y34" s="52" t="str">
        <f aca="false">IF(A34="","",IF(X34="Not set","Not set",IF(ISNUMBER(X34),LOOKUP(X34,BandMin,BandName),"Incomplete")))</f>
        <v/>
      </c>
      <c r="Z34" s="34"/>
      <c r="AA34" s="54" t="str">
        <f aca="false">IF(A34="","",IF(AppetiteThreshold="","Not configured",IF(NOT(ISNUMBER(R34)),"Cannot assess - residual incomplete",IF(MATCH(S34,BandName,0)&gt;=MATCH(AppetiteThreshold,BandName,0),"Above appetite - escalation required","Within appetite"))))</f>
        <v/>
      </c>
      <c r="AB34" s="50"/>
      <c r="AC34" s="54" t="str">
        <f aca="false">IF(A34="","",IF(AB34="","No decision referenced",IFERROR(INDEX(DEC_FINAL,MATCH(AB34,DEC_ID,0))&amp;" - "&amp;INDEX(DEC_CURR,MATCH(AB34,DEC_ID,0)),"CHECK: Decision ID not found")))</f>
        <v/>
      </c>
      <c r="AD34" s="54" t="str">
        <f aca="false">IF(A34="","",IF(COUNTIF(TRT_RISK,A34)=0,"No treatment recorded",COUNTIF(TRT_RISK,A34)&amp;" action(s); "&amp;COUNTIFS(TRT_RISK,A34,TRT_OPEN,"Open")&amp;" open; "&amp;COUNTIFS(TRT_RISK,A34,TRT_OVERDUE,"Overdue")&amp;" overdue"))</f>
        <v/>
      </c>
      <c r="AE34" s="51"/>
      <c r="AF34" s="51"/>
      <c r="AG34" s="54" t="str">
        <f aca="false">IF(A34="","",IF(AI34="","Complete","Incomplete: "&amp;AI34))</f>
        <v/>
      </c>
      <c r="AH34" s="54" t="str">
        <f aca="false">IF(A34="","",IF(COUNTIF(RSK_ID,A34)&gt;1,"CHECK: duplicate ID",IF(B34="","CHECK: Supplier ID missing",IF(COUNTIF(INV_ID,B34)=0,"CHECK: Supplier ID not in inventory",IF(AND(ISNUMBER(R34),ISNUMBER(L34),R34&gt;L34),"CHECK: residual score exceeds inherent - confirm",IF(AND(ISNUMBER(AF34),AF34&lt;AsOf),"Review overdue (administrative)","OK"))))))</f>
        <v/>
      </c>
      <c r="AI34" s="52" t="str">
        <f aca="false">IF(A34="","",IF(I34="","risk owner; ","")&amp;IF(OR(J34="",K34=""),"inherent rating; ","")&amp;IF(N34="","inherent rationale; ","")&amp;IF(OR(P34="",Q34=""),"residual rating; ","")&amp;IF(AND(OR(P34&lt;&gt;"",Q34&lt;&gt;""),T34=""),"residual rationale; ","")&amp;IF(AND(OR(P34&lt;&gt;"",Q34&lt;&gt;""),U34=""),"assessment confidence; ","")&amp;IF(AE34="","assessment date; ",""))</f>
        <v/>
      </c>
      <c r="AJ34" s="52" t="str">
        <f aca="false">IF(OR(A34="",B34=""),"",IF(B34=RptSup,B34&amp;"|"&amp;COUNTIF($B$7:B34,B34),""))</f>
        <v/>
      </c>
    </row>
    <row r="35" customFormat="false" ht="15" hidden="false" customHeight="false" outlineLevel="0" collapsed="false">
      <c r="A35" s="50"/>
      <c r="B35" s="50"/>
      <c r="C35" s="59" t="str">
        <f aca="false">IF(B35="","",IFERROR(INDEX(INV_NAME,MATCH(B35,INV_ID,0)),"CHECK: Supplier ID not found"))</f>
        <v/>
      </c>
      <c r="D35" s="34"/>
      <c r="E35" s="34"/>
      <c r="F35" s="34"/>
      <c r="G35" s="34"/>
      <c r="H35" s="34"/>
      <c r="I35" s="34"/>
      <c r="J35" s="50"/>
      <c r="K35" s="50"/>
      <c r="L35" s="52" t="str">
        <f aca="false">IF(A35="","",IF(AND(ISNUMBER(J35),ISNUMBER(K35),J35&gt;=1,J35&lt;=5,K35&gt;=1,K35&lt;=5),J35*K35,"Incomplete"))</f>
        <v/>
      </c>
      <c r="M35" s="52" t="str">
        <f aca="false">IF(A35="","",IF(ISNUMBER(L35),LOOKUP(L35,BandMin,BandName),"Incomplete"))</f>
        <v/>
      </c>
      <c r="N35" s="34"/>
      <c r="O35" s="34"/>
      <c r="P35" s="50"/>
      <c r="Q35" s="50"/>
      <c r="R35" s="61" t="str">
        <f aca="false">IF(A35="","",IF(AND(ISNUMBER(P35),ISNUMBER(Q35),P35&gt;=1,P35&lt;=5,Q35&gt;=1,Q35&lt;=5),P35*Q35,"Incomplete"))</f>
        <v/>
      </c>
      <c r="S35" s="52" t="str">
        <f aca="false">IF(A35="","",IF(ISNUMBER(R35),LOOKUP(R35,BandMin,BandName),"Incomplete"))</f>
        <v/>
      </c>
      <c r="T35" s="34"/>
      <c r="U35" s="50"/>
      <c r="V35" s="50"/>
      <c r="W35" s="50"/>
      <c r="X35" s="52" t="str">
        <f aca="false">IF(A35="","",IF(AND(V35="",W35=""),"Not set",IF(AND(ISNUMBER(V35),ISNUMBER(W35),V35&gt;=1,V35&lt;=5,W35&gt;=1,W35&lt;=5),V35*W35,"Incomplete")))</f>
        <v/>
      </c>
      <c r="Y35" s="52" t="str">
        <f aca="false">IF(A35="","",IF(X35="Not set","Not set",IF(ISNUMBER(X35),LOOKUP(X35,BandMin,BandName),"Incomplete")))</f>
        <v/>
      </c>
      <c r="Z35" s="34"/>
      <c r="AA35" s="54" t="str">
        <f aca="false">IF(A35="","",IF(AppetiteThreshold="","Not configured",IF(NOT(ISNUMBER(R35)),"Cannot assess - residual incomplete",IF(MATCH(S35,BandName,0)&gt;=MATCH(AppetiteThreshold,BandName,0),"Above appetite - escalation required","Within appetite"))))</f>
        <v/>
      </c>
      <c r="AB35" s="50"/>
      <c r="AC35" s="54" t="str">
        <f aca="false">IF(A35="","",IF(AB35="","No decision referenced",IFERROR(INDEX(DEC_FINAL,MATCH(AB35,DEC_ID,0))&amp;" - "&amp;INDEX(DEC_CURR,MATCH(AB35,DEC_ID,0)),"CHECK: Decision ID not found")))</f>
        <v/>
      </c>
      <c r="AD35" s="54" t="str">
        <f aca="false">IF(A35="","",IF(COUNTIF(TRT_RISK,A35)=0,"No treatment recorded",COUNTIF(TRT_RISK,A35)&amp;" action(s); "&amp;COUNTIFS(TRT_RISK,A35,TRT_OPEN,"Open")&amp;" open; "&amp;COUNTIFS(TRT_RISK,A35,TRT_OVERDUE,"Overdue")&amp;" overdue"))</f>
        <v/>
      </c>
      <c r="AE35" s="51"/>
      <c r="AF35" s="51"/>
      <c r="AG35" s="54" t="str">
        <f aca="false">IF(A35="","",IF(AI35="","Complete","Incomplete: "&amp;AI35))</f>
        <v/>
      </c>
      <c r="AH35" s="54" t="str">
        <f aca="false">IF(A35="","",IF(COUNTIF(RSK_ID,A35)&gt;1,"CHECK: duplicate ID",IF(B35="","CHECK: Supplier ID missing",IF(COUNTIF(INV_ID,B35)=0,"CHECK: Supplier ID not in inventory",IF(AND(ISNUMBER(R35),ISNUMBER(L35),R35&gt;L35),"CHECK: residual score exceeds inherent - confirm",IF(AND(ISNUMBER(AF35),AF35&lt;AsOf),"Review overdue (administrative)","OK"))))))</f>
        <v/>
      </c>
      <c r="AI35" s="52" t="str">
        <f aca="false">IF(A35="","",IF(I35="","risk owner; ","")&amp;IF(OR(J35="",K35=""),"inherent rating; ","")&amp;IF(N35="","inherent rationale; ","")&amp;IF(OR(P35="",Q35=""),"residual rating; ","")&amp;IF(AND(OR(P35&lt;&gt;"",Q35&lt;&gt;""),T35=""),"residual rationale; ","")&amp;IF(AND(OR(P35&lt;&gt;"",Q35&lt;&gt;""),U35=""),"assessment confidence; ","")&amp;IF(AE35="","assessment date; ",""))</f>
        <v/>
      </c>
      <c r="AJ35" s="52" t="str">
        <f aca="false">IF(OR(A35="",B35=""),"",IF(B35=RptSup,B35&amp;"|"&amp;COUNTIF($B$7:B35,B35),""))</f>
        <v/>
      </c>
    </row>
    <row r="36" customFormat="false" ht="15" hidden="false" customHeight="false" outlineLevel="0" collapsed="false">
      <c r="A36" s="50"/>
      <c r="B36" s="50"/>
      <c r="C36" s="59" t="str">
        <f aca="false">IF(B36="","",IFERROR(INDEX(INV_NAME,MATCH(B36,INV_ID,0)),"CHECK: Supplier ID not found"))</f>
        <v/>
      </c>
      <c r="D36" s="34"/>
      <c r="E36" s="34"/>
      <c r="F36" s="34"/>
      <c r="G36" s="34"/>
      <c r="H36" s="34"/>
      <c r="I36" s="34"/>
      <c r="J36" s="50"/>
      <c r="K36" s="50"/>
      <c r="L36" s="52" t="str">
        <f aca="false">IF(A36="","",IF(AND(ISNUMBER(J36),ISNUMBER(K36),J36&gt;=1,J36&lt;=5,K36&gt;=1,K36&lt;=5),J36*K36,"Incomplete"))</f>
        <v/>
      </c>
      <c r="M36" s="52" t="str">
        <f aca="false">IF(A36="","",IF(ISNUMBER(L36),LOOKUP(L36,BandMin,BandName),"Incomplete"))</f>
        <v/>
      </c>
      <c r="N36" s="34"/>
      <c r="O36" s="34"/>
      <c r="P36" s="50"/>
      <c r="Q36" s="50"/>
      <c r="R36" s="61" t="str">
        <f aca="false">IF(A36="","",IF(AND(ISNUMBER(P36),ISNUMBER(Q36),P36&gt;=1,P36&lt;=5,Q36&gt;=1,Q36&lt;=5),P36*Q36,"Incomplete"))</f>
        <v/>
      </c>
      <c r="S36" s="52" t="str">
        <f aca="false">IF(A36="","",IF(ISNUMBER(R36),LOOKUP(R36,BandMin,BandName),"Incomplete"))</f>
        <v/>
      </c>
      <c r="T36" s="34"/>
      <c r="U36" s="50"/>
      <c r="V36" s="50"/>
      <c r="W36" s="50"/>
      <c r="X36" s="52" t="str">
        <f aca="false">IF(A36="","",IF(AND(V36="",W36=""),"Not set",IF(AND(ISNUMBER(V36),ISNUMBER(W36),V36&gt;=1,V36&lt;=5,W36&gt;=1,W36&lt;=5),V36*W36,"Incomplete")))</f>
        <v/>
      </c>
      <c r="Y36" s="52" t="str">
        <f aca="false">IF(A36="","",IF(X36="Not set","Not set",IF(ISNUMBER(X36),LOOKUP(X36,BandMin,BandName),"Incomplete")))</f>
        <v/>
      </c>
      <c r="Z36" s="34"/>
      <c r="AA36" s="54" t="str">
        <f aca="false">IF(A36="","",IF(AppetiteThreshold="","Not configured",IF(NOT(ISNUMBER(R36)),"Cannot assess - residual incomplete",IF(MATCH(S36,BandName,0)&gt;=MATCH(AppetiteThreshold,BandName,0),"Above appetite - escalation required","Within appetite"))))</f>
        <v/>
      </c>
      <c r="AB36" s="50"/>
      <c r="AC36" s="54" t="str">
        <f aca="false">IF(A36="","",IF(AB36="","No decision referenced",IFERROR(INDEX(DEC_FINAL,MATCH(AB36,DEC_ID,0))&amp;" - "&amp;INDEX(DEC_CURR,MATCH(AB36,DEC_ID,0)),"CHECK: Decision ID not found")))</f>
        <v/>
      </c>
      <c r="AD36" s="54" t="str">
        <f aca="false">IF(A36="","",IF(COUNTIF(TRT_RISK,A36)=0,"No treatment recorded",COUNTIF(TRT_RISK,A36)&amp;" action(s); "&amp;COUNTIFS(TRT_RISK,A36,TRT_OPEN,"Open")&amp;" open; "&amp;COUNTIFS(TRT_RISK,A36,TRT_OVERDUE,"Overdue")&amp;" overdue"))</f>
        <v/>
      </c>
      <c r="AE36" s="51"/>
      <c r="AF36" s="51"/>
      <c r="AG36" s="54" t="str">
        <f aca="false">IF(A36="","",IF(AI36="","Complete","Incomplete: "&amp;AI36))</f>
        <v/>
      </c>
      <c r="AH36" s="54" t="str">
        <f aca="false">IF(A36="","",IF(COUNTIF(RSK_ID,A36)&gt;1,"CHECK: duplicate ID",IF(B36="","CHECK: Supplier ID missing",IF(COUNTIF(INV_ID,B36)=0,"CHECK: Supplier ID not in inventory",IF(AND(ISNUMBER(R36),ISNUMBER(L36),R36&gt;L36),"CHECK: residual score exceeds inherent - confirm",IF(AND(ISNUMBER(AF36),AF36&lt;AsOf),"Review overdue (administrative)","OK"))))))</f>
        <v/>
      </c>
      <c r="AI36" s="52" t="str">
        <f aca="false">IF(A36="","",IF(I36="","risk owner; ","")&amp;IF(OR(J36="",K36=""),"inherent rating; ","")&amp;IF(N36="","inherent rationale; ","")&amp;IF(OR(P36="",Q36=""),"residual rating; ","")&amp;IF(AND(OR(P36&lt;&gt;"",Q36&lt;&gt;""),T36=""),"residual rationale; ","")&amp;IF(AND(OR(P36&lt;&gt;"",Q36&lt;&gt;""),U36=""),"assessment confidence; ","")&amp;IF(AE36="","assessment date; ",""))</f>
        <v/>
      </c>
      <c r="AJ36" s="52" t="str">
        <f aca="false">IF(OR(A36="",B36=""),"",IF(B36=RptSup,B36&amp;"|"&amp;COUNTIF($B$7:B36,B36),""))</f>
        <v/>
      </c>
    </row>
    <row r="37" customFormat="false" ht="15" hidden="false" customHeight="false" outlineLevel="0" collapsed="false">
      <c r="A37" s="50"/>
      <c r="B37" s="50"/>
      <c r="C37" s="59" t="str">
        <f aca="false">IF(B37="","",IFERROR(INDEX(INV_NAME,MATCH(B37,INV_ID,0)),"CHECK: Supplier ID not found"))</f>
        <v/>
      </c>
      <c r="D37" s="34"/>
      <c r="E37" s="34"/>
      <c r="F37" s="34"/>
      <c r="G37" s="34"/>
      <c r="H37" s="34"/>
      <c r="I37" s="34"/>
      <c r="J37" s="50"/>
      <c r="K37" s="50"/>
      <c r="L37" s="52" t="str">
        <f aca="false">IF(A37="","",IF(AND(ISNUMBER(J37),ISNUMBER(K37),J37&gt;=1,J37&lt;=5,K37&gt;=1,K37&lt;=5),J37*K37,"Incomplete"))</f>
        <v/>
      </c>
      <c r="M37" s="52" t="str">
        <f aca="false">IF(A37="","",IF(ISNUMBER(L37),LOOKUP(L37,BandMin,BandName),"Incomplete"))</f>
        <v/>
      </c>
      <c r="N37" s="34"/>
      <c r="O37" s="34"/>
      <c r="P37" s="50"/>
      <c r="Q37" s="50"/>
      <c r="R37" s="61" t="str">
        <f aca="false">IF(A37="","",IF(AND(ISNUMBER(P37),ISNUMBER(Q37),P37&gt;=1,P37&lt;=5,Q37&gt;=1,Q37&lt;=5),P37*Q37,"Incomplete"))</f>
        <v/>
      </c>
      <c r="S37" s="52" t="str">
        <f aca="false">IF(A37="","",IF(ISNUMBER(R37),LOOKUP(R37,BandMin,BandName),"Incomplete"))</f>
        <v/>
      </c>
      <c r="T37" s="34"/>
      <c r="U37" s="50"/>
      <c r="V37" s="50"/>
      <c r="W37" s="50"/>
      <c r="X37" s="52" t="str">
        <f aca="false">IF(A37="","",IF(AND(V37="",W37=""),"Not set",IF(AND(ISNUMBER(V37),ISNUMBER(W37),V37&gt;=1,V37&lt;=5,W37&gt;=1,W37&lt;=5),V37*W37,"Incomplete")))</f>
        <v/>
      </c>
      <c r="Y37" s="52" t="str">
        <f aca="false">IF(A37="","",IF(X37="Not set","Not set",IF(ISNUMBER(X37),LOOKUP(X37,BandMin,BandName),"Incomplete")))</f>
        <v/>
      </c>
      <c r="Z37" s="34"/>
      <c r="AA37" s="54" t="str">
        <f aca="false">IF(A37="","",IF(AppetiteThreshold="","Not configured",IF(NOT(ISNUMBER(R37)),"Cannot assess - residual incomplete",IF(MATCH(S37,BandName,0)&gt;=MATCH(AppetiteThreshold,BandName,0),"Above appetite - escalation required","Within appetite"))))</f>
        <v/>
      </c>
      <c r="AB37" s="50"/>
      <c r="AC37" s="54" t="str">
        <f aca="false">IF(A37="","",IF(AB37="","No decision referenced",IFERROR(INDEX(DEC_FINAL,MATCH(AB37,DEC_ID,0))&amp;" - "&amp;INDEX(DEC_CURR,MATCH(AB37,DEC_ID,0)),"CHECK: Decision ID not found")))</f>
        <v/>
      </c>
      <c r="AD37" s="54" t="str">
        <f aca="false">IF(A37="","",IF(COUNTIF(TRT_RISK,A37)=0,"No treatment recorded",COUNTIF(TRT_RISK,A37)&amp;" action(s); "&amp;COUNTIFS(TRT_RISK,A37,TRT_OPEN,"Open")&amp;" open; "&amp;COUNTIFS(TRT_RISK,A37,TRT_OVERDUE,"Overdue")&amp;" overdue"))</f>
        <v/>
      </c>
      <c r="AE37" s="51"/>
      <c r="AF37" s="51"/>
      <c r="AG37" s="54" t="str">
        <f aca="false">IF(A37="","",IF(AI37="","Complete","Incomplete: "&amp;AI37))</f>
        <v/>
      </c>
      <c r="AH37" s="54" t="str">
        <f aca="false">IF(A37="","",IF(COUNTIF(RSK_ID,A37)&gt;1,"CHECK: duplicate ID",IF(B37="","CHECK: Supplier ID missing",IF(COUNTIF(INV_ID,B37)=0,"CHECK: Supplier ID not in inventory",IF(AND(ISNUMBER(R37),ISNUMBER(L37),R37&gt;L37),"CHECK: residual score exceeds inherent - confirm",IF(AND(ISNUMBER(AF37),AF37&lt;AsOf),"Review overdue (administrative)","OK"))))))</f>
        <v/>
      </c>
      <c r="AI37" s="52" t="str">
        <f aca="false">IF(A37="","",IF(I37="","risk owner; ","")&amp;IF(OR(J37="",K37=""),"inherent rating; ","")&amp;IF(N37="","inherent rationale; ","")&amp;IF(OR(P37="",Q37=""),"residual rating; ","")&amp;IF(AND(OR(P37&lt;&gt;"",Q37&lt;&gt;""),T37=""),"residual rationale; ","")&amp;IF(AND(OR(P37&lt;&gt;"",Q37&lt;&gt;""),U37=""),"assessment confidence; ","")&amp;IF(AE37="","assessment date; ",""))</f>
        <v/>
      </c>
      <c r="AJ37" s="52" t="str">
        <f aca="false">IF(OR(A37="",B37=""),"",IF(B37=RptSup,B37&amp;"|"&amp;COUNTIF($B$7:B37,B37),""))</f>
        <v/>
      </c>
    </row>
    <row r="38" customFormat="false" ht="15" hidden="false" customHeight="false" outlineLevel="0" collapsed="false">
      <c r="A38" s="50"/>
      <c r="B38" s="50"/>
      <c r="C38" s="59" t="str">
        <f aca="false">IF(B38="","",IFERROR(INDEX(INV_NAME,MATCH(B38,INV_ID,0)),"CHECK: Supplier ID not found"))</f>
        <v/>
      </c>
      <c r="D38" s="34"/>
      <c r="E38" s="34"/>
      <c r="F38" s="34"/>
      <c r="G38" s="34"/>
      <c r="H38" s="34"/>
      <c r="I38" s="34"/>
      <c r="J38" s="50"/>
      <c r="K38" s="50"/>
      <c r="L38" s="52" t="str">
        <f aca="false">IF(A38="","",IF(AND(ISNUMBER(J38),ISNUMBER(K38),J38&gt;=1,J38&lt;=5,K38&gt;=1,K38&lt;=5),J38*K38,"Incomplete"))</f>
        <v/>
      </c>
      <c r="M38" s="52" t="str">
        <f aca="false">IF(A38="","",IF(ISNUMBER(L38),LOOKUP(L38,BandMin,BandName),"Incomplete"))</f>
        <v/>
      </c>
      <c r="N38" s="34"/>
      <c r="O38" s="34"/>
      <c r="P38" s="50"/>
      <c r="Q38" s="50"/>
      <c r="R38" s="61" t="str">
        <f aca="false">IF(A38="","",IF(AND(ISNUMBER(P38),ISNUMBER(Q38),P38&gt;=1,P38&lt;=5,Q38&gt;=1,Q38&lt;=5),P38*Q38,"Incomplete"))</f>
        <v/>
      </c>
      <c r="S38" s="52" t="str">
        <f aca="false">IF(A38="","",IF(ISNUMBER(R38),LOOKUP(R38,BandMin,BandName),"Incomplete"))</f>
        <v/>
      </c>
      <c r="T38" s="34"/>
      <c r="U38" s="50"/>
      <c r="V38" s="50"/>
      <c r="W38" s="50"/>
      <c r="X38" s="52" t="str">
        <f aca="false">IF(A38="","",IF(AND(V38="",W38=""),"Not set",IF(AND(ISNUMBER(V38),ISNUMBER(W38),V38&gt;=1,V38&lt;=5,W38&gt;=1,W38&lt;=5),V38*W38,"Incomplete")))</f>
        <v/>
      </c>
      <c r="Y38" s="52" t="str">
        <f aca="false">IF(A38="","",IF(X38="Not set","Not set",IF(ISNUMBER(X38),LOOKUP(X38,BandMin,BandName),"Incomplete")))</f>
        <v/>
      </c>
      <c r="Z38" s="34"/>
      <c r="AA38" s="54" t="str">
        <f aca="false">IF(A38="","",IF(AppetiteThreshold="","Not configured",IF(NOT(ISNUMBER(R38)),"Cannot assess - residual incomplete",IF(MATCH(S38,BandName,0)&gt;=MATCH(AppetiteThreshold,BandName,0),"Above appetite - escalation required","Within appetite"))))</f>
        <v/>
      </c>
      <c r="AB38" s="50"/>
      <c r="AC38" s="54" t="str">
        <f aca="false">IF(A38="","",IF(AB38="","No decision referenced",IFERROR(INDEX(DEC_FINAL,MATCH(AB38,DEC_ID,0))&amp;" - "&amp;INDEX(DEC_CURR,MATCH(AB38,DEC_ID,0)),"CHECK: Decision ID not found")))</f>
        <v/>
      </c>
      <c r="AD38" s="54" t="str">
        <f aca="false">IF(A38="","",IF(COUNTIF(TRT_RISK,A38)=0,"No treatment recorded",COUNTIF(TRT_RISK,A38)&amp;" action(s); "&amp;COUNTIFS(TRT_RISK,A38,TRT_OPEN,"Open")&amp;" open; "&amp;COUNTIFS(TRT_RISK,A38,TRT_OVERDUE,"Overdue")&amp;" overdue"))</f>
        <v/>
      </c>
      <c r="AE38" s="51"/>
      <c r="AF38" s="51"/>
      <c r="AG38" s="54" t="str">
        <f aca="false">IF(A38="","",IF(AI38="","Complete","Incomplete: "&amp;AI38))</f>
        <v/>
      </c>
      <c r="AH38" s="54" t="str">
        <f aca="false">IF(A38="","",IF(COUNTIF(RSK_ID,A38)&gt;1,"CHECK: duplicate ID",IF(B38="","CHECK: Supplier ID missing",IF(COUNTIF(INV_ID,B38)=0,"CHECK: Supplier ID not in inventory",IF(AND(ISNUMBER(R38),ISNUMBER(L38),R38&gt;L38),"CHECK: residual score exceeds inherent - confirm",IF(AND(ISNUMBER(AF38),AF38&lt;AsOf),"Review overdue (administrative)","OK"))))))</f>
        <v/>
      </c>
      <c r="AI38" s="52" t="str">
        <f aca="false">IF(A38="","",IF(I38="","risk owner; ","")&amp;IF(OR(J38="",K38=""),"inherent rating; ","")&amp;IF(N38="","inherent rationale; ","")&amp;IF(OR(P38="",Q38=""),"residual rating; ","")&amp;IF(AND(OR(P38&lt;&gt;"",Q38&lt;&gt;""),T38=""),"residual rationale; ","")&amp;IF(AND(OR(P38&lt;&gt;"",Q38&lt;&gt;""),U38=""),"assessment confidence; ","")&amp;IF(AE38="","assessment date; ",""))</f>
        <v/>
      </c>
      <c r="AJ38" s="52" t="str">
        <f aca="false">IF(OR(A38="",B38=""),"",IF(B38=RptSup,B38&amp;"|"&amp;COUNTIF($B$7:B38,B38),""))</f>
        <v/>
      </c>
    </row>
    <row r="39" customFormat="false" ht="15" hidden="false" customHeight="false" outlineLevel="0" collapsed="false">
      <c r="A39" s="50"/>
      <c r="B39" s="50"/>
      <c r="C39" s="59" t="str">
        <f aca="false">IF(B39="","",IFERROR(INDEX(INV_NAME,MATCH(B39,INV_ID,0)),"CHECK: Supplier ID not found"))</f>
        <v/>
      </c>
      <c r="D39" s="34"/>
      <c r="E39" s="34"/>
      <c r="F39" s="34"/>
      <c r="G39" s="34"/>
      <c r="H39" s="34"/>
      <c r="I39" s="34"/>
      <c r="J39" s="50"/>
      <c r="K39" s="50"/>
      <c r="L39" s="52" t="str">
        <f aca="false">IF(A39="","",IF(AND(ISNUMBER(J39),ISNUMBER(K39),J39&gt;=1,J39&lt;=5,K39&gt;=1,K39&lt;=5),J39*K39,"Incomplete"))</f>
        <v/>
      </c>
      <c r="M39" s="52" t="str">
        <f aca="false">IF(A39="","",IF(ISNUMBER(L39),LOOKUP(L39,BandMin,BandName),"Incomplete"))</f>
        <v/>
      </c>
      <c r="N39" s="34"/>
      <c r="O39" s="34"/>
      <c r="P39" s="50"/>
      <c r="Q39" s="50"/>
      <c r="R39" s="61" t="str">
        <f aca="false">IF(A39="","",IF(AND(ISNUMBER(P39),ISNUMBER(Q39),P39&gt;=1,P39&lt;=5,Q39&gt;=1,Q39&lt;=5),P39*Q39,"Incomplete"))</f>
        <v/>
      </c>
      <c r="S39" s="52" t="str">
        <f aca="false">IF(A39="","",IF(ISNUMBER(R39),LOOKUP(R39,BandMin,BandName),"Incomplete"))</f>
        <v/>
      </c>
      <c r="T39" s="34"/>
      <c r="U39" s="50"/>
      <c r="V39" s="50"/>
      <c r="W39" s="50"/>
      <c r="X39" s="52" t="str">
        <f aca="false">IF(A39="","",IF(AND(V39="",W39=""),"Not set",IF(AND(ISNUMBER(V39),ISNUMBER(W39),V39&gt;=1,V39&lt;=5,W39&gt;=1,W39&lt;=5),V39*W39,"Incomplete")))</f>
        <v/>
      </c>
      <c r="Y39" s="52" t="str">
        <f aca="false">IF(A39="","",IF(X39="Not set","Not set",IF(ISNUMBER(X39),LOOKUP(X39,BandMin,BandName),"Incomplete")))</f>
        <v/>
      </c>
      <c r="Z39" s="34"/>
      <c r="AA39" s="54" t="str">
        <f aca="false">IF(A39="","",IF(AppetiteThreshold="","Not configured",IF(NOT(ISNUMBER(R39)),"Cannot assess - residual incomplete",IF(MATCH(S39,BandName,0)&gt;=MATCH(AppetiteThreshold,BandName,0),"Above appetite - escalation required","Within appetite"))))</f>
        <v/>
      </c>
      <c r="AB39" s="50"/>
      <c r="AC39" s="54" t="str">
        <f aca="false">IF(A39="","",IF(AB39="","No decision referenced",IFERROR(INDEX(DEC_FINAL,MATCH(AB39,DEC_ID,0))&amp;" - "&amp;INDEX(DEC_CURR,MATCH(AB39,DEC_ID,0)),"CHECK: Decision ID not found")))</f>
        <v/>
      </c>
      <c r="AD39" s="54" t="str">
        <f aca="false">IF(A39="","",IF(COUNTIF(TRT_RISK,A39)=0,"No treatment recorded",COUNTIF(TRT_RISK,A39)&amp;" action(s); "&amp;COUNTIFS(TRT_RISK,A39,TRT_OPEN,"Open")&amp;" open; "&amp;COUNTIFS(TRT_RISK,A39,TRT_OVERDUE,"Overdue")&amp;" overdue"))</f>
        <v/>
      </c>
      <c r="AE39" s="51"/>
      <c r="AF39" s="51"/>
      <c r="AG39" s="54" t="str">
        <f aca="false">IF(A39="","",IF(AI39="","Complete","Incomplete: "&amp;AI39))</f>
        <v/>
      </c>
      <c r="AH39" s="54" t="str">
        <f aca="false">IF(A39="","",IF(COUNTIF(RSK_ID,A39)&gt;1,"CHECK: duplicate ID",IF(B39="","CHECK: Supplier ID missing",IF(COUNTIF(INV_ID,B39)=0,"CHECK: Supplier ID not in inventory",IF(AND(ISNUMBER(R39),ISNUMBER(L39),R39&gt;L39),"CHECK: residual score exceeds inherent - confirm",IF(AND(ISNUMBER(AF39),AF39&lt;AsOf),"Review overdue (administrative)","OK"))))))</f>
        <v/>
      </c>
      <c r="AI39" s="52" t="str">
        <f aca="false">IF(A39="","",IF(I39="","risk owner; ","")&amp;IF(OR(J39="",K39=""),"inherent rating; ","")&amp;IF(N39="","inherent rationale; ","")&amp;IF(OR(P39="",Q39=""),"residual rating; ","")&amp;IF(AND(OR(P39&lt;&gt;"",Q39&lt;&gt;""),T39=""),"residual rationale; ","")&amp;IF(AND(OR(P39&lt;&gt;"",Q39&lt;&gt;""),U39=""),"assessment confidence; ","")&amp;IF(AE39="","assessment date; ",""))</f>
        <v/>
      </c>
      <c r="AJ39" s="52" t="str">
        <f aca="false">IF(OR(A39="",B39=""),"",IF(B39=RptSup,B39&amp;"|"&amp;COUNTIF($B$7:B39,B39),""))</f>
        <v/>
      </c>
    </row>
    <row r="40" customFormat="false" ht="15" hidden="false" customHeight="false" outlineLevel="0" collapsed="false">
      <c r="A40" s="50"/>
      <c r="B40" s="50"/>
      <c r="C40" s="59" t="str">
        <f aca="false">IF(B40="","",IFERROR(INDEX(INV_NAME,MATCH(B40,INV_ID,0)),"CHECK: Supplier ID not found"))</f>
        <v/>
      </c>
      <c r="D40" s="34"/>
      <c r="E40" s="34"/>
      <c r="F40" s="34"/>
      <c r="G40" s="34"/>
      <c r="H40" s="34"/>
      <c r="I40" s="34"/>
      <c r="J40" s="50"/>
      <c r="K40" s="50"/>
      <c r="L40" s="52" t="str">
        <f aca="false">IF(A40="","",IF(AND(ISNUMBER(J40),ISNUMBER(K40),J40&gt;=1,J40&lt;=5,K40&gt;=1,K40&lt;=5),J40*K40,"Incomplete"))</f>
        <v/>
      </c>
      <c r="M40" s="52" t="str">
        <f aca="false">IF(A40="","",IF(ISNUMBER(L40),LOOKUP(L40,BandMin,BandName),"Incomplete"))</f>
        <v/>
      </c>
      <c r="N40" s="34"/>
      <c r="O40" s="34"/>
      <c r="P40" s="50"/>
      <c r="Q40" s="50"/>
      <c r="R40" s="61" t="str">
        <f aca="false">IF(A40="","",IF(AND(ISNUMBER(P40),ISNUMBER(Q40),P40&gt;=1,P40&lt;=5,Q40&gt;=1,Q40&lt;=5),P40*Q40,"Incomplete"))</f>
        <v/>
      </c>
      <c r="S40" s="52" t="str">
        <f aca="false">IF(A40="","",IF(ISNUMBER(R40),LOOKUP(R40,BandMin,BandName),"Incomplete"))</f>
        <v/>
      </c>
      <c r="T40" s="34"/>
      <c r="U40" s="50"/>
      <c r="V40" s="50"/>
      <c r="W40" s="50"/>
      <c r="X40" s="52" t="str">
        <f aca="false">IF(A40="","",IF(AND(V40="",W40=""),"Not set",IF(AND(ISNUMBER(V40),ISNUMBER(W40),V40&gt;=1,V40&lt;=5,W40&gt;=1,W40&lt;=5),V40*W40,"Incomplete")))</f>
        <v/>
      </c>
      <c r="Y40" s="52" t="str">
        <f aca="false">IF(A40="","",IF(X40="Not set","Not set",IF(ISNUMBER(X40),LOOKUP(X40,BandMin,BandName),"Incomplete")))</f>
        <v/>
      </c>
      <c r="Z40" s="34"/>
      <c r="AA40" s="54" t="str">
        <f aca="false">IF(A40="","",IF(AppetiteThreshold="","Not configured",IF(NOT(ISNUMBER(R40)),"Cannot assess - residual incomplete",IF(MATCH(S40,BandName,0)&gt;=MATCH(AppetiteThreshold,BandName,0),"Above appetite - escalation required","Within appetite"))))</f>
        <v/>
      </c>
      <c r="AB40" s="50"/>
      <c r="AC40" s="54" t="str">
        <f aca="false">IF(A40="","",IF(AB40="","No decision referenced",IFERROR(INDEX(DEC_FINAL,MATCH(AB40,DEC_ID,0))&amp;" - "&amp;INDEX(DEC_CURR,MATCH(AB40,DEC_ID,0)),"CHECK: Decision ID not found")))</f>
        <v/>
      </c>
      <c r="AD40" s="54" t="str">
        <f aca="false">IF(A40="","",IF(COUNTIF(TRT_RISK,A40)=0,"No treatment recorded",COUNTIF(TRT_RISK,A40)&amp;" action(s); "&amp;COUNTIFS(TRT_RISK,A40,TRT_OPEN,"Open")&amp;" open; "&amp;COUNTIFS(TRT_RISK,A40,TRT_OVERDUE,"Overdue")&amp;" overdue"))</f>
        <v/>
      </c>
      <c r="AE40" s="51"/>
      <c r="AF40" s="51"/>
      <c r="AG40" s="54" t="str">
        <f aca="false">IF(A40="","",IF(AI40="","Complete","Incomplete: "&amp;AI40))</f>
        <v/>
      </c>
      <c r="AH40" s="54" t="str">
        <f aca="false">IF(A40="","",IF(COUNTIF(RSK_ID,A40)&gt;1,"CHECK: duplicate ID",IF(B40="","CHECK: Supplier ID missing",IF(COUNTIF(INV_ID,B40)=0,"CHECK: Supplier ID not in inventory",IF(AND(ISNUMBER(R40),ISNUMBER(L40),R40&gt;L40),"CHECK: residual score exceeds inherent - confirm",IF(AND(ISNUMBER(AF40),AF40&lt;AsOf),"Review overdue (administrative)","OK"))))))</f>
        <v/>
      </c>
      <c r="AI40" s="52" t="str">
        <f aca="false">IF(A40="","",IF(I40="","risk owner; ","")&amp;IF(OR(J40="",K40=""),"inherent rating; ","")&amp;IF(N40="","inherent rationale; ","")&amp;IF(OR(P40="",Q40=""),"residual rating; ","")&amp;IF(AND(OR(P40&lt;&gt;"",Q40&lt;&gt;""),T40=""),"residual rationale; ","")&amp;IF(AND(OR(P40&lt;&gt;"",Q40&lt;&gt;""),U40=""),"assessment confidence; ","")&amp;IF(AE40="","assessment date; ",""))</f>
        <v/>
      </c>
      <c r="AJ40" s="52" t="str">
        <f aca="false">IF(OR(A40="",B40=""),"",IF(B40=RptSup,B40&amp;"|"&amp;COUNTIF($B$7:B40,B40),""))</f>
        <v/>
      </c>
    </row>
    <row r="41" customFormat="false" ht="15" hidden="false" customHeight="false" outlineLevel="0" collapsed="false">
      <c r="A41" s="50"/>
      <c r="B41" s="50"/>
      <c r="C41" s="59" t="str">
        <f aca="false">IF(B41="","",IFERROR(INDEX(INV_NAME,MATCH(B41,INV_ID,0)),"CHECK: Supplier ID not found"))</f>
        <v/>
      </c>
      <c r="D41" s="34"/>
      <c r="E41" s="34"/>
      <c r="F41" s="34"/>
      <c r="G41" s="34"/>
      <c r="H41" s="34"/>
      <c r="I41" s="34"/>
      <c r="J41" s="50"/>
      <c r="K41" s="50"/>
      <c r="L41" s="52" t="str">
        <f aca="false">IF(A41="","",IF(AND(ISNUMBER(J41),ISNUMBER(K41),J41&gt;=1,J41&lt;=5,K41&gt;=1,K41&lt;=5),J41*K41,"Incomplete"))</f>
        <v/>
      </c>
      <c r="M41" s="52" t="str">
        <f aca="false">IF(A41="","",IF(ISNUMBER(L41),LOOKUP(L41,BandMin,BandName),"Incomplete"))</f>
        <v/>
      </c>
      <c r="N41" s="34"/>
      <c r="O41" s="34"/>
      <c r="P41" s="50"/>
      <c r="Q41" s="50"/>
      <c r="R41" s="61" t="str">
        <f aca="false">IF(A41="","",IF(AND(ISNUMBER(P41),ISNUMBER(Q41),P41&gt;=1,P41&lt;=5,Q41&gt;=1,Q41&lt;=5),P41*Q41,"Incomplete"))</f>
        <v/>
      </c>
      <c r="S41" s="52" t="str">
        <f aca="false">IF(A41="","",IF(ISNUMBER(R41),LOOKUP(R41,BandMin,BandName),"Incomplete"))</f>
        <v/>
      </c>
      <c r="T41" s="34"/>
      <c r="U41" s="50"/>
      <c r="V41" s="50"/>
      <c r="W41" s="50"/>
      <c r="X41" s="52" t="str">
        <f aca="false">IF(A41="","",IF(AND(V41="",W41=""),"Not set",IF(AND(ISNUMBER(V41),ISNUMBER(W41),V41&gt;=1,V41&lt;=5,W41&gt;=1,W41&lt;=5),V41*W41,"Incomplete")))</f>
        <v/>
      </c>
      <c r="Y41" s="52" t="str">
        <f aca="false">IF(A41="","",IF(X41="Not set","Not set",IF(ISNUMBER(X41),LOOKUP(X41,BandMin,BandName),"Incomplete")))</f>
        <v/>
      </c>
      <c r="Z41" s="34"/>
      <c r="AA41" s="54" t="str">
        <f aca="false">IF(A41="","",IF(AppetiteThreshold="","Not configured",IF(NOT(ISNUMBER(R41)),"Cannot assess - residual incomplete",IF(MATCH(S41,BandName,0)&gt;=MATCH(AppetiteThreshold,BandName,0),"Above appetite - escalation required","Within appetite"))))</f>
        <v/>
      </c>
      <c r="AB41" s="50"/>
      <c r="AC41" s="54" t="str">
        <f aca="false">IF(A41="","",IF(AB41="","No decision referenced",IFERROR(INDEX(DEC_FINAL,MATCH(AB41,DEC_ID,0))&amp;" - "&amp;INDEX(DEC_CURR,MATCH(AB41,DEC_ID,0)),"CHECK: Decision ID not found")))</f>
        <v/>
      </c>
      <c r="AD41" s="54" t="str">
        <f aca="false">IF(A41="","",IF(COUNTIF(TRT_RISK,A41)=0,"No treatment recorded",COUNTIF(TRT_RISK,A41)&amp;" action(s); "&amp;COUNTIFS(TRT_RISK,A41,TRT_OPEN,"Open")&amp;" open; "&amp;COUNTIFS(TRT_RISK,A41,TRT_OVERDUE,"Overdue")&amp;" overdue"))</f>
        <v/>
      </c>
      <c r="AE41" s="51"/>
      <c r="AF41" s="51"/>
      <c r="AG41" s="54" t="str">
        <f aca="false">IF(A41="","",IF(AI41="","Complete","Incomplete: "&amp;AI41))</f>
        <v/>
      </c>
      <c r="AH41" s="54" t="str">
        <f aca="false">IF(A41="","",IF(COUNTIF(RSK_ID,A41)&gt;1,"CHECK: duplicate ID",IF(B41="","CHECK: Supplier ID missing",IF(COUNTIF(INV_ID,B41)=0,"CHECK: Supplier ID not in inventory",IF(AND(ISNUMBER(R41),ISNUMBER(L41),R41&gt;L41),"CHECK: residual score exceeds inherent - confirm",IF(AND(ISNUMBER(AF41),AF41&lt;AsOf),"Review overdue (administrative)","OK"))))))</f>
        <v/>
      </c>
      <c r="AI41" s="52" t="str">
        <f aca="false">IF(A41="","",IF(I41="","risk owner; ","")&amp;IF(OR(J41="",K41=""),"inherent rating; ","")&amp;IF(N41="","inherent rationale; ","")&amp;IF(OR(P41="",Q41=""),"residual rating; ","")&amp;IF(AND(OR(P41&lt;&gt;"",Q41&lt;&gt;""),T41=""),"residual rationale; ","")&amp;IF(AND(OR(P41&lt;&gt;"",Q41&lt;&gt;""),U41=""),"assessment confidence; ","")&amp;IF(AE41="","assessment date; ",""))</f>
        <v/>
      </c>
      <c r="AJ41" s="52" t="str">
        <f aca="false">IF(OR(A41="",B41=""),"",IF(B41=RptSup,B41&amp;"|"&amp;COUNTIF($B$7:B41,B41),""))</f>
        <v/>
      </c>
    </row>
    <row r="42" customFormat="false" ht="15" hidden="false" customHeight="false" outlineLevel="0" collapsed="false">
      <c r="A42" s="50"/>
      <c r="B42" s="50"/>
      <c r="C42" s="59" t="str">
        <f aca="false">IF(B42="","",IFERROR(INDEX(INV_NAME,MATCH(B42,INV_ID,0)),"CHECK: Supplier ID not found"))</f>
        <v/>
      </c>
      <c r="D42" s="34"/>
      <c r="E42" s="34"/>
      <c r="F42" s="34"/>
      <c r="G42" s="34"/>
      <c r="H42" s="34"/>
      <c r="I42" s="34"/>
      <c r="J42" s="50"/>
      <c r="K42" s="50"/>
      <c r="L42" s="52" t="str">
        <f aca="false">IF(A42="","",IF(AND(ISNUMBER(J42),ISNUMBER(K42),J42&gt;=1,J42&lt;=5,K42&gt;=1,K42&lt;=5),J42*K42,"Incomplete"))</f>
        <v/>
      </c>
      <c r="M42" s="52" t="str">
        <f aca="false">IF(A42="","",IF(ISNUMBER(L42),LOOKUP(L42,BandMin,BandName),"Incomplete"))</f>
        <v/>
      </c>
      <c r="N42" s="34"/>
      <c r="O42" s="34"/>
      <c r="P42" s="50"/>
      <c r="Q42" s="50"/>
      <c r="R42" s="61" t="str">
        <f aca="false">IF(A42="","",IF(AND(ISNUMBER(P42),ISNUMBER(Q42),P42&gt;=1,P42&lt;=5,Q42&gt;=1,Q42&lt;=5),P42*Q42,"Incomplete"))</f>
        <v/>
      </c>
      <c r="S42" s="52" t="str">
        <f aca="false">IF(A42="","",IF(ISNUMBER(R42),LOOKUP(R42,BandMin,BandName),"Incomplete"))</f>
        <v/>
      </c>
      <c r="T42" s="34"/>
      <c r="U42" s="50"/>
      <c r="V42" s="50"/>
      <c r="W42" s="50"/>
      <c r="X42" s="52" t="str">
        <f aca="false">IF(A42="","",IF(AND(V42="",W42=""),"Not set",IF(AND(ISNUMBER(V42),ISNUMBER(W42),V42&gt;=1,V42&lt;=5,W42&gt;=1,W42&lt;=5),V42*W42,"Incomplete")))</f>
        <v/>
      </c>
      <c r="Y42" s="52" t="str">
        <f aca="false">IF(A42="","",IF(X42="Not set","Not set",IF(ISNUMBER(X42),LOOKUP(X42,BandMin,BandName),"Incomplete")))</f>
        <v/>
      </c>
      <c r="Z42" s="34"/>
      <c r="AA42" s="54" t="str">
        <f aca="false">IF(A42="","",IF(AppetiteThreshold="","Not configured",IF(NOT(ISNUMBER(R42)),"Cannot assess - residual incomplete",IF(MATCH(S42,BandName,0)&gt;=MATCH(AppetiteThreshold,BandName,0),"Above appetite - escalation required","Within appetite"))))</f>
        <v/>
      </c>
      <c r="AB42" s="50"/>
      <c r="AC42" s="54" t="str">
        <f aca="false">IF(A42="","",IF(AB42="","No decision referenced",IFERROR(INDEX(DEC_FINAL,MATCH(AB42,DEC_ID,0))&amp;" - "&amp;INDEX(DEC_CURR,MATCH(AB42,DEC_ID,0)),"CHECK: Decision ID not found")))</f>
        <v/>
      </c>
      <c r="AD42" s="54" t="str">
        <f aca="false">IF(A42="","",IF(COUNTIF(TRT_RISK,A42)=0,"No treatment recorded",COUNTIF(TRT_RISK,A42)&amp;" action(s); "&amp;COUNTIFS(TRT_RISK,A42,TRT_OPEN,"Open")&amp;" open; "&amp;COUNTIFS(TRT_RISK,A42,TRT_OVERDUE,"Overdue")&amp;" overdue"))</f>
        <v/>
      </c>
      <c r="AE42" s="51"/>
      <c r="AF42" s="51"/>
      <c r="AG42" s="54" t="str">
        <f aca="false">IF(A42="","",IF(AI42="","Complete","Incomplete: "&amp;AI42))</f>
        <v/>
      </c>
      <c r="AH42" s="54" t="str">
        <f aca="false">IF(A42="","",IF(COUNTIF(RSK_ID,A42)&gt;1,"CHECK: duplicate ID",IF(B42="","CHECK: Supplier ID missing",IF(COUNTIF(INV_ID,B42)=0,"CHECK: Supplier ID not in inventory",IF(AND(ISNUMBER(R42),ISNUMBER(L42),R42&gt;L42),"CHECK: residual score exceeds inherent - confirm",IF(AND(ISNUMBER(AF42),AF42&lt;AsOf),"Review overdue (administrative)","OK"))))))</f>
        <v/>
      </c>
      <c r="AI42" s="52" t="str">
        <f aca="false">IF(A42="","",IF(I42="","risk owner; ","")&amp;IF(OR(J42="",K42=""),"inherent rating; ","")&amp;IF(N42="","inherent rationale; ","")&amp;IF(OR(P42="",Q42=""),"residual rating; ","")&amp;IF(AND(OR(P42&lt;&gt;"",Q42&lt;&gt;""),T42=""),"residual rationale; ","")&amp;IF(AND(OR(P42&lt;&gt;"",Q42&lt;&gt;""),U42=""),"assessment confidence; ","")&amp;IF(AE42="","assessment date; ",""))</f>
        <v/>
      </c>
      <c r="AJ42" s="52" t="str">
        <f aca="false">IF(OR(A42="",B42=""),"",IF(B42=RptSup,B42&amp;"|"&amp;COUNTIF($B$7:B42,B42),""))</f>
        <v/>
      </c>
    </row>
    <row r="43" customFormat="false" ht="15" hidden="false" customHeight="false" outlineLevel="0" collapsed="false">
      <c r="A43" s="50"/>
      <c r="B43" s="50"/>
      <c r="C43" s="59" t="str">
        <f aca="false">IF(B43="","",IFERROR(INDEX(INV_NAME,MATCH(B43,INV_ID,0)),"CHECK: Supplier ID not found"))</f>
        <v/>
      </c>
      <c r="D43" s="34"/>
      <c r="E43" s="34"/>
      <c r="F43" s="34"/>
      <c r="G43" s="34"/>
      <c r="H43" s="34"/>
      <c r="I43" s="34"/>
      <c r="J43" s="50"/>
      <c r="K43" s="50"/>
      <c r="L43" s="52" t="str">
        <f aca="false">IF(A43="","",IF(AND(ISNUMBER(J43),ISNUMBER(K43),J43&gt;=1,J43&lt;=5,K43&gt;=1,K43&lt;=5),J43*K43,"Incomplete"))</f>
        <v/>
      </c>
      <c r="M43" s="52" t="str">
        <f aca="false">IF(A43="","",IF(ISNUMBER(L43),LOOKUP(L43,BandMin,BandName),"Incomplete"))</f>
        <v/>
      </c>
      <c r="N43" s="34"/>
      <c r="O43" s="34"/>
      <c r="P43" s="50"/>
      <c r="Q43" s="50"/>
      <c r="R43" s="61" t="str">
        <f aca="false">IF(A43="","",IF(AND(ISNUMBER(P43),ISNUMBER(Q43),P43&gt;=1,P43&lt;=5,Q43&gt;=1,Q43&lt;=5),P43*Q43,"Incomplete"))</f>
        <v/>
      </c>
      <c r="S43" s="52" t="str">
        <f aca="false">IF(A43="","",IF(ISNUMBER(R43),LOOKUP(R43,BandMin,BandName),"Incomplete"))</f>
        <v/>
      </c>
      <c r="T43" s="34"/>
      <c r="U43" s="50"/>
      <c r="V43" s="50"/>
      <c r="W43" s="50"/>
      <c r="X43" s="52" t="str">
        <f aca="false">IF(A43="","",IF(AND(V43="",W43=""),"Not set",IF(AND(ISNUMBER(V43),ISNUMBER(W43),V43&gt;=1,V43&lt;=5,W43&gt;=1,W43&lt;=5),V43*W43,"Incomplete")))</f>
        <v/>
      </c>
      <c r="Y43" s="52" t="str">
        <f aca="false">IF(A43="","",IF(X43="Not set","Not set",IF(ISNUMBER(X43),LOOKUP(X43,BandMin,BandName),"Incomplete")))</f>
        <v/>
      </c>
      <c r="Z43" s="34"/>
      <c r="AA43" s="54" t="str">
        <f aca="false">IF(A43="","",IF(AppetiteThreshold="","Not configured",IF(NOT(ISNUMBER(R43)),"Cannot assess - residual incomplete",IF(MATCH(S43,BandName,0)&gt;=MATCH(AppetiteThreshold,BandName,0),"Above appetite - escalation required","Within appetite"))))</f>
        <v/>
      </c>
      <c r="AB43" s="50"/>
      <c r="AC43" s="54" t="str">
        <f aca="false">IF(A43="","",IF(AB43="","No decision referenced",IFERROR(INDEX(DEC_FINAL,MATCH(AB43,DEC_ID,0))&amp;" - "&amp;INDEX(DEC_CURR,MATCH(AB43,DEC_ID,0)),"CHECK: Decision ID not found")))</f>
        <v/>
      </c>
      <c r="AD43" s="54" t="str">
        <f aca="false">IF(A43="","",IF(COUNTIF(TRT_RISK,A43)=0,"No treatment recorded",COUNTIF(TRT_RISK,A43)&amp;" action(s); "&amp;COUNTIFS(TRT_RISK,A43,TRT_OPEN,"Open")&amp;" open; "&amp;COUNTIFS(TRT_RISK,A43,TRT_OVERDUE,"Overdue")&amp;" overdue"))</f>
        <v/>
      </c>
      <c r="AE43" s="51"/>
      <c r="AF43" s="51"/>
      <c r="AG43" s="54" t="str">
        <f aca="false">IF(A43="","",IF(AI43="","Complete","Incomplete: "&amp;AI43))</f>
        <v/>
      </c>
      <c r="AH43" s="54" t="str">
        <f aca="false">IF(A43="","",IF(COUNTIF(RSK_ID,A43)&gt;1,"CHECK: duplicate ID",IF(B43="","CHECK: Supplier ID missing",IF(COUNTIF(INV_ID,B43)=0,"CHECK: Supplier ID not in inventory",IF(AND(ISNUMBER(R43),ISNUMBER(L43),R43&gt;L43),"CHECK: residual score exceeds inherent - confirm",IF(AND(ISNUMBER(AF43),AF43&lt;AsOf),"Review overdue (administrative)","OK"))))))</f>
        <v/>
      </c>
      <c r="AI43" s="52" t="str">
        <f aca="false">IF(A43="","",IF(I43="","risk owner; ","")&amp;IF(OR(J43="",K43=""),"inherent rating; ","")&amp;IF(N43="","inherent rationale; ","")&amp;IF(OR(P43="",Q43=""),"residual rating; ","")&amp;IF(AND(OR(P43&lt;&gt;"",Q43&lt;&gt;""),T43=""),"residual rationale; ","")&amp;IF(AND(OR(P43&lt;&gt;"",Q43&lt;&gt;""),U43=""),"assessment confidence; ","")&amp;IF(AE43="","assessment date; ",""))</f>
        <v/>
      </c>
      <c r="AJ43" s="52" t="str">
        <f aca="false">IF(OR(A43="",B43=""),"",IF(B43=RptSup,B43&amp;"|"&amp;COUNTIF($B$7:B43,B43),""))</f>
        <v/>
      </c>
    </row>
    <row r="44" customFormat="false" ht="15" hidden="false" customHeight="false" outlineLevel="0" collapsed="false">
      <c r="A44" s="50"/>
      <c r="B44" s="50"/>
      <c r="C44" s="59" t="str">
        <f aca="false">IF(B44="","",IFERROR(INDEX(INV_NAME,MATCH(B44,INV_ID,0)),"CHECK: Supplier ID not found"))</f>
        <v/>
      </c>
      <c r="D44" s="34"/>
      <c r="E44" s="34"/>
      <c r="F44" s="34"/>
      <c r="G44" s="34"/>
      <c r="H44" s="34"/>
      <c r="I44" s="34"/>
      <c r="J44" s="50"/>
      <c r="K44" s="50"/>
      <c r="L44" s="52" t="str">
        <f aca="false">IF(A44="","",IF(AND(ISNUMBER(J44),ISNUMBER(K44),J44&gt;=1,J44&lt;=5,K44&gt;=1,K44&lt;=5),J44*K44,"Incomplete"))</f>
        <v/>
      </c>
      <c r="M44" s="52" t="str">
        <f aca="false">IF(A44="","",IF(ISNUMBER(L44),LOOKUP(L44,BandMin,BandName),"Incomplete"))</f>
        <v/>
      </c>
      <c r="N44" s="34"/>
      <c r="O44" s="34"/>
      <c r="P44" s="50"/>
      <c r="Q44" s="50"/>
      <c r="R44" s="61" t="str">
        <f aca="false">IF(A44="","",IF(AND(ISNUMBER(P44),ISNUMBER(Q44),P44&gt;=1,P44&lt;=5,Q44&gt;=1,Q44&lt;=5),P44*Q44,"Incomplete"))</f>
        <v/>
      </c>
      <c r="S44" s="52" t="str">
        <f aca="false">IF(A44="","",IF(ISNUMBER(R44),LOOKUP(R44,BandMin,BandName),"Incomplete"))</f>
        <v/>
      </c>
      <c r="T44" s="34"/>
      <c r="U44" s="50"/>
      <c r="V44" s="50"/>
      <c r="W44" s="50"/>
      <c r="X44" s="52" t="str">
        <f aca="false">IF(A44="","",IF(AND(V44="",W44=""),"Not set",IF(AND(ISNUMBER(V44),ISNUMBER(W44),V44&gt;=1,V44&lt;=5,W44&gt;=1,W44&lt;=5),V44*W44,"Incomplete")))</f>
        <v/>
      </c>
      <c r="Y44" s="52" t="str">
        <f aca="false">IF(A44="","",IF(X44="Not set","Not set",IF(ISNUMBER(X44),LOOKUP(X44,BandMin,BandName),"Incomplete")))</f>
        <v/>
      </c>
      <c r="Z44" s="34"/>
      <c r="AA44" s="54" t="str">
        <f aca="false">IF(A44="","",IF(AppetiteThreshold="","Not configured",IF(NOT(ISNUMBER(R44)),"Cannot assess - residual incomplete",IF(MATCH(S44,BandName,0)&gt;=MATCH(AppetiteThreshold,BandName,0),"Above appetite - escalation required","Within appetite"))))</f>
        <v/>
      </c>
      <c r="AB44" s="50"/>
      <c r="AC44" s="54" t="str">
        <f aca="false">IF(A44="","",IF(AB44="","No decision referenced",IFERROR(INDEX(DEC_FINAL,MATCH(AB44,DEC_ID,0))&amp;" - "&amp;INDEX(DEC_CURR,MATCH(AB44,DEC_ID,0)),"CHECK: Decision ID not found")))</f>
        <v/>
      </c>
      <c r="AD44" s="54" t="str">
        <f aca="false">IF(A44="","",IF(COUNTIF(TRT_RISK,A44)=0,"No treatment recorded",COUNTIF(TRT_RISK,A44)&amp;" action(s); "&amp;COUNTIFS(TRT_RISK,A44,TRT_OPEN,"Open")&amp;" open; "&amp;COUNTIFS(TRT_RISK,A44,TRT_OVERDUE,"Overdue")&amp;" overdue"))</f>
        <v/>
      </c>
      <c r="AE44" s="51"/>
      <c r="AF44" s="51"/>
      <c r="AG44" s="54" t="str">
        <f aca="false">IF(A44="","",IF(AI44="","Complete","Incomplete: "&amp;AI44))</f>
        <v/>
      </c>
      <c r="AH44" s="54" t="str">
        <f aca="false">IF(A44="","",IF(COUNTIF(RSK_ID,A44)&gt;1,"CHECK: duplicate ID",IF(B44="","CHECK: Supplier ID missing",IF(COUNTIF(INV_ID,B44)=0,"CHECK: Supplier ID not in inventory",IF(AND(ISNUMBER(R44),ISNUMBER(L44),R44&gt;L44),"CHECK: residual score exceeds inherent - confirm",IF(AND(ISNUMBER(AF44),AF44&lt;AsOf),"Review overdue (administrative)","OK"))))))</f>
        <v/>
      </c>
      <c r="AI44" s="52" t="str">
        <f aca="false">IF(A44="","",IF(I44="","risk owner; ","")&amp;IF(OR(J44="",K44=""),"inherent rating; ","")&amp;IF(N44="","inherent rationale; ","")&amp;IF(OR(P44="",Q44=""),"residual rating; ","")&amp;IF(AND(OR(P44&lt;&gt;"",Q44&lt;&gt;""),T44=""),"residual rationale; ","")&amp;IF(AND(OR(P44&lt;&gt;"",Q44&lt;&gt;""),U44=""),"assessment confidence; ","")&amp;IF(AE44="","assessment date; ",""))</f>
        <v/>
      </c>
      <c r="AJ44" s="52" t="str">
        <f aca="false">IF(OR(A44="",B44=""),"",IF(B44=RptSup,B44&amp;"|"&amp;COUNTIF($B$7:B44,B44),""))</f>
        <v/>
      </c>
    </row>
    <row r="45" customFormat="false" ht="15" hidden="false" customHeight="false" outlineLevel="0" collapsed="false">
      <c r="A45" s="50"/>
      <c r="B45" s="50"/>
      <c r="C45" s="59" t="str">
        <f aca="false">IF(B45="","",IFERROR(INDEX(INV_NAME,MATCH(B45,INV_ID,0)),"CHECK: Supplier ID not found"))</f>
        <v/>
      </c>
      <c r="D45" s="34"/>
      <c r="E45" s="34"/>
      <c r="F45" s="34"/>
      <c r="G45" s="34"/>
      <c r="H45" s="34"/>
      <c r="I45" s="34"/>
      <c r="J45" s="50"/>
      <c r="K45" s="50"/>
      <c r="L45" s="52" t="str">
        <f aca="false">IF(A45="","",IF(AND(ISNUMBER(J45),ISNUMBER(K45),J45&gt;=1,J45&lt;=5,K45&gt;=1,K45&lt;=5),J45*K45,"Incomplete"))</f>
        <v/>
      </c>
      <c r="M45" s="52" t="str">
        <f aca="false">IF(A45="","",IF(ISNUMBER(L45),LOOKUP(L45,BandMin,BandName),"Incomplete"))</f>
        <v/>
      </c>
      <c r="N45" s="34"/>
      <c r="O45" s="34"/>
      <c r="P45" s="50"/>
      <c r="Q45" s="50"/>
      <c r="R45" s="61" t="str">
        <f aca="false">IF(A45="","",IF(AND(ISNUMBER(P45),ISNUMBER(Q45),P45&gt;=1,P45&lt;=5,Q45&gt;=1,Q45&lt;=5),P45*Q45,"Incomplete"))</f>
        <v/>
      </c>
      <c r="S45" s="52" t="str">
        <f aca="false">IF(A45="","",IF(ISNUMBER(R45),LOOKUP(R45,BandMin,BandName),"Incomplete"))</f>
        <v/>
      </c>
      <c r="T45" s="34"/>
      <c r="U45" s="50"/>
      <c r="V45" s="50"/>
      <c r="W45" s="50"/>
      <c r="X45" s="52" t="str">
        <f aca="false">IF(A45="","",IF(AND(V45="",W45=""),"Not set",IF(AND(ISNUMBER(V45),ISNUMBER(W45),V45&gt;=1,V45&lt;=5,W45&gt;=1,W45&lt;=5),V45*W45,"Incomplete")))</f>
        <v/>
      </c>
      <c r="Y45" s="52" t="str">
        <f aca="false">IF(A45="","",IF(X45="Not set","Not set",IF(ISNUMBER(X45),LOOKUP(X45,BandMin,BandName),"Incomplete")))</f>
        <v/>
      </c>
      <c r="Z45" s="34"/>
      <c r="AA45" s="54" t="str">
        <f aca="false">IF(A45="","",IF(AppetiteThreshold="","Not configured",IF(NOT(ISNUMBER(R45)),"Cannot assess - residual incomplete",IF(MATCH(S45,BandName,0)&gt;=MATCH(AppetiteThreshold,BandName,0),"Above appetite - escalation required","Within appetite"))))</f>
        <v/>
      </c>
      <c r="AB45" s="50"/>
      <c r="AC45" s="54" t="str">
        <f aca="false">IF(A45="","",IF(AB45="","No decision referenced",IFERROR(INDEX(DEC_FINAL,MATCH(AB45,DEC_ID,0))&amp;" - "&amp;INDEX(DEC_CURR,MATCH(AB45,DEC_ID,0)),"CHECK: Decision ID not found")))</f>
        <v/>
      </c>
      <c r="AD45" s="54" t="str">
        <f aca="false">IF(A45="","",IF(COUNTIF(TRT_RISK,A45)=0,"No treatment recorded",COUNTIF(TRT_RISK,A45)&amp;" action(s); "&amp;COUNTIFS(TRT_RISK,A45,TRT_OPEN,"Open")&amp;" open; "&amp;COUNTIFS(TRT_RISK,A45,TRT_OVERDUE,"Overdue")&amp;" overdue"))</f>
        <v/>
      </c>
      <c r="AE45" s="51"/>
      <c r="AF45" s="51"/>
      <c r="AG45" s="54" t="str">
        <f aca="false">IF(A45="","",IF(AI45="","Complete","Incomplete: "&amp;AI45))</f>
        <v/>
      </c>
      <c r="AH45" s="54" t="str">
        <f aca="false">IF(A45="","",IF(COUNTIF(RSK_ID,A45)&gt;1,"CHECK: duplicate ID",IF(B45="","CHECK: Supplier ID missing",IF(COUNTIF(INV_ID,B45)=0,"CHECK: Supplier ID not in inventory",IF(AND(ISNUMBER(R45),ISNUMBER(L45),R45&gt;L45),"CHECK: residual score exceeds inherent - confirm",IF(AND(ISNUMBER(AF45),AF45&lt;AsOf),"Review overdue (administrative)","OK"))))))</f>
        <v/>
      </c>
      <c r="AI45" s="52" t="str">
        <f aca="false">IF(A45="","",IF(I45="","risk owner; ","")&amp;IF(OR(J45="",K45=""),"inherent rating; ","")&amp;IF(N45="","inherent rationale; ","")&amp;IF(OR(P45="",Q45=""),"residual rating; ","")&amp;IF(AND(OR(P45&lt;&gt;"",Q45&lt;&gt;""),T45=""),"residual rationale; ","")&amp;IF(AND(OR(P45&lt;&gt;"",Q45&lt;&gt;""),U45=""),"assessment confidence; ","")&amp;IF(AE45="","assessment date; ",""))</f>
        <v/>
      </c>
      <c r="AJ45" s="52" t="str">
        <f aca="false">IF(OR(A45="",B45=""),"",IF(B45=RptSup,B45&amp;"|"&amp;COUNTIF($B$7:B45,B45),""))</f>
        <v/>
      </c>
    </row>
    <row r="46" customFormat="false" ht="15" hidden="false" customHeight="false" outlineLevel="0" collapsed="false">
      <c r="A46" s="50"/>
      <c r="B46" s="50"/>
      <c r="C46" s="59" t="str">
        <f aca="false">IF(B46="","",IFERROR(INDEX(INV_NAME,MATCH(B46,INV_ID,0)),"CHECK: Supplier ID not found"))</f>
        <v/>
      </c>
      <c r="D46" s="34"/>
      <c r="E46" s="34"/>
      <c r="F46" s="34"/>
      <c r="G46" s="34"/>
      <c r="H46" s="34"/>
      <c r="I46" s="34"/>
      <c r="J46" s="50"/>
      <c r="K46" s="50"/>
      <c r="L46" s="52" t="str">
        <f aca="false">IF(A46="","",IF(AND(ISNUMBER(J46),ISNUMBER(K46),J46&gt;=1,J46&lt;=5,K46&gt;=1,K46&lt;=5),J46*K46,"Incomplete"))</f>
        <v/>
      </c>
      <c r="M46" s="52" t="str">
        <f aca="false">IF(A46="","",IF(ISNUMBER(L46),LOOKUP(L46,BandMin,BandName),"Incomplete"))</f>
        <v/>
      </c>
      <c r="N46" s="34"/>
      <c r="O46" s="34"/>
      <c r="P46" s="50"/>
      <c r="Q46" s="50"/>
      <c r="R46" s="61" t="str">
        <f aca="false">IF(A46="","",IF(AND(ISNUMBER(P46),ISNUMBER(Q46),P46&gt;=1,P46&lt;=5,Q46&gt;=1,Q46&lt;=5),P46*Q46,"Incomplete"))</f>
        <v/>
      </c>
      <c r="S46" s="52" t="str">
        <f aca="false">IF(A46="","",IF(ISNUMBER(R46),LOOKUP(R46,BandMin,BandName),"Incomplete"))</f>
        <v/>
      </c>
      <c r="T46" s="34"/>
      <c r="U46" s="50"/>
      <c r="V46" s="50"/>
      <c r="W46" s="50"/>
      <c r="X46" s="52" t="str">
        <f aca="false">IF(A46="","",IF(AND(V46="",W46=""),"Not set",IF(AND(ISNUMBER(V46),ISNUMBER(W46),V46&gt;=1,V46&lt;=5,W46&gt;=1,W46&lt;=5),V46*W46,"Incomplete")))</f>
        <v/>
      </c>
      <c r="Y46" s="52" t="str">
        <f aca="false">IF(A46="","",IF(X46="Not set","Not set",IF(ISNUMBER(X46),LOOKUP(X46,BandMin,BandName),"Incomplete")))</f>
        <v/>
      </c>
      <c r="Z46" s="34"/>
      <c r="AA46" s="54" t="str">
        <f aca="false">IF(A46="","",IF(AppetiteThreshold="","Not configured",IF(NOT(ISNUMBER(R46)),"Cannot assess - residual incomplete",IF(MATCH(S46,BandName,0)&gt;=MATCH(AppetiteThreshold,BandName,0),"Above appetite - escalation required","Within appetite"))))</f>
        <v/>
      </c>
      <c r="AB46" s="50"/>
      <c r="AC46" s="54" t="str">
        <f aca="false">IF(A46="","",IF(AB46="","No decision referenced",IFERROR(INDEX(DEC_FINAL,MATCH(AB46,DEC_ID,0))&amp;" - "&amp;INDEX(DEC_CURR,MATCH(AB46,DEC_ID,0)),"CHECK: Decision ID not found")))</f>
        <v/>
      </c>
      <c r="AD46" s="54" t="str">
        <f aca="false">IF(A46="","",IF(COUNTIF(TRT_RISK,A46)=0,"No treatment recorded",COUNTIF(TRT_RISK,A46)&amp;" action(s); "&amp;COUNTIFS(TRT_RISK,A46,TRT_OPEN,"Open")&amp;" open; "&amp;COUNTIFS(TRT_RISK,A46,TRT_OVERDUE,"Overdue")&amp;" overdue"))</f>
        <v/>
      </c>
      <c r="AE46" s="51"/>
      <c r="AF46" s="51"/>
      <c r="AG46" s="54" t="str">
        <f aca="false">IF(A46="","",IF(AI46="","Complete","Incomplete: "&amp;AI46))</f>
        <v/>
      </c>
      <c r="AH46" s="54" t="str">
        <f aca="false">IF(A46="","",IF(COUNTIF(RSK_ID,A46)&gt;1,"CHECK: duplicate ID",IF(B46="","CHECK: Supplier ID missing",IF(COUNTIF(INV_ID,B46)=0,"CHECK: Supplier ID not in inventory",IF(AND(ISNUMBER(R46),ISNUMBER(L46),R46&gt;L46),"CHECK: residual score exceeds inherent - confirm",IF(AND(ISNUMBER(AF46),AF46&lt;AsOf),"Review overdue (administrative)","OK"))))))</f>
        <v/>
      </c>
      <c r="AI46" s="52" t="str">
        <f aca="false">IF(A46="","",IF(I46="","risk owner; ","")&amp;IF(OR(J46="",K46=""),"inherent rating; ","")&amp;IF(N46="","inherent rationale; ","")&amp;IF(OR(P46="",Q46=""),"residual rating; ","")&amp;IF(AND(OR(P46&lt;&gt;"",Q46&lt;&gt;""),T46=""),"residual rationale; ","")&amp;IF(AND(OR(P46&lt;&gt;"",Q46&lt;&gt;""),U46=""),"assessment confidence; ","")&amp;IF(AE46="","assessment date; ",""))</f>
        <v/>
      </c>
      <c r="AJ46" s="52" t="str">
        <f aca="false">IF(OR(A46="",B46=""),"",IF(B46=RptSup,B46&amp;"|"&amp;COUNTIF($B$7:B46,B46),""))</f>
        <v/>
      </c>
    </row>
    <row r="47" customFormat="false" ht="15" hidden="false" customHeight="false" outlineLevel="0" collapsed="false">
      <c r="A47" s="50"/>
      <c r="B47" s="50"/>
      <c r="C47" s="59" t="str">
        <f aca="false">IF(B47="","",IFERROR(INDEX(INV_NAME,MATCH(B47,INV_ID,0)),"CHECK: Supplier ID not found"))</f>
        <v/>
      </c>
      <c r="D47" s="34"/>
      <c r="E47" s="34"/>
      <c r="F47" s="34"/>
      <c r="G47" s="34"/>
      <c r="H47" s="34"/>
      <c r="I47" s="34"/>
      <c r="J47" s="50"/>
      <c r="K47" s="50"/>
      <c r="L47" s="52" t="str">
        <f aca="false">IF(A47="","",IF(AND(ISNUMBER(J47),ISNUMBER(K47),J47&gt;=1,J47&lt;=5,K47&gt;=1,K47&lt;=5),J47*K47,"Incomplete"))</f>
        <v/>
      </c>
      <c r="M47" s="52" t="str">
        <f aca="false">IF(A47="","",IF(ISNUMBER(L47),LOOKUP(L47,BandMin,BandName),"Incomplete"))</f>
        <v/>
      </c>
      <c r="N47" s="34"/>
      <c r="O47" s="34"/>
      <c r="P47" s="50"/>
      <c r="Q47" s="50"/>
      <c r="R47" s="61" t="str">
        <f aca="false">IF(A47="","",IF(AND(ISNUMBER(P47),ISNUMBER(Q47),P47&gt;=1,P47&lt;=5,Q47&gt;=1,Q47&lt;=5),P47*Q47,"Incomplete"))</f>
        <v/>
      </c>
      <c r="S47" s="52" t="str">
        <f aca="false">IF(A47="","",IF(ISNUMBER(R47),LOOKUP(R47,BandMin,BandName),"Incomplete"))</f>
        <v/>
      </c>
      <c r="T47" s="34"/>
      <c r="U47" s="50"/>
      <c r="V47" s="50"/>
      <c r="W47" s="50"/>
      <c r="X47" s="52" t="str">
        <f aca="false">IF(A47="","",IF(AND(V47="",W47=""),"Not set",IF(AND(ISNUMBER(V47),ISNUMBER(W47),V47&gt;=1,V47&lt;=5,W47&gt;=1,W47&lt;=5),V47*W47,"Incomplete")))</f>
        <v/>
      </c>
      <c r="Y47" s="52" t="str">
        <f aca="false">IF(A47="","",IF(X47="Not set","Not set",IF(ISNUMBER(X47),LOOKUP(X47,BandMin,BandName),"Incomplete")))</f>
        <v/>
      </c>
      <c r="Z47" s="34"/>
      <c r="AA47" s="54" t="str">
        <f aca="false">IF(A47="","",IF(AppetiteThreshold="","Not configured",IF(NOT(ISNUMBER(R47)),"Cannot assess - residual incomplete",IF(MATCH(S47,BandName,0)&gt;=MATCH(AppetiteThreshold,BandName,0),"Above appetite - escalation required","Within appetite"))))</f>
        <v/>
      </c>
      <c r="AB47" s="50"/>
      <c r="AC47" s="54" t="str">
        <f aca="false">IF(A47="","",IF(AB47="","No decision referenced",IFERROR(INDEX(DEC_FINAL,MATCH(AB47,DEC_ID,0))&amp;" - "&amp;INDEX(DEC_CURR,MATCH(AB47,DEC_ID,0)),"CHECK: Decision ID not found")))</f>
        <v/>
      </c>
      <c r="AD47" s="54" t="str">
        <f aca="false">IF(A47="","",IF(COUNTIF(TRT_RISK,A47)=0,"No treatment recorded",COUNTIF(TRT_RISK,A47)&amp;" action(s); "&amp;COUNTIFS(TRT_RISK,A47,TRT_OPEN,"Open")&amp;" open; "&amp;COUNTIFS(TRT_RISK,A47,TRT_OVERDUE,"Overdue")&amp;" overdue"))</f>
        <v/>
      </c>
      <c r="AE47" s="51"/>
      <c r="AF47" s="51"/>
      <c r="AG47" s="54" t="str">
        <f aca="false">IF(A47="","",IF(AI47="","Complete","Incomplete: "&amp;AI47))</f>
        <v/>
      </c>
      <c r="AH47" s="54" t="str">
        <f aca="false">IF(A47="","",IF(COUNTIF(RSK_ID,A47)&gt;1,"CHECK: duplicate ID",IF(B47="","CHECK: Supplier ID missing",IF(COUNTIF(INV_ID,B47)=0,"CHECK: Supplier ID not in inventory",IF(AND(ISNUMBER(R47),ISNUMBER(L47),R47&gt;L47),"CHECK: residual score exceeds inherent - confirm",IF(AND(ISNUMBER(AF47),AF47&lt;AsOf),"Review overdue (administrative)","OK"))))))</f>
        <v/>
      </c>
      <c r="AI47" s="52" t="str">
        <f aca="false">IF(A47="","",IF(I47="","risk owner; ","")&amp;IF(OR(J47="",K47=""),"inherent rating; ","")&amp;IF(N47="","inherent rationale; ","")&amp;IF(OR(P47="",Q47=""),"residual rating; ","")&amp;IF(AND(OR(P47&lt;&gt;"",Q47&lt;&gt;""),T47=""),"residual rationale; ","")&amp;IF(AND(OR(P47&lt;&gt;"",Q47&lt;&gt;""),U47=""),"assessment confidence; ","")&amp;IF(AE47="","assessment date; ",""))</f>
        <v/>
      </c>
      <c r="AJ47" s="52" t="str">
        <f aca="false">IF(OR(A47="",B47=""),"",IF(B47=RptSup,B47&amp;"|"&amp;COUNTIF($B$7:B47,B47),""))</f>
        <v/>
      </c>
    </row>
    <row r="48" customFormat="false" ht="15" hidden="false" customHeight="false" outlineLevel="0" collapsed="false">
      <c r="A48" s="50"/>
      <c r="B48" s="50"/>
      <c r="C48" s="59" t="str">
        <f aca="false">IF(B48="","",IFERROR(INDEX(INV_NAME,MATCH(B48,INV_ID,0)),"CHECK: Supplier ID not found"))</f>
        <v/>
      </c>
      <c r="D48" s="34"/>
      <c r="E48" s="34"/>
      <c r="F48" s="34"/>
      <c r="G48" s="34"/>
      <c r="H48" s="34"/>
      <c r="I48" s="34"/>
      <c r="J48" s="50"/>
      <c r="K48" s="50"/>
      <c r="L48" s="52" t="str">
        <f aca="false">IF(A48="","",IF(AND(ISNUMBER(J48),ISNUMBER(K48),J48&gt;=1,J48&lt;=5,K48&gt;=1,K48&lt;=5),J48*K48,"Incomplete"))</f>
        <v/>
      </c>
      <c r="M48" s="52" t="str">
        <f aca="false">IF(A48="","",IF(ISNUMBER(L48),LOOKUP(L48,BandMin,BandName),"Incomplete"))</f>
        <v/>
      </c>
      <c r="N48" s="34"/>
      <c r="O48" s="34"/>
      <c r="P48" s="50"/>
      <c r="Q48" s="50"/>
      <c r="R48" s="61" t="str">
        <f aca="false">IF(A48="","",IF(AND(ISNUMBER(P48),ISNUMBER(Q48),P48&gt;=1,P48&lt;=5,Q48&gt;=1,Q48&lt;=5),P48*Q48,"Incomplete"))</f>
        <v/>
      </c>
      <c r="S48" s="52" t="str">
        <f aca="false">IF(A48="","",IF(ISNUMBER(R48),LOOKUP(R48,BandMin,BandName),"Incomplete"))</f>
        <v/>
      </c>
      <c r="T48" s="34"/>
      <c r="U48" s="50"/>
      <c r="V48" s="50"/>
      <c r="W48" s="50"/>
      <c r="X48" s="52" t="str">
        <f aca="false">IF(A48="","",IF(AND(V48="",W48=""),"Not set",IF(AND(ISNUMBER(V48),ISNUMBER(W48),V48&gt;=1,V48&lt;=5,W48&gt;=1,W48&lt;=5),V48*W48,"Incomplete")))</f>
        <v/>
      </c>
      <c r="Y48" s="52" t="str">
        <f aca="false">IF(A48="","",IF(X48="Not set","Not set",IF(ISNUMBER(X48),LOOKUP(X48,BandMin,BandName),"Incomplete")))</f>
        <v/>
      </c>
      <c r="Z48" s="34"/>
      <c r="AA48" s="54" t="str">
        <f aca="false">IF(A48="","",IF(AppetiteThreshold="","Not configured",IF(NOT(ISNUMBER(R48)),"Cannot assess - residual incomplete",IF(MATCH(S48,BandName,0)&gt;=MATCH(AppetiteThreshold,BandName,0),"Above appetite - escalation required","Within appetite"))))</f>
        <v/>
      </c>
      <c r="AB48" s="50"/>
      <c r="AC48" s="54" t="str">
        <f aca="false">IF(A48="","",IF(AB48="","No decision referenced",IFERROR(INDEX(DEC_FINAL,MATCH(AB48,DEC_ID,0))&amp;" - "&amp;INDEX(DEC_CURR,MATCH(AB48,DEC_ID,0)),"CHECK: Decision ID not found")))</f>
        <v/>
      </c>
      <c r="AD48" s="54" t="str">
        <f aca="false">IF(A48="","",IF(COUNTIF(TRT_RISK,A48)=0,"No treatment recorded",COUNTIF(TRT_RISK,A48)&amp;" action(s); "&amp;COUNTIFS(TRT_RISK,A48,TRT_OPEN,"Open")&amp;" open; "&amp;COUNTIFS(TRT_RISK,A48,TRT_OVERDUE,"Overdue")&amp;" overdue"))</f>
        <v/>
      </c>
      <c r="AE48" s="51"/>
      <c r="AF48" s="51"/>
      <c r="AG48" s="54" t="str">
        <f aca="false">IF(A48="","",IF(AI48="","Complete","Incomplete: "&amp;AI48))</f>
        <v/>
      </c>
      <c r="AH48" s="54" t="str">
        <f aca="false">IF(A48="","",IF(COUNTIF(RSK_ID,A48)&gt;1,"CHECK: duplicate ID",IF(B48="","CHECK: Supplier ID missing",IF(COUNTIF(INV_ID,B48)=0,"CHECK: Supplier ID not in inventory",IF(AND(ISNUMBER(R48),ISNUMBER(L48),R48&gt;L48),"CHECK: residual score exceeds inherent - confirm",IF(AND(ISNUMBER(AF48),AF48&lt;AsOf),"Review overdue (administrative)","OK"))))))</f>
        <v/>
      </c>
      <c r="AI48" s="52" t="str">
        <f aca="false">IF(A48="","",IF(I48="","risk owner; ","")&amp;IF(OR(J48="",K48=""),"inherent rating; ","")&amp;IF(N48="","inherent rationale; ","")&amp;IF(OR(P48="",Q48=""),"residual rating; ","")&amp;IF(AND(OR(P48&lt;&gt;"",Q48&lt;&gt;""),T48=""),"residual rationale; ","")&amp;IF(AND(OR(P48&lt;&gt;"",Q48&lt;&gt;""),U48=""),"assessment confidence; ","")&amp;IF(AE48="","assessment date; ",""))</f>
        <v/>
      </c>
      <c r="AJ48" s="52" t="str">
        <f aca="false">IF(OR(A48="",B48=""),"",IF(B48=RptSup,B48&amp;"|"&amp;COUNTIF($B$7:B48,B48),""))</f>
        <v/>
      </c>
    </row>
    <row r="49" customFormat="false" ht="15" hidden="false" customHeight="false" outlineLevel="0" collapsed="false">
      <c r="A49" s="50"/>
      <c r="B49" s="50"/>
      <c r="C49" s="59" t="str">
        <f aca="false">IF(B49="","",IFERROR(INDEX(INV_NAME,MATCH(B49,INV_ID,0)),"CHECK: Supplier ID not found"))</f>
        <v/>
      </c>
      <c r="D49" s="34"/>
      <c r="E49" s="34"/>
      <c r="F49" s="34"/>
      <c r="G49" s="34"/>
      <c r="H49" s="34"/>
      <c r="I49" s="34"/>
      <c r="J49" s="50"/>
      <c r="K49" s="50"/>
      <c r="L49" s="52" t="str">
        <f aca="false">IF(A49="","",IF(AND(ISNUMBER(J49),ISNUMBER(K49),J49&gt;=1,J49&lt;=5,K49&gt;=1,K49&lt;=5),J49*K49,"Incomplete"))</f>
        <v/>
      </c>
      <c r="M49" s="52" t="str">
        <f aca="false">IF(A49="","",IF(ISNUMBER(L49),LOOKUP(L49,BandMin,BandName),"Incomplete"))</f>
        <v/>
      </c>
      <c r="N49" s="34"/>
      <c r="O49" s="34"/>
      <c r="P49" s="50"/>
      <c r="Q49" s="50"/>
      <c r="R49" s="61" t="str">
        <f aca="false">IF(A49="","",IF(AND(ISNUMBER(P49),ISNUMBER(Q49),P49&gt;=1,P49&lt;=5,Q49&gt;=1,Q49&lt;=5),P49*Q49,"Incomplete"))</f>
        <v/>
      </c>
      <c r="S49" s="52" t="str">
        <f aca="false">IF(A49="","",IF(ISNUMBER(R49),LOOKUP(R49,BandMin,BandName),"Incomplete"))</f>
        <v/>
      </c>
      <c r="T49" s="34"/>
      <c r="U49" s="50"/>
      <c r="V49" s="50"/>
      <c r="W49" s="50"/>
      <c r="X49" s="52" t="str">
        <f aca="false">IF(A49="","",IF(AND(V49="",W49=""),"Not set",IF(AND(ISNUMBER(V49),ISNUMBER(W49),V49&gt;=1,V49&lt;=5,W49&gt;=1,W49&lt;=5),V49*W49,"Incomplete")))</f>
        <v/>
      </c>
      <c r="Y49" s="52" t="str">
        <f aca="false">IF(A49="","",IF(X49="Not set","Not set",IF(ISNUMBER(X49),LOOKUP(X49,BandMin,BandName),"Incomplete")))</f>
        <v/>
      </c>
      <c r="Z49" s="34"/>
      <c r="AA49" s="54" t="str">
        <f aca="false">IF(A49="","",IF(AppetiteThreshold="","Not configured",IF(NOT(ISNUMBER(R49)),"Cannot assess - residual incomplete",IF(MATCH(S49,BandName,0)&gt;=MATCH(AppetiteThreshold,BandName,0),"Above appetite - escalation required","Within appetite"))))</f>
        <v/>
      </c>
      <c r="AB49" s="50"/>
      <c r="AC49" s="54" t="str">
        <f aca="false">IF(A49="","",IF(AB49="","No decision referenced",IFERROR(INDEX(DEC_FINAL,MATCH(AB49,DEC_ID,0))&amp;" - "&amp;INDEX(DEC_CURR,MATCH(AB49,DEC_ID,0)),"CHECK: Decision ID not found")))</f>
        <v/>
      </c>
      <c r="AD49" s="54" t="str">
        <f aca="false">IF(A49="","",IF(COUNTIF(TRT_RISK,A49)=0,"No treatment recorded",COUNTIF(TRT_RISK,A49)&amp;" action(s); "&amp;COUNTIFS(TRT_RISK,A49,TRT_OPEN,"Open")&amp;" open; "&amp;COUNTIFS(TRT_RISK,A49,TRT_OVERDUE,"Overdue")&amp;" overdue"))</f>
        <v/>
      </c>
      <c r="AE49" s="51"/>
      <c r="AF49" s="51"/>
      <c r="AG49" s="54" t="str">
        <f aca="false">IF(A49="","",IF(AI49="","Complete","Incomplete: "&amp;AI49))</f>
        <v/>
      </c>
      <c r="AH49" s="54" t="str">
        <f aca="false">IF(A49="","",IF(COUNTIF(RSK_ID,A49)&gt;1,"CHECK: duplicate ID",IF(B49="","CHECK: Supplier ID missing",IF(COUNTIF(INV_ID,B49)=0,"CHECK: Supplier ID not in inventory",IF(AND(ISNUMBER(R49),ISNUMBER(L49),R49&gt;L49),"CHECK: residual score exceeds inherent - confirm",IF(AND(ISNUMBER(AF49),AF49&lt;AsOf),"Review overdue (administrative)","OK"))))))</f>
        <v/>
      </c>
      <c r="AI49" s="52" t="str">
        <f aca="false">IF(A49="","",IF(I49="","risk owner; ","")&amp;IF(OR(J49="",K49=""),"inherent rating; ","")&amp;IF(N49="","inherent rationale; ","")&amp;IF(OR(P49="",Q49=""),"residual rating; ","")&amp;IF(AND(OR(P49&lt;&gt;"",Q49&lt;&gt;""),T49=""),"residual rationale; ","")&amp;IF(AND(OR(P49&lt;&gt;"",Q49&lt;&gt;""),U49=""),"assessment confidence; ","")&amp;IF(AE49="","assessment date; ",""))</f>
        <v/>
      </c>
      <c r="AJ49" s="52" t="str">
        <f aca="false">IF(OR(A49="",B49=""),"",IF(B49=RptSup,B49&amp;"|"&amp;COUNTIF($B$7:B49,B49),""))</f>
        <v/>
      </c>
    </row>
    <row r="50" customFormat="false" ht="15" hidden="false" customHeight="false" outlineLevel="0" collapsed="false">
      <c r="A50" s="50"/>
      <c r="B50" s="50"/>
      <c r="C50" s="59" t="str">
        <f aca="false">IF(B50="","",IFERROR(INDEX(INV_NAME,MATCH(B50,INV_ID,0)),"CHECK: Supplier ID not found"))</f>
        <v/>
      </c>
      <c r="D50" s="34"/>
      <c r="E50" s="34"/>
      <c r="F50" s="34"/>
      <c r="G50" s="34"/>
      <c r="H50" s="34"/>
      <c r="I50" s="34"/>
      <c r="J50" s="50"/>
      <c r="K50" s="50"/>
      <c r="L50" s="52" t="str">
        <f aca="false">IF(A50="","",IF(AND(ISNUMBER(J50),ISNUMBER(K50),J50&gt;=1,J50&lt;=5,K50&gt;=1,K50&lt;=5),J50*K50,"Incomplete"))</f>
        <v/>
      </c>
      <c r="M50" s="52" t="str">
        <f aca="false">IF(A50="","",IF(ISNUMBER(L50),LOOKUP(L50,BandMin,BandName),"Incomplete"))</f>
        <v/>
      </c>
      <c r="N50" s="34"/>
      <c r="O50" s="34"/>
      <c r="P50" s="50"/>
      <c r="Q50" s="50"/>
      <c r="R50" s="61" t="str">
        <f aca="false">IF(A50="","",IF(AND(ISNUMBER(P50),ISNUMBER(Q50),P50&gt;=1,P50&lt;=5,Q50&gt;=1,Q50&lt;=5),P50*Q50,"Incomplete"))</f>
        <v/>
      </c>
      <c r="S50" s="52" t="str">
        <f aca="false">IF(A50="","",IF(ISNUMBER(R50),LOOKUP(R50,BandMin,BandName),"Incomplete"))</f>
        <v/>
      </c>
      <c r="T50" s="34"/>
      <c r="U50" s="50"/>
      <c r="V50" s="50"/>
      <c r="W50" s="50"/>
      <c r="X50" s="52" t="str">
        <f aca="false">IF(A50="","",IF(AND(V50="",W50=""),"Not set",IF(AND(ISNUMBER(V50),ISNUMBER(W50),V50&gt;=1,V50&lt;=5,W50&gt;=1,W50&lt;=5),V50*W50,"Incomplete")))</f>
        <v/>
      </c>
      <c r="Y50" s="52" t="str">
        <f aca="false">IF(A50="","",IF(X50="Not set","Not set",IF(ISNUMBER(X50),LOOKUP(X50,BandMin,BandName),"Incomplete")))</f>
        <v/>
      </c>
      <c r="Z50" s="34"/>
      <c r="AA50" s="54" t="str">
        <f aca="false">IF(A50="","",IF(AppetiteThreshold="","Not configured",IF(NOT(ISNUMBER(R50)),"Cannot assess - residual incomplete",IF(MATCH(S50,BandName,0)&gt;=MATCH(AppetiteThreshold,BandName,0),"Above appetite - escalation required","Within appetite"))))</f>
        <v/>
      </c>
      <c r="AB50" s="50"/>
      <c r="AC50" s="54" t="str">
        <f aca="false">IF(A50="","",IF(AB50="","No decision referenced",IFERROR(INDEX(DEC_FINAL,MATCH(AB50,DEC_ID,0))&amp;" - "&amp;INDEX(DEC_CURR,MATCH(AB50,DEC_ID,0)),"CHECK: Decision ID not found")))</f>
        <v/>
      </c>
      <c r="AD50" s="54" t="str">
        <f aca="false">IF(A50="","",IF(COUNTIF(TRT_RISK,A50)=0,"No treatment recorded",COUNTIF(TRT_RISK,A50)&amp;" action(s); "&amp;COUNTIFS(TRT_RISK,A50,TRT_OPEN,"Open")&amp;" open; "&amp;COUNTIFS(TRT_RISK,A50,TRT_OVERDUE,"Overdue")&amp;" overdue"))</f>
        <v/>
      </c>
      <c r="AE50" s="51"/>
      <c r="AF50" s="51"/>
      <c r="AG50" s="54" t="str">
        <f aca="false">IF(A50="","",IF(AI50="","Complete","Incomplete: "&amp;AI50))</f>
        <v/>
      </c>
      <c r="AH50" s="54" t="str">
        <f aca="false">IF(A50="","",IF(COUNTIF(RSK_ID,A50)&gt;1,"CHECK: duplicate ID",IF(B50="","CHECK: Supplier ID missing",IF(COUNTIF(INV_ID,B50)=0,"CHECK: Supplier ID not in inventory",IF(AND(ISNUMBER(R50),ISNUMBER(L50),R50&gt;L50),"CHECK: residual score exceeds inherent - confirm",IF(AND(ISNUMBER(AF50),AF50&lt;AsOf),"Review overdue (administrative)","OK"))))))</f>
        <v/>
      </c>
      <c r="AI50" s="52" t="str">
        <f aca="false">IF(A50="","",IF(I50="","risk owner; ","")&amp;IF(OR(J50="",K50=""),"inherent rating; ","")&amp;IF(N50="","inherent rationale; ","")&amp;IF(OR(P50="",Q50=""),"residual rating; ","")&amp;IF(AND(OR(P50&lt;&gt;"",Q50&lt;&gt;""),T50=""),"residual rationale; ","")&amp;IF(AND(OR(P50&lt;&gt;"",Q50&lt;&gt;""),U50=""),"assessment confidence; ","")&amp;IF(AE50="","assessment date; ",""))</f>
        <v/>
      </c>
      <c r="AJ50" s="52" t="str">
        <f aca="false">IF(OR(A50="",B50=""),"",IF(B50=RptSup,B50&amp;"|"&amp;COUNTIF($B$7:B50,B50),""))</f>
        <v/>
      </c>
    </row>
    <row r="51" customFormat="false" ht="15" hidden="false" customHeight="false" outlineLevel="0" collapsed="false">
      <c r="A51" s="50"/>
      <c r="B51" s="50"/>
      <c r="C51" s="59" t="str">
        <f aca="false">IF(B51="","",IFERROR(INDEX(INV_NAME,MATCH(B51,INV_ID,0)),"CHECK: Supplier ID not found"))</f>
        <v/>
      </c>
      <c r="D51" s="34"/>
      <c r="E51" s="34"/>
      <c r="F51" s="34"/>
      <c r="G51" s="34"/>
      <c r="H51" s="34"/>
      <c r="I51" s="34"/>
      <c r="J51" s="50"/>
      <c r="K51" s="50"/>
      <c r="L51" s="52" t="str">
        <f aca="false">IF(A51="","",IF(AND(ISNUMBER(J51),ISNUMBER(K51),J51&gt;=1,J51&lt;=5,K51&gt;=1,K51&lt;=5),J51*K51,"Incomplete"))</f>
        <v/>
      </c>
      <c r="M51" s="52" t="str">
        <f aca="false">IF(A51="","",IF(ISNUMBER(L51),LOOKUP(L51,BandMin,BandName),"Incomplete"))</f>
        <v/>
      </c>
      <c r="N51" s="34"/>
      <c r="O51" s="34"/>
      <c r="P51" s="50"/>
      <c r="Q51" s="50"/>
      <c r="R51" s="61" t="str">
        <f aca="false">IF(A51="","",IF(AND(ISNUMBER(P51),ISNUMBER(Q51),P51&gt;=1,P51&lt;=5,Q51&gt;=1,Q51&lt;=5),P51*Q51,"Incomplete"))</f>
        <v/>
      </c>
      <c r="S51" s="52" t="str">
        <f aca="false">IF(A51="","",IF(ISNUMBER(R51),LOOKUP(R51,BandMin,BandName),"Incomplete"))</f>
        <v/>
      </c>
      <c r="T51" s="34"/>
      <c r="U51" s="50"/>
      <c r="V51" s="50"/>
      <c r="W51" s="50"/>
      <c r="X51" s="52" t="str">
        <f aca="false">IF(A51="","",IF(AND(V51="",W51=""),"Not set",IF(AND(ISNUMBER(V51),ISNUMBER(W51),V51&gt;=1,V51&lt;=5,W51&gt;=1,W51&lt;=5),V51*W51,"Incomplete")))</f>
        <v/>
      </c>
      <c r="Y51" s="52" t="str">
        <f aca="false">IF(A51="","",IF(X51="Not set","Not set",IF(ISNUMBER(X51),LOOKUP(X51,BandMin,BandName),"Incomplete")))</f>
        <v/>
      </c>
      <c r="Z51" s="34"/>
      <c r="AA51" s="54" t="str">
        <f aca="false">IF(A51="","",IF(AppetiteThreshold="","Not configured",IF(NOT(ISNUMBER(R51)),"Cannot assess - residual incomplete",IF(MATCH(S51,BandName,0)&gt;=MATCH(AppetiteThreshold,BandName,0),"Above appetite - escalation required","Within appetite"))))</f>
        <v/>
      </c>
      <c r="AB51" s="50"/>
      <c r="AC51" s="54" t="str">
        <f aca="false">IF(A51="","",IF(AB51="","No decision referenced",IFERROR(INDEX(DEC_FINAL,MATCH(AB51,DEC_ID,0))&amp;" - "&amp;INDEX(DEC_CURR,MATCH(AB51,DEC_ID,0)),"CHECK: Decision ID not found")))</f>
        <v/>
      </c>
      <c r="AD51" s="54" t="str">
        <f aca="false">IF(A51="","",IF(COUNTIF(TRT_RISK,A51)=0,"No treatment recorded",COUNTIF(TRT_RISK,A51)&amp;" action(s); "&amp;COUNTIFS(TRT_RISK,A51,TRT_OPEN,"Open")&amp;" open; "&amp;COUNTIFS(TRT_RISK,A51,TRT_OVERDUE,"Overdue")&amp;" overdue"))</f>
        <v/>
      </c>
      <c r="AE51" s="51"/>
      <c r="AF51" s="51"/>
      <c r="AG51" s="54" t="str">
        <f aca="false">IF(A51="","",IF(AI51="","Complete","Incomplete: "&amp;AI51))</f>
        <v/>
      </c>
      <c r="AH51" s="54" t="str">
        <f aca="false">IF(A51="","",IF(COUNTIF(RSK_ID,A51)&gt;1,"CHECK: duplicate ID",IF(B51="","CHECK: Supplier ID missing",IF(COUNTIF(INV_ID,B51)=0,"CHECK: Supplier ID not in inventory",IF(AND(ISNUMBER(R51),ISNUMBER(L51),R51&gt;L51),"CHECK: residual score exceeds inherent - confirm",IF(AND(ISNUMBER(AF51),AF51&lt;AsOf),"Review overdue (administrative)","OK"))))))</f>
        <v/>
      </c>
      <c r="AI51" s="52" t="str">
        <f aca="false">IF(A51="","",IF(I51="","risk owner; ","")&amp;IF(OR(J51="",K51=""),"inherent rating; ","")&amp;IF(N51="","inherent rationale; ","")&amp;IF(OR(P51="",Q51=""),"residual rating; ","")&amp;IF(AND(OR(P51&lt;&gt;"",Q51&lt;&gt;""),T51=""),"residual rationale; ","")&amp;IF(AND(OR(P51&lt;&gt;"",Q51&lt;&gt;""),U51=""),"assessment confidence; ","")&amp;IF(AE51="","assessment date; ",""))</f>
        <v/>
      </c>
      <c r="AJ51" s="52" t="str">
        <f aca="false">IF(OR(A51="",B51=""),"",IF(B51=RptSup,B51&amp;"|"&amp;COUNTIF($B$7:B51,B51),""))</f>
        <v/>
      </c>
    </row>
    <row r="52" customFormat="false" ht="15" hidden="false" customHeight="false" outlineLevel="0" collapsed="false">
      <c r="A52" s="50"/>
      <c r="B52" s="50"/>
      <c r="C52" s="59" t="str">
        <f aca="false">IF(B52="","",IFERROR(INDEX(INV_NAME,MATCH(B52,INV_ID,0)),"CHECK: Supplier ID not found"))</f>
        <v/>
      </c>
      <c r="D52" s="34"/>
      <c r="E52" s="34"/>
      <c r="F52" s="34"/>
      <c r="G52" s="34"/>
      <c r="H52" s="34"/>
      <c r="I52" s="34"/>
      <c r="J52" s="50"/>
      <c r="K52" s="50"/>
      <c r="L52" s="52" t="str">
        <f aca="false">IF(A52="","",IF(AND(ISNUMBER(J52),ISNUMBER(K52),J52&gt;=1,J52&lt;=5,K52&gt;=1,K52&lt;=5),J52*K52,"Incomplete"))</f>
        <v/>
      </c>
      <c r="M52" s="52" t="str">
        <f aca="false">IF(A52="","",IF(ISNUMBER(L52),LOOKUP(L52,BandMin,BandName),"Incomplete"))</f>
        <v/>
      </c>
      <c r="N52" s="34"/>
      <c r="O52" s="34"/>
      <c r="P52" s="50"/>
      <c r="Q52" s="50"/>
      <c r="R52" s="61" t="str">
        <f aca="false">IF(A52="","",IF(AND(ISNUMBER(P52),ISNUMBER(Q52),P52&gt;=1,P52&lt;=5,Q52&gt;=1,Q52&lt;=5),P52*Q52,"Incomplete"))</f>
        <v/>
      </c>
      <c r="S52" s="52" t="str">
        <f aca="false">IF(A52="","",IF(ISNUMBER(R52),LOOKUP(R52,BandMin,BandName),"Incomplete"))</f>
        <v/>
      </c>
      <c r="T52" s="34"/>
      <c r="U52" s="50"/>
      <c r="V52" s="50"/>
      <c r="W52" s="50"/>
      <c r="X52" s="52" t="str">
        <f aca="false">IF(A52="","",IF(AND(V52="",W52=""),"Not set",IF(AND(ISNUMBER(V52),ISNUMBER(W52),V52&gt;=1,V52&lt;=5,W52&gt;=1,W52&lt;=5),V52*W52,"Incomplete")))</f>
        <v/>
      </c>
      <c r="Y52" s="52" t="str">
        <f aca="false">IF(A52="","",IF(X52="Not set","Not set",IF(ISNUMBER(X52),LOOKUP(X52,BandMin,BandName),"Incomplete")))</f>
        <v/>
      </c>
      <c r="Z52" s="34"/>
      <c r="AA52" s="54" t="str">
        <f aca="false">IF(A52="","",IF(AppetiteThreshold="","Not configured",IF(NOT(ISNUMBER(R52)),"Cannot assess - residual incomplete",IF(MATCH(S52,BandName,0)&gt;=MATCH(AppetiteThreshold,BandName,0),"Above appetite - escalation required","Within appetite"))))</f>
        <v/>
      </c>
      <c r="AB52" s="50"/>
      <c r="AC52" s="54" t="str">
        <f aca="false">IF(A52="","",IF(AB52="","No decision referenced",IFERROR(INDEX(DEC_FINAL,MATCH(AB52,DEC_ID,0))&amp;" - "&amp;INDEX(DEC_CURR,MATCH(AB52,DEC_ID,0)),"CHECK: Decision ID not found")))</f>
        <v/>
      </c>
      <c r="AD52" s="54" t="str">
        <f aca="false">IF(A52="","",IF(COUNTIF(TRT_RISK,A52)=0,"No treatment recorded",COUNTIF(TRT_RISK,A52)&amp;" action(s); "&amp;COUNTIFS(TRT_RISK,A52,TRT_OPEN,"Open")&amp;" open; "&amp;COUNTIFS(TRT_RISK,A52,TRT_OVERDUE,"Overdue")&amp;" overdue"))</f>
        <v/>
      </c>
      <c r="AE52" s="51"/>
      <c r="AF52" s="51"/>
      <c r="AG52" s="54" t="str">
        <f aca="false">IF(A52="","",IF(AI52="","Complete","Incomplete: "&amp;AI52))</f>
        <v/>
      </c>
      <c r="AH52" s="54" t="str">
        <f aca="false">IF(A52="","",IF(COUNTIF(RSK_ID,A52)&gt;1,"CHECK: duplicate ID",IF(B52="","CHECK: Supplier ID missing",IF(COUNTIF(INV_ID,B52)=0,"CHECK: Supplier ID not in inventory",IF(AND(ISNUMBER(R52),ISNUMBER(L52),R52&gt;L52),"CHECK: residual score exceeds inherent - confirm",IF(AND(ISNUMBER(AF52),AF52&lt;AsOf),"Review overdue (administrative)","OK"))))))</f>
        <v/>
      </c>
      <c r="AI52" s="52" t="str">
        <f aca="false">IF(A52="","",IF(I52="","risk owner; ","")&amp;IF(OR(J52="",K52=""),"inherent rating; ","")&amp;IF(N52="","inherent rationale; ","")&amp;IF(OR(P52="",Q52=""),"residual rating; ","")&amp;IF(AND(OR(P52&lt;&gt;"",Q52&lt;&gt;""),T52=""),"residual rationale; ","")&amp;IF(AND(OR(P52&lt;&gt;"",Q52&lt;&gt;""),U52=""),"assessment confidence; ","")&amp;IF(AE52="","assessment date; ",""))</f>
        <v/>
      </c>
      <c r="AJ52" s="52" t="str">
        <f aca="false">IF(OR(A52="",B52=""),"",IF(B52=RptSup,B52&amp;"|"&amp;COUNTIF($B$7:B52,B52),""))</f>
        <v/>
      </c>
    </row>
    <row r="53" customFormat="false" ht="15" hidden="false" customHeight="false" outlineLevel="0" collapsed="false">
      <c r="A53" s="50"/>
      <c r="B53" s="50"/>
      <c r="C53" s="59" t="str">
        <f aca="false">IF(B53="","",IFERROR(INDEX(INV_NAME,MATCH(B53,INV_ID,0)),"CHECK: Supplier ID not found"))</f>
        <v/>
      </c>
      <c r="D53" s="34"/>
      <c r="E53" s="34"/>
      <c r="F53" s="34"/>
      <c r="G53" s="34"/>
      <c r="H53" s="34"/>
      <c r="I53" s="34"/>
      <c r="J53" s="50"/>
      <c r="K53" s="50"/>
      <c r="L53" s="52" t="str">
        <f aca="false">IF(A53="","",IF(AND(ISNUMBER(J53),ISNUMBER(K53),J53&gt;=1,J53&lt;=5,K53&gt;=1,K53&lt;=5),J53*K53,"Incomplete"))</f>
        <v/>
      </c>
      <c r="M53" s="52" t="str">
        <f aca="false">IF(A53="","",IF(ISNUMBER(L53),LOOKUP(L53,BandMin,BandName),"Incomplete"))</f>
        <v/>
      </c>
      <c r="N53" s="34"/>
      <c r="O53" s="34"/>
      <c r="P53" s="50"/>
      <c r="Q53" s="50"/>
      <c r="R53" s="61" t="str">
        <f aca="false">IF(A53="","",IF(AND(ISNUMBER(P53),ISNUMBER(Q53),P53&gt;=1,P53&lt;=5,Q53&gt;=1,Q53&lt;=5),P53*Q53,"Incomplete"))</f>
        <v/>
      </c>
      <c r="S53" s="52" t="str">
        <f aca="false">IF(A53="","",IF(ISNUMBER(R53),LOOKUP(R53,BandMin,BandName),"Incomplete"))</f>
        <v/>
      </c>
      <c r="T53" s="34"/>
      <c r="U53" s="50"/>
      <c r="V53" s="50"/>
      <c r="W53" s="50"/>
      <c r="X53" s="52" t="str">
        <f aca="false">IF(A53="","",IF(AND(V53="",W53=""),"Not set",IF(AND(ISNUMBER(V53),ISNUMBER(W53),V53&gt;=1,V53&lt;=5,W53&gt;=1,W53&lt;=5),V53*W53,"Incomplete")))</f>
        <v/>
      </c>
      <c r="Y53" s="52" t="str">
        <f aca="false">IF(A53="","",IF(X53="Not set","Not set",IF(ISNUMBER(X53),LOOKUP(X53,BandMin,BandName),"Incomplete")))</f>
        <v/>
      </c>
      <c r="Z53" s="34"/>
      <c r="AA53" s="54" t="str">
        <f aca="false">IF(A53="","",IF(AppetiteThreshold="","Not configured",IF(NOT(ISNUMBER(R53)),"Cannot assess - residual incomplete",IF(MATCH(S53,BandName,0)&gt;=MATCH(AppetiteThreshold,BandName,0),"Above appetite - escalation required","Within appetite"))))</f>
        <v/>
      </c>
      <c r="AB53" s="50"/>
      <c r="AC53" s="54" t="str">
        <f aca="false">IF(A53="","",IF(AB53="","No decision referenced",IFERROR(INDEX(DEC_FINAL,MATCH(AB53,DEC_ID,0))&amp;" - "&amp;INDEX(DEC_CURR,MATCH(AB53,DEC_ID,0)),"CHECK: Decision ID not found")))</f>
        <v/>
      </c>
      <c r="AD53" s="54" t="str">
        <f aca="false">IF(A53="","",IF(COUNTIF(TRT_RISK,A53)=0,"No treatment recorded",COUNTIF(TRT_RISK,A53)&amp;" action(s); "&amp;COUNTIFS(TRT_RISK,A53,TRT_OPEN,"Open")&amp;" open; "&amp;COUNTIFS(TRT_RISK,A53,TRT_OVERDUE,"Overdue")&amp;" overdue"))</f>
        <v/>
      </c>
      <c r="AE53" s="51"/>
      <c r="AF53" s="51"/>
      <c r="AG53" s="54" t="str">
        <f aca="false">IF(A53="","",IF(AI53="","Complete","Incomplete: "&amp;AI53))</f>
        <v/>
      </c>
      <c r="AH53" s="54" t="str">
        <f aca="false">IF(A53="","",IF(COUNTIF(RSK_ID,A53)&gt;1,"CHECK: duplicate ID",IF(B53="","CHECK: Supplier ID missing",IF(COUNTIF(INV_ID,B53)=0,"CHECK: Supplier ID not in inventory",IF(AND(ISNUMBER(R53),ISNUMBER(L53),R53&gt;L53),"CHECK: residual score exceeds inherent - confirm",IF(AND(ISNUMBER(AF53),AF53&lt;AsOf),"Review overdue (administrative)","OK"))))))</f>
        <v/>
      </c>
      <c r="AI53" s="52" t="str">
        <f aca="false">IF(A53="","",IF(I53="","risk owner; ","")&amp;IF(OR(J53="",K53=""),"inherent rating; ","")&amp;IF(N53="","inherent rationale; ","")&amp;IF(OR(P53="",Q53=""),"residual rating; ","")&amp;IF(AND(OR(P53&lt;&gt;"",Q53&lt;&gt;""),T53=""),"residual rationale; ","")&amp;IF(AND(OR(P53&lt;&gt;"",Q53&lt;&gt;""),U53=""),"assessment confidence; ","")&amp;IF(AE53="","assessment date; ",""))</f>
        <v/>
      </c>
      <c r="AJ53" s="52" t="str">
        <f aca="false">IF(OR(A53="",B53=""),"",IF(B53=RptSup,B53&amp;"|"&amp;COUNTIF($B$7:B53,B53),""))</f>
        <v/>
      </c>
    </row>
    <row r="54" customFormat="false" ht="15" hidden="false" customHeight="false" outlineLevel="0" collapsed="false">
      <c r="A54" s="50"/>
      <c r="B54" s="50"/>
      <c r="C54" s="59" t="str">
        <f aca="false">IF(B54="","",IFERROR(INDEX(INV_NAME,MATCH(B54,INV_ID,0)),"CHECK: Supplier ID not found"))</f>
        <v/>
      </c>
      <c r="D54" s="34"/>
      <c r="E54" s="34"/>
      <c r="F54" s="34"/>
      <c r="G54" s="34"/>
      <c r="H54" s="34"/>
      <c r="I54" s="34"/>
      <c r="J54" s="50"/>
      <c r="K54" s="50"/>
      <c r="L54" s="52" t="str">
        <f aca="false">IF(A54="","",IF(AND(ISNUMBER(J54),ISNUMBER(K54),J54&gt;=1,J54&lt;=5,K54&gt;=1,K54&lt;=5),J54*K54,"Incomplete"))</f>
        <v/>
      </c>
      <c r="M54" s="52" t="str">
        <f aca="false">IF(A54="","",IF(ISNUMBER(L54),LOOKUP(L54,BandMin,BandName),"Incomplete"))</f>
        <v/>
      </c>
      <c r="N54" s="34"/>
      <c r="O54" s="34"/>
      <c r="P54" s="50"/>
      <c r="Q54" s="50"/>
      <c r="R54" s="61" t="str">
        <f aca="false">IF(A54="","",IF(AND(ISNUMBER(P54),ISNUMBER(Q54),P54&gt;=1,P54&lt;=5,Q54&gt;=1,Q54&lt;=5),P54*Q54,"Incomplete"))</f>
        <v/>
      </c>
      <c r="S54" s="52" t="str">
        <f aca="false">IF(A54="","",IF(ISNUMBER(R54),LOOKUP(R54,BandMin,BandName),"Incomplete"))</f>
        <v/>
      </c>
      <c r="T54" s="34"/>
      <c r="U54" s="50"/>
      <c r="V54" s="50"/>
      <c r="W54" s="50"/>
      <c r="X54" s="52" t="str">
        <f aca="false">IF(A54="","",IF(AND(V54="",W54=""),"Not set",IF(AND(ISNUMBER(V54),ISNUMBER(W54),V54&gt;=1,V54&lt;=5,W54&gt;=1,W54&lt;=5),V54*W54,"Incomplete")))</f>
        <v/>
      </c>
      <c r="Y54" s="52" t="str">
        <f aca="false">IF(A54="","",IF(X54="Not set","Not set",IF(ISNUMBER(X54),LOOKUP(X54,BandMin,BandName),"Incomplete")))</f>
        <v/>
      </c>
      <c r="Z54" s="34"/>
      <c r="AA54" s="54" t="str">
        <f aca="false">IF(A54="","",IF(AppetiteThreshold="","Not configured",IF(NOT(ISNUMBER(R54)),"Cannot assess - residual incomplete",IF(MATCH(S54,BandName,0)&gt;=MATCH(AppetiteThreshold,BandName,0),"Above appetite - escalation required","Within appetite"))))</f>
        <v/>
      </c>
      <c r="AB54" s="50"/>
      <c r="AC54" s="54" t="str">
        <f aca="false">IF(A54="","",IF(AB54="","No decision referenced",IFERROR(INDEX(DEC_FINAL,MATCH(AB54,DEC_ID,0))&amp;" - "&amp;INDEX(DEC_CURR,MATCH(AB54,DEC_ID,0)),"CHECK: Decision ID not found")))</f>
        <v/>
      </c>
      <c r="AD54" s="54" t="str">
        <f aca="false">IF(A54="","",IF(COUNTIF(TRT_RISK,A54)=0,"No treatment recorded",COUNTIF(TRT_RISK,A54)&amp;" action(s); "&amp;COUNTIFS(TRT_RISK,A54,TRT_OPEN,"Open")&amp;" open; "&amp;COUNTIFS(TRT_RISK,A54,TRT_OVERDUE,"Overdue")&amp;" overdue"))</f>
        <v/>
      </c>
      <c r="AE54" s="51"/>
      <c r="AF54" s="51"/>
      <c r="AG54" s="54" t="str">
        <f aca="false">IF(A54="","",IF(AI54="","Complete","Incomplete: "&amp;AI54))</f>
        <v/>
      </c>
      <c r="AH54" s="54" t="str">
        <f aca="false">IF(A54="","",IF(COUNTIF(RSK_ID,A54)&gt;1,"CHECK: duplicate ID",IF(B54="","CHECK: Supplier ID missing",IF(COUNTIF(INV_ID,B54)=0,"CHECK: Supplier ID not in inventory",IF(AND(ISNUMBER(R54),ISNUMBER(L54),R54&gt;L54),"CHECK: residual score exceeds inherent - confirm",IF(AND(ISNUMBER(AF54),AF54&lt;AsOf),"Review overdue (administrative)","OK"))))))</f>
        <v/>
      </c>
      <c r="AI54" s="52" t="str">
        <f aca="false">IF(A54="","",IF(I54="","risk owner; ","")&amp;IF(OR(J54="",K54=""),"inherent rating; ","")&amp;IF(N54="","inherent rationale; ","")&amp;IF(OR(P54="",Q54=""),"residual rating; ","")&amp;IF(AND(OR(P54&lt;&gt;"",Q54&lt;&gt;""),T54=""),"residual rationale; ","")&amp;IF(AND(OR(P54&lt;&gt;"",Q54&lt;&gt;""),U54=""),"assessment confidence; ","")&amp;IF(AE54="","assessment date; ",""))</f>
        <v/>
      </c>
      <c r="AJ54" s="52" t="str">
        <f aca="false">IF(OR(A54="",B54=""),"",IF(B54=RptSup,B54&amp;"|"&amp;COUNTIF($B$7:B54,B54),""))</f>
        <v/>
      </c>
    </row>
    <row r="55" customFormat="false" ht="15" hidden="false" customHeight="false" outlineLevel="0" collapsed="false">
      <c r="A55" s="50"/>
      <c r="B55" s="50"/>
      <c r="C55" s="59" t="str">
        <f aca="false">IF(B55="","",IFERROR(INDEX(INV_NAME,MATCH(B55,INV_ID,0)),"CHECK: Supplier ID not found"))</f>
        <v/>
      </c>
      <c r="D55" s="34"/>
      <c r="E55" s="34"/>
      <c r="F55" s="34"/>
      <c r="G55" s="34"/>
      <c r="H55" s="34"/>
      <c r="I55" s="34"/>
      <c r="J55" s="50"/>
      <c r="K55" s="50"/>
      <c r="L55" s="52" t="str">
        <f aca="false">IF(A55="","",IF(AND(ISNUMBER(J55),ISNUMBER(K55),J55&gt;=1,J55&lt;=5,K55&gt;=1,K55&lt;=5),J55*K55,"Incomplete"))</f>
        <v/>
      </c>
      <c r="M55" s="52" t="str">
        <f aca="false">IF(A55="","",IF(ISNUMBER(L55),LOOKUP(L55,BandMin,BandName),"Incomplete"))</f>
        <v/>
      </c>
      <c r="N55" s="34"/>
      <c r="O55" s="34"/>
      <c r="P55" s="50"/>
      <c r="Q55" s="50"/>
      <c r="R55" s="61" t="str">
        <f aca="false">IF(A55="","",IF(AND(ISNUMBER(P55),ISNUMBER(Q55),P55&gt;=1,P55&lt;=5,Q55&gt;=1,Q55&lt;=5),P55*Q55,"Incomplete"))</f>
        <v/>
      </c>
      <c r="S55" s="52" t="str">
        <f aca="false">IF(A55="","",IF(ISNUMBER(R55),LOOKUP(R55,BandMin,BandName),"Incomplete"))</f>
        <v/>
      </c>
      <c r="T55" s="34"/>
      <c r="U55" s="50"/>
      <c r="V55" s="50"/>
      <c r="W55" s="50"/>
      <c r="X55" s="52" t="str">
        <f aca="false">IF(A55="","",IF(AND(V55="",W55=""),"Not set",IF(AND(ISNUMBER(V55),ISNUMBER(W55),V55&gt;=1,V55&lt;=5,W55&gt;=1,W55&lt;=5),V55*W55,"Incomplete")))</f>
        <v/>
      </c>
      <c r="Y55" s="52" t="str">
        <f aca="false">IF(A55="","",IF(X55="Not set","Not set",IF(ISNUMBER(X55),LOOKUP(X55,BandMin,BandName),"Incomplete")))</f>
        <v/>
      </c>
      <c r="Z55" s="34"/>
      <c r="AA55" s="54" t="str">
        <f aca="false">IF(A55="","",IF(AppetiteThreshold="","Not configured",IF(NOT(ISNUMBER(R55)),"Cannot assess - residual incomplete",IF(MATCH(S55,BandName,0)&gt;=MATCH(AppetiteThreshold,BandName,0),"Above appetite - escalation required","Within appetite"))))</f>
        <v/>
      </c>
      <c r="AB55" s="50"/>
      <c r="AC55" s="54" t="str">
        <f aca="false">IF(A55="","",IF(AB55="","No decision referenced",IFERROR(INDEX(DEC_FINAL,MATCH(AB55,DEC_ID,0))&amp;" - "&amp;INDEX(DEC_CURR,MATCH(AB55,DEC_ID,0)),"CHECK: Decision ID not found")))</f>
        <v/>
      </c>
      <c r="AD55" s="54" t="str">
        <f aca="false">IF(A55="","",IF(COUNTIF(TRT_RISK,A55)=0,"No treatment recorded",COUNTIF(TRT_RISK,A55)&amp;" action(s); "&amp;COUNTIFS(TRT_RISK,A55,TRT_OPEN,"Open")&amp;" open; "&amp;COUNTIFS(TRT_RISK,A55,TRT_OVERDUE,"Overdue")&amp;" overdue"))</f>
        <v/>
      </c>
      <c r="AE55" s="51"/>
      <c r="AF55" s="51"/>
      <c r="AG55" s="54" t="str">
        <f aca="false">IF(A55="","",IF(AI55="","Complete","Incomplete: "&amp;AI55))</f>
        <v/>
      </c>
      <c r="AH55" s="54" t="str">
        <f aca="false">IF(A55="","",IF(COUNTIF(RSK_ID,A55)&gt;1,"CHECK: duplicate ID",IF(B55="","CHECK: Supplier ID missing",IF(COUNTIF(INV_ID,B55)=0,"CHECK: Supplier ID not in inventory",IF(AND(ISNUMBER(R55),ISNUMBER(L55),R55&gt;L55),"CHECK: residual score exceeds inherent - confirm",IF(AND(ISNUMBER(AF55),AF55&lt;AsOf),"Review overdue (administrative)","OK"))))))</f>
        <v/>
      </c>
      <c r="AI55" s="52" t="str">
        <f aca="false">IF(A55="","",IF(I55="","risk owner; ","")&amp;IF(OR(J55="",K55=""),"inherent rating; ","")&amp;IF(N55="","inherent rationale; ","")&amp;IF(OR(P55="",Q55=""),"residual rating; ","")&amp;IF(AND(OR(P55&lt;&gt;"",Q55&lt;&gt;""),T55=""),"residual rationale; ","")&amp;IF(AND(OR(P55&lt;&gt;"",Q55&lt;&gt;""),U55=""),"assessment confidence; ","")&amp;IF(AE55="","assessment date; ",""))</f>
        <v/>
      </c>
      <c r="AJ55" s="52" t="str">
        <f aca="false">IF(OR(A55="",B55=""),"",IF(B55=RptSup,B55&amp;"|"&amp;COUNTIF($B$7:B55,B55),""))</f>
        <v/>
      </c>
    </row>
    <row r="56" customFormat="false" ht="15" hidden="false" customHeight="false" outlineLevel="0" collapsed="false">
      <c r="A56" s="50"/>
      <c r="B56" s="50"/>
      <c r="C56" s="59" t="str">
        <f aca="false">IF(B56="","",IFERROR(INDEX(INV_NAME,MATCH(B56,INV_ID,0)),"CHECK: Supplier ID not found"))</f>
        <v/>
      </c>
      <c r="D56" s="34"/>
      <c r="E56" s="34"/>
      <c r="F56" s="34"/>
      <c r="G56" s="34"/>
      <c r="H56" s="34"/>
      <c r="I56" s="34"/>
      <c r="J56" s="50"/>
      <c r="K56" s="50"/>
      <c r="L56" s="52" t="str">
        <f aca="false">IF(A56="","",IF(AND(ISNUMBER(J56),ISNUMBER(K56),J56&gt;=1,J56&lt;=5,K56&gt;=1,K56&lt;=5),J56*K56,"Incomplete"))</f>
        <v/>
      </c>
      <c r="M56" s="52" t="str">
        <f aca="false">IF(A56="","",IF(ISNUMBER(L56),LOOKUP(L56,BandMin,BandName),"Incomplete"))</f>
        <v/>
      </c>
      <c r="N56" s="34"/>
      <c r="O56" s="34"/>
      <c r="P56" s="50"/>
      <c r="Q56" s="50"/>
      <c r="R56" s="61" t="str">
        <f aca="false">IF(A56="","",IF(AND(ISNUMBER(P56),ISNUMBER(Q56),P56&gt;=1,P56&lt;=5,Q56&gt;=1,Q56&lt;=5),P56*Q56,"Incomplete"))</f>
        <v/>
      </c>
      <c r="S56" s="52" t="str">
        <f aca="false">IF(A56="","",IF(ISNUMBER(R56),LOOKUP(R56,BandMin,BandName),"Incomplete"))</f>
        <v/>
      </c>
      <c r="T56" s="34"/>
      <c r="U56" s="50"/>
      <c r="V56" s="50"/>
      <c r="W56" s="50"/>
      <c r="X56" s="52" t="str">
        <f aca="false">IF(A56="","",IF(AND(V56="",W56=""),"Not set",IF(AND(ISNUMBER(V56),ISNUMBER(W56),V56&gt;=1,V56&lt;=5,W56&gt;=1,W56&lt;=5),V56*W56,"Incomplete")))</f>
        <v/>
      </c>
      <c r="Y56" s="52" t="str">
        <f aca="false">IF(A56="","",IF(X56="Not set","Not set",IF(ISNUMBER(X56),LOOKUP(X56,BandMin,BandName),"Incomplete")))</f>
        <v/>
      </c>
      <c r="Z56" s="34"/>
      <c r="AA56" s="54" t="str">
        <f aca="false">IF(A56="","",IF(AppetiteThreshold="","Not configured",IF(NOT(ISNUMBER(R56)),"Cannot assess - residual incomplete",IF(MATCH(S56,BandName,0)&gt;=MATCH(AppetiteThreshold,BandName,0),"Above appetite - escalation required","Within appetite"))))</f>
        <v/>
      </c>
      <c r="AB56" s="50"/>
      <c r="AC56" s="54" t="str">
        <f aca="false">IF(A56="","",IF(AB56="","No decision referenced",IFERROR(INDEX(DEC_FINAL,MATCH(AB56,DEC_ID,0))&amp;" - "&amp;INDEX(DEC_CURR,MATCH(AB56,DEC_ID,0)),"CHECK: Decision ID not found")))</f>
        <v/>
      </c>
      <c r="AD56" s="54" t="str">
        <f aca="false">IF(A56="","",IF(COUNTIF(TRT_RISK,A56)=0,"No treatment recorded",COUNTIF(TRT_RISK,A56)&amp;" action(s); "&amp;COUNTIFS(TRT_RISK,A56,TRT_OPEN,"Open")&amp;" open; "&amp;COUNTIFS(TRT_RISK,A56,TRT_OVERDUE,"Overdue")&amp;" overdue"))</f>
        <v/>
      </c>
      <c r="AE56" s="51"/>
      <c r="AF56" s="51"/>
      <c r="AG56" s="54" t="str">
        <f aca="false">IF(A56="","",IF(AI56="","Complete","Incomplete: "&amp;AI56))</f>
        <v/>
      </c>
      <c r="AH56" s="54" t="str">
        <f aca="false">IF(A56="","",IF(COUNTIF(RSK_ID,A56)&gt;1,"CHECK: duplicate ID",IF(B56="","CHECK: Supplier ID missing",IF(COUNTIF(INV_ID,B56)=0,"CHECK: Supplier ID not in inventory",IF(AND(ISNUMBER(R56),ISNUMBER(L56),R56&gt;L56),"CHECK: residual score exceeds inherent - confirm",IF(AND(ISNUMBER(AF56),AF56&lt;AsOf),"Review overdue (administrative)","OK"))))))</f>
        <v/>
      </c>
      <c r="AI56" s="52" t="str">
        <f aca="false">IF(A56="","",IF(I56="","risk owner; ","")&amp;IF(OR(J56="",K56=""),"inherent rating; ","")&amp;IF(N56="","inherent rationale; ","")&amp;IF(OR(P56="",Q56=""),"residual rating; ","")&amp;IF(AND(OR(P56&lt;&gt;"",Q56&lt;&gt;""),T56=""),"residual rationale; ","")&amp;IF(AND(OR(P56&lt;&gt;"",Q56&lt;&gt;""),U56=""),"assessment confidence; ","")&amp;IF(AE56="","assessment date; ",""))</f>
        <v/>
      </c>
      <c r="AJ56" s="52" t="str">
        <f aca="false">IF(OR(A56="",B56=""),"",IF(B56=RptSup,B56&amp;"|"&amp;COUNTIF($B$7:B56,B56),""))</f>
        <v/>
      </c>
    </row>
    <row r="57" customFormat="false" ht="15" hidden="false" customHeight="false" outlineLevel="0" collapsed="false">
      <c r="A57" s="50"/>
      <c r="B57" s="50"/>
      <c r="C57" s="59" t="str">
        <f aca="false">IF(B57="","",IFERROR(INDEX(INV_NAME,MATCH(B57,INV_ID,0)),"CHECK: Supplier ID not found"))</f>
        <v/>
      </c>
      <c r="D57" s="34"/>
      <c r="E57" s="34"/>
      <c r="F57" s="34"/>
      <c r="G57" s="34"/>
      <c r="H57" s="34"/>
      <c r="I57" s="34"/>
      <c r="J57" s="50"/>
      <c r="K57" s="50"/>
      <c r="L57" s="52" t="str">
        <f aca="false">IF(A57="","",IF(AND(ISNUMBER(J57),ISNUMBER(K57),J57&gt;=1,J57&lt;=5,K57&gt;=1,K57&lt;=5),J57*K57,"Incomplete"))</f>
        <v/>
      </c>
      <c r="M57" s="52" t="str">
        <f aca="false">IF(A57="","",IF(ISNUMBER(L57),LOOKUP(L57,BandMin,BandName),"Incomplete"))</f>
        <v/>
      </c>
      <c r="N57" s="34"/>
      <c r="O57" s="34"/>
      <c r="P57" s="50"/>
      <c r="Q57" s="50"/>
      <c r="R57" s="61" t="str">
        <f aca="false">IF(A57="","",IF(AND(ISNUMBER(P57),ISNUMBER(Q57),P57&gt;=1,P57&lt;=5,Q57&gt;=1,Q57&lt;=5),P57*Q57,"Incomplete"))</f>
        <v/>
      </c>
      <c r="S57" s="52" t="str">
        <f aca="false">IF(A57="","",IF(ISNUMBER(R57),LOOKUP(R57,BandMin,BandName),"Incomplete"))</f>
        <v/>
      </c>
      <c r="T57" s="34"/>
      <c r="U57" s="50"/>
      <c r="V57" s="50"/>
      <c r="W57" s="50"/>
      <c r="X57" s="52" t="str">
        <f aca="false">IF(A57="","",IF(AND(V57="",W57=""),"Not set",IF(AND(ISNUMBER(V57),ISNUMBER(W57),V57&gt;=1,V57&lt;=5,W57&gt;=1,W57&lt;=5),V57*W57,"Incomplete")))</f>
        <v/>
      </c>
      <c r="Y57" s="52" t="str">
        <f aca="false">IF(A57="","",IF(X57="Not set","Not set",IF(ISNUMBER(X57),LOOKUP(X57,BandMin,BandName),"Incomplete")))</f>
        <v/>
      </c>
      <c r="Z57" s="34"/>
      <c r="AA57" s="54" t="str">
        <f aca="false">IF(A57="","",IF(AppetiteThreshold="","Not configured",IF(NOT(ISNUMBER(R57)),"Cannot assess - residual incomplete",IF(MATCH(S57,BandName,0)&gt;=MATCH(AppetiteThreshold,BandName,0),"Above appetite - escalation required","Within appetite"))))</f>
        <v/>
      </c>
      <c r="AB57" s="50"/>
      <c r="AC57" s="54" t="str">
        <f aca="false">IF(A57="","",IF(AB57="","No decision referenced",IFERROR(INDEX(DEC_FINAL,MATCH(AB57,DEC_ID,0))&amp;" - "&amp;INDEX(DEC_CURR,MATCH(AB57,DEC_ID,0)),"CHECK: Decision ID not found")))</f>
        <v/>
      </c>
      <c r="AD57" s="54" t="str">
        <f aca="false">IF(A57="","",IF(COUNTIF(TRT_RISK,A57)=0,"No treatment recorded",COUNTIF(TRT_RISK,A57)&amp;" action(s); "&amp;COUNTIFS(TRT_RISK,A57,TRT_OPEN,"Open")&amp;" open; "&amp;COUNTIFS(TRT_RISK,A57,TRT_OVERDUE,"Overdue")&amp;" overdue"))</f>
        <v/>
      </c>
      <c r="AE57" s="51"/>
      <c r="AF57" s="51"/>
      <c r="AG57" s="54" t="str">
        <f aca="false">IF(A57="","",IF(AI57="","Complete","Incomplete: "&amp;AI57))</f>
        <v/>
      </c>
      <c r="AH57" s="54" t="str">
        <f aca="false">IF(A57="","",IF(COUNTIF(RSK_ID,A57)&gt;1,"CHECK: duplicate ID",IF(B57="","CHECK: Supplier ID missing",IF(COUNTIF(INV_ID,B57)=0,"CHECK: Supplier ID not in inventory",IF(AND(ISNUMBER(R57),ISNUMBER(L57),R57&gt;L57),"CHECK: residual score exceeds inherent - confirm",IF(AND(ISNUMBER(AF57),AF57&lt;AsOf),"Review overdue (administrative)","OK"))))))</f>
        <v/>
      </c>
      <c r="AI57" s="52" t="str">
        <f aca="false">IF(A57="","",IF(I57="","risk owner; ","")&amp;IF(OR(J57="",K57=""),"inherent rating; ","")&amp;IF(N57="","inherent rationale; ","")&amp;IF(OR(P57="",Q57=""),"residual rating; ","")&amp;IF(AND(OR(P57&lt;&gt;"",Q57&lt;&gt;""),T57=""),"residual rationale; ","")&amp;IF(AND(OR(P57&lt;&gt;"",Q57&lt;&gt;""),U57=""),"assessment confidence; ","")&amp;IF(AE57="","assessment date; ",""))</f>
        <v/>
      </c>
      <c r="AJ57" s="52" t="str">
        <f aca="false">IF(OR(A57="",B57=""),"",IF(B57=RptSup,B57&amp;"|"&amp;COUNTIF($B$7:B57,B57),""))</f>
        <v/>
      </c>
    </row>
    <row r="58" customFormat="false" ht="15" hidden="false" customHeight="false" outlineLevel="0" collapsed="false">
      <c r="A58" s="50"/>
      <c r="B58" s="50"/>
      <c r="C58" s="59" t="str">
        <f aca="false">IF(B58="","",IFERROR(INDEX(INV_NAME,MATCH(B58,INV_ID,0)),"CHECK: Supplier ID not found"))</f>
        <v/>
      </c>
      <c r="D58" s="34"/>
      <c r="E58" s="34"/>
      <c r="F58" s="34"/>
      <c r="G58" s="34"/>
      <c r="H58" s="34"/>
      <c r="I58" s="34"/>
      <c r="J58" s="50"/>
      <c r="K58" s="50"/>
      <c r="L58" s="52" t="str">
        <f aca="false">IF(A58="","",IF(AND(ISNUMBER(J58),ISNUMBER(K58),J58&gt;=1,J58&lt;=5,K58&gt;=1,K58&lt;=5),J58*K58,"Incomplete"))</f>
        <v/>
      </c>
      <c r="M58" s="52" t="str">
        <f aca="false">IF(A58="","",IF(ISNUMBER(L58),LOOKUP(L58,BandMin,BandName),"Incomplete"))</f>
        <v/>
      </c>
      <c r="N58" s="34"/>
      <c r="O58" s="34"/>
      <c r="P58" s="50"/>
      <c r="Q58" s="50"/>
      <c r="R58" s="61" t="str">
        <f aca="false">IF(A58="","",IF(AND(ISNUMBER(P58),ISNUMBER(Q58),P58&gt;=1,P58&lt;=5,Q58&gt;=1,Q58&lt;=5),P58*Q58,"Incomplete"))</f>
        <v/>
      </c>
      <c r="S58" s="52" t="str">
        <f aca="false">IF(A58="","",IF(ISNUMBER(R58),LOOKUP(R58,BandMin,BandName),"Incomplete"))</f>
        <v/>
      </c>
      <c r="T58" s="34"/>
      <c r="U58" s="50"/>
      <c r="V58" s="50"/>
      <c r="W58" s="50"/>
      <c r="X58" s="52" t="str">
        <f aca="false">IF(A58="","",IF(AND(V58="",W58=""),"Not set",IF(AND(ISNUMBER(V58),ISNUMBER(W58),V58&gt;=1,V58&lt;=5,W58&gt;=1,W58&lt;=5),V58*W58,"Incomplete")))</f>
        <v/>
      </c>
      <c r="Y58" s="52" t="str">
        <f aca="false">IF(A58="","",IF(X58="Not set","Not set",IF(ISNUMBER(X58),LOOKUP(X58,BandMin,BandName),"Incomplete")))</f>
        <v/>
      </c>
      <c r="Z58" s="34"/>
      <c r="AA58" s="54" t="str">
        <f aca="false">IF(A58="","",IF(AppetiteThreshold="","Not configured",IF(NOT(ISNUMBER(R58)),"Cannot assess - residual incomplete",IF(MATCH(S58,BandName,0)&gt;=MATCH(AppetiteThreshold,BandName,0),"Above appetite - escalation required","Within appetite"))))</f>
        <v/>
      </c>
      <c r="AB58" s="50"/>
      <c r="AC58" s="54" t="str">
        <f aca="false">IF(A58="","",IF(AB58="","No decision referenced",IFERROR(INDEX(DEC_FINAL,MATCH(AB58,DEC_ID,0))&amp;" - "&amp;INDEX(DEC_CURR,MATCH(AB58,DEC_ID,0)),"CHECK: Decision ID not found")))</f>
        <v/>
      </c>
      <c r="AD58" s="54" t="str">
        <f aca="false">IF(A58="","",IF(COUNTIF(TRT_RISK,A58)=0,"No treatment recorded",COUNTIF(TRT_RISK,A58)&amp;" action(s); "&amp;COUNTIFS(TRT_RISK,A58,TRT_OPEN,"Open")&amp;" open; "&amp;COUNTIFS(TRT_RISK,A58,TRT_OVERDUE,"Overdue")&amp;" overdue"))</f>
        <v/>
      </c>
      <c r="AE58" s="51"/>
      <c r="AF58" s="51"/>
      <c r="AG58" s="54" t="str">
        <f aca="false">IF(A58="","",IF(AI58="","Complete","Incomplete: "&amp;AI58))</f>
        <v/>
      </c>
      <c r="AH58" s="54" t="str">
        <f aca="false">IF(A58="","",IF(COUNTIF(RSK_ID,A58)&gt;1,"CHECK: duplicate ID",IF(B58="","CHECK: Supplier ID missing",IF(COUNTIF(INV_ID,B58)=0,"CHECK: Supplier ID not in inventory",IF(AND(ISNUMBER(R58),ISNUMBER(L58),R58&gt;L58),"CHECK: residual score exceeds inherent - confirm",IF(AND(ISNUMBER(AF58),AF58&lt;AsOf),"Review overdue (administrative)","OK"))))))</f>
        <v/>
      </c>
      <c r="AI58" s="52" t="str">
        <f aca="false">IF(A58="","",IF(I58="","risk owner; ","")&amp;IF(OR(J58="",K58=""),"inherent rating; ","")&amp;IF(N58="","inherent rationale; ","")&amp;IF(OR(P58="",Q58=""),"residual rating; ","")&amp;IF(AND(OR(P58&lt;&gt;"",Q58&lt;&gt;""),T58=""),"residual rationale; ","")&amp;IF(AND(OR(P58&lt;&gt;"",Q58&lt;&gt;""),U58=""),"assessment confidence; ","")&amp;IF(AE58="","assessment date; ",""))</f>
        <v/>
      </c>
      <c r="AJ58" s="52" t="str">
        <f aca="false">IF(OR(A58="",B58=""),"",IF(B58=RptSup,B58&amp;"|"&amp;COUNTIF($B$7:B58,B58),""))</f>
        <v/>
      </c>
    </row>
    <row r="59" customFormat="false" ht="15" hidden="false" customHeight="false" outlineLevel="0" collapsed="false">
      <c r="A59" s="50"/>
      <c r="B59" s="50"/>
      <c r="C59" s="59" t="str">
        <f aca="false">IF(B59="","",IFERROR(INDEX(INV_NAME,MATCH(B59,INV_ID,0)),"CHECK: Supplier ID not found"))</f>
        <v/>
      </c>
      <c r="D59" s="34"/>
      <c r="E59" s="34"/>
      <c r="F59" s="34"/>
      <c r="G59" s="34"/>
      <c r="H59" s="34"/>
      <c r="I59" s="34"/>
      <c r="J59" s="50"/>
      <c r="K59" s="50"/>
      <c r="L59" s="52" t="str">
        <f aca="false">IF(A59="","",IF(AND(ISNUMBER(J59),ISNUMBER(K59),J59&gt;=1,J59&lt;=5,K59&gt;=1,K59&lt;=5),J59*K59,"Incomplete"))</f>
        <v/>
      </c>
      <c r="M59" s="52" t="str">
        <f aca="false">IF(A59="","",IF(ISNUMBER(L59),LOOKUP(L59,BandMin,BandName),"Incomplete"))</f>
        <v/>
      </c>
      <c r="N59" s="34"/>
      <c r="O59" s="34"/>
      <c r="P59" s="50"/>
      <c r="Q59" s="50"/>
      <c r="R59" s="61" t="str">
        <f aca="false">IF(A59="","",IF(AND(ISNUMBER(P59),ISNUMBER(Q59),P59&gt;=1,P59&lt;=5,Q59&gt;=1,Q59&lt;=5),P59*Q59,"Incomplete"))</f>
        <v/>
      </c>
      <c r="S59" s="52" t="str">
        <f aca="false">IF(A59="","",IF(ISNUMBER(R59),LOOKUP(R59,BandMin,BandName),"Incomplete"))</f>
        <v/>
      </c>
      <c r="T59" s="34"/>
      <c r="U59" s="50"/>
      <c r="V59" s="50"/>
      <c r="W59" s="50"/>
      <c r="X59" s="52" t="str">
        <f aca="false">IF(A59="","",IF(AND(V59="",W59=""),"Not set",IF(AND(ISNUMBER(V59),ISNUMBER(W59),V59&gt;=1,V59&lt;=5,W59&gt;=1,W59&lt;=5),V59*W59,"Incomplete")))</f>
        <v/>
      </c>
      <c r="Y59" s="52" t="str">
        <f aca="false">IF(A59="","",IF(X59="Not set","Not set",IF(ISNUMBER(X59),LOOKUP(X59,BandMin,BandName),"Incomplete")))</f>
        <v/>
      </c>
      <c r="Z59" s="34"/>
      <c r="AA59" s="54" t="str">
        <f aca="false">IF(A59="","",IF(AppetiteThreshold="","Not configured",IF(NOT(ISNUMBER(R59)),"Cannot assess - residual incomplete",IF(MATCH(S59,BandName,0)&gt;=MATCH(AppetiteThreshold,BandName,0),"Above appetite - escalation required","Within appetite"))))</f>
        <v/>
      </c>
      <c r="AB59" s="50"/>
      <c r="AC59" s="54" t="str">
        <f aca="false">IF(A59="","",IF(AB59="","No decision referenced",IFERROR(INDEX(DEC_FINAL,MATCH(AB59,DEC_ID,0))&amp;" - "&amp;INDEX(DEC_CURR,MATCH(AB59,DEC_ID,0)),"CHECK: Decision ID not found")))</f>
        <v/>
      </c>
      <c r="AD59" s="54" t="str">
        <f aca="false">IF(A59="","",IF(COUNTIF(TRT_RISK,A59)=0,"No treatment recorded",COUNTIF(TRT_RISK,A59)&amp;" action(s); "&amp;COUNTIFS(TRT_RISK,A59,TRT_OPEN,"Open")&amp;" open; "&amp;COUNTIFS(TRT_RISK,A59,TRT_OVERDUE,"Overdue")&amp;" overdue"))</f>
        <v/>
      </c>
      <c r="AE59" s="51"/>
      <c r="AF59" s="51"/>
      <c r="AG59" s="54" t="str">
        <f aca="false">IF(A59="","",IF(AI59="","Complete","Incomplete: "&amp;AI59))</f>
        <v/>
      </c>
      <c r="AH59" s="54" t="str">
        <f aca="false">IF(A59="","",IF(COUNTIF(RSK_ID,A59)&gt;1,"CHECK: duplicate ID",IF(B59="","CHECK: Supplier ID missing",IF(COUNTIF(INV_ID,B59)=0,"CHECK: Supplier ID not in inventory",IF(AND(ISNUMBER(R59),ISNUMBER(L59),R59&gt;L59),"CHECK: residual score exceeds inherent - confirm",IF(AND(ISNUMBER(AF59),AF59&lt;AsOf),"Review overdue (administrative)","OK"))))))</f>
        <v/>
      </c>
      <c r="AI59" s="52" t="str">
        <f aca="false">IF(A59="","",IF(I59="","risk owner; ","")&amp;IF(OR(J59="",K59=""),"inherent rating; ","")&amp;IF(N59="","inherent rationale; ","")&amp;IF(OR(P59="",Q59=""),"residual rating; ","")&amp;IF(AND(OR(P59&lt;&gt;"",Q59&lt;&gt;""),T59=""),"residual rationale; ","")&amp;IF(AND(OR(P59&lt;&gt;"",Q59&lt;&gt;""),U59=""),"assessment confidence; ","")&amp;IF(AE59="","assessment date; ",""))</f>
        <v/>
      </c>
      <c r="AJ59" s="52" t="str">
        <f aca="false">IF(OR(A59="",B59=""),"",IF(B59=RptSup,B59&amp;"|"&amp;COUNTIF($B$7:B59,B59),""))</f>
        <v/>
      </c>
    </row>
    <row r="60" customFormat="false" ht="15" hidden="false" customHeight="false" outlineLevel="0" collapsed="false">
      <c r="A60" s="50"/>
      <c r="B60" s="50"/>
      <c r="C60" s="59" t="str">
        <f aca="false">IF(B60="","",IFERROR(INDEX(INV_NAME,MATCH(B60,INV_ID,0)),"CHECK: Supplier ID not found"))</f>
        <v/>
      </c>
      <c r="D60" s="34"/>
      <c r="E60" s="34"/>
      <c r="F60" s="34"/>
      <c r="G60" s="34"/>
      <c r="H60" s="34"/>
      <c r="I60" s="34"/>
      <c r="J60" s="50"/>
      <c r="K60" s="50"/>
      <c r="L60" s="52" t="str">
        <f aca="false">IF(A60="","",IF(AND(ISNUMBER(J60),ISNUMBER(K60),J60&gt;=1,J60&lt;=5,K60&gt;=1,K60&lt;=5),J60*K60,"Incomplete"))</f>
        <v/>
      </c>
      <c r="M60" s="52" t="str">
        <f aca="false">IF(A60="","",IF(ISNUMBER(L60),LOOKUP(L60,BandMin,BandName),"Incomplete"))</f>
        <v/>
      </c>
      <c r="N60" s="34"/>
      <c r="O60" s="34"/>
      <c r="P60" s="50"/>
      <c r="Q60" s="50"/>
      <c r="R60" s="61" t="str">
        <f aca="false">IF(A60="","",IF(AND(ISNUMBER(P60),ISNUMBER(Q60),P60&gt;=1,P60&lt;=5,Q60&gt;=1,Q60&lt;=5),P60*Q60,"Incomplete"))</f>
        <v/>
      </c>
      <c r="S60" s="52" t="str">
        <f aca="false">IF(A60="","",IF(ISNUMBER(R60),LOOKUP(R60,BandMin,BandName),"Incomplete"))</f>
        <v/>
      </c>
      <c r="T60" s="34"/>
      <c r="U60" s="50"/>
      <c r="V60" s="50"/>
      <c r="W60" s="50"/>
      <c r="X60" s="52" t="str">
        <f aca="false">IF(A60="","",IF(AND(V60="",W60=""),"Not set",IF(AND(ISNUMBER(V60),ISNUMBER(W60),V60&gt;=1,V60&lt;=5,W60&gt;=1,W60&lt;=5),V60*W60,"Incomplete")))</f>
        <v/>
      </c>
      <c r="Y60" s="52" t="str">
        <f aca="false">IF(A60="","",IF(X60="Not set","Not set",IF(ISNUMBER(X60),LOOKUP(X60,BandMin,BandName),"Incomplete")))</f>
        <v/>
      </c>
      <c r="Z60" s="34"/>
      <c r="AA60" s="54" t="str">
        <f aca="false">IF(A60="","",IF(AppetiteThreshold="","Not configured",IF(NOT(ISNUMBER(R60)),"Cannot assess - residual incomplete",IF(MATCH(S60,BandName,0)&gt;=MATCH(AppetiteThreshold,BandName,0),"Above appetite - escalation required","Within appetite"))))</f>
        <v/>
      </c>
      <c r="AB60" s="50"/>
      <c r="AC60" s="54" t="str">
        <f aca="false">IF(A60="","",IF(AB60="","No decision referenced",IFERROR(INDEX(DEC_FINAL,MATCH(AB60,DEC_ID,0))&amp;" - "&amp;INDEX(DEC_CURR,MATCH(AB60,DEC_ID,0)),"CHECK: Decision ID not found")))</f>
        <v/>
      </c>
      <c r="AD60" s="54" t="str">
        <f aca="false">IF(A60="","",IF(COUNTIF(TRT_RISK,A60)=0,"No treatment recorded",COUNTIF(TRT_RISK,A60)&amp;" action(s); "&amp;COUNTIFS(TRT_RISK,A60,TRT_OPEN,"Open")&amp;" open; "&amp;COUNTIFS(TRT_RISK,A60,TRT_OVERDUE,"Overdue")&amp;" overdue"))</f>
        <v/>
      </c>
      <c r="AE60" s="51"/>
      <c r="AF60" s="51"/>
      <c r="AG60" s="54" t="str">
        <f aca="false">IF(A60="","",IF(AI60="","Complete","Incomplete: "&amp;AI60))</f>
        <v/>
      </c>
      <c r="AH60" s="54" t="str">
        <f aca="false">IF(A60="","",IF(COUNTIF(RSK_ID,A60)&gt;1,"CHECK: duplicate ID",IF(B60="","CHECK: Supplier ID missing",IF(COUNTIF(INV_ID,B60)=0,"CHECK: Supplier ID not in inventory",IF(AND(ISNUMBER(R60),ISNUMBER(L60),R60&gt;L60),"CHECK: residual score exceeds inherent - confirm",IF(AND(ISNUMBER(AF60),AF60&lt;AsOf),"Review overdue (administrative)","OK"))))))</f>
        <v/>
      </c>
      <c r="AI60" s="52" t="str">
        <f aca="false">IF(A60="","",IF(I60="","risk owner; ","")&amp;IF(OR(J60="",K60=""),"inherent rating; ","")&amp;IF(N60="","inherent rationale; ","")&amp;IF(OR(P60="",Q60=""),"residual rating; ","")&amp;IF(AND(OR(P60&lt;&gt;"",Q60&lt;&gt;""),T60=""),"residual rationale; ","")&amp;IF(AND(OR(P60&lt;&gt;"",Q60&lt;&gt;""),U60=""),"assessment confidence; ","")&amp;IF(AE60="","assessment date; ",""))</f>
        <v/>
      </c>
      <c r="AJ60" s="52" t="str">
        <f aca="false">IF(OR(A60="",B60=""),"",IF(B60=RptSup,B60&amp;"|"&amp;COUNTIF($B$7:B60,B60),""))</f>
        <v/>
      </c>
    </row>
    <row r="61" customFormat="false" ht="15" hidden="false" customHeight="false" outlineLevel="0" collapsed="false">
      <c r="A61" s="50"/>
      <c r="B61" s="50"/>
      <c r="C61" s="59" t="str">
        <f aca="false">IF(B61="","",IFERROR(INDEX(INV_NAME,MATCH(B61,INV_ID,0)),"CHECK: Supplier ID not found"))</f>
        <v/>
      </c>
      <c r="D61" s="34"/>
      <c r="E61" s="34"/>
      <c r="F61" s="34"/>
      <c r="G61" s="34"/>
      <c r="H61" s="34"/>
      <c r="I61" s="34"/>
      <c r="J61" s="50"/>
      <c r="K61" s="50"/>
      <c r="L61" s="52" t="str">
        <f aca="false">IF(A61="","",IF(AND(ISNUMBER(J61),ISNUMBER(K61),J61&gt;=1,J61&lt;=5,K61&gt;=1,K61&lt;=5),J61*K61,"Incomplete"))</f>
        <v/>
      </c>
      <c r="M61" s="52" t="str">
        <f aca="false">IF(A61="","",IF(ISNUMBER(L61),LOOKUP(L61,BandMin,BandName),"Incomplete"))</f>
        <v/>
      </c>
      <c r="N61" s="34"/>
      <c r="O61" s="34"/>
      <c r="P61" s="50"/>
      <c r="Q61" s="50"/>
      <c r="R61" s="61" t="str">
        <f aca="false">IF(A61="","",IF(AND(ISNUMBER(P61),ISNUMBER(Q61),P61&gt;=1,P61&lt;=5,Q61&gt;=1,Q61&lt;=5),P61*Q61,"Incomplete"))</f>
        <v/>
      </c>
      <c r="S61" s="52" t="str">
        <f aca="false">IF(A61="","",IF(ISNUMBER(R61),LOOKUP(R61,BandMin,BandName),"Incomplete"))</f>
        <v/>
      </c>
      <c r="T61" s="34"/>
      <c r="U61" s="50"/>
      <c r="V61" s="50"/>
      <c r="W61" s="50"/>
      <c r="X61" s="52" t="str">
        <f aca="false">IF(A61="","",IF(AND(V61="",W61=""),"Not set",IF(AND(ISNUMBER(V61),ISNUMBER(W61),V61&gt;=1,V61&lt;=5,W61&gt;=1,W61&lt;=5),V61*W61,"Incomplete")))</f>
        <v/>
      </c>
      <c r="Y61" s="52" t="str">
        <f aca="false">IF(A61="","",IF(X61="Not set","Not set",IF(ISNUMBER(X61),LOOKUP(X61,BandMin,BandName),"Incomplete")))</f>
        <v/>
      </c>
      <c r="Z61" s="34"/>
      <c r="AA61" s="54" t="str">
        <f aca="false">IF(A61="","",IF(AppetiteThreshold="","Not configured",IF(NOT(ISNUMBER(R61)),"Cannot assess - residual incomplete",IF(MATCH(S61,BandName,0)&gt;=MATCH(AppetiteThreshold,BandName,0),"Above appetite - escalation required","Within appetite"))))</f>
        <v/>
      </c>
      <c r="AB61" s="50"/>
      <c r="AC61" s="54" t="str">
        <f aca="false">IF(A61="","",IF(AB61="","No decision referenced",IFERROR(INDEX(DEC_FINAL,MATCH(AB61,DEC_ID,0))&amp;" - "&amp;INDEX(DEC_CURR,MATCH(AB61,DEC_ID,0)),"CHECK: Decision ID not found")))</f>
        <v/>
      </c>
      <c r="AD61" s="54" t="str">
        <f aca="false">IF(A61="","",IF(COUNTIF(TRT_RISK,A61)=0,"No treatment recorded",COUNTIF(TRT_RISK,A61)&amp;" action(s); "&amp;COUNTIFS(TRT_RISK,A61,TRT_OPEN,"Open")&amp;" open; "&amp;COUNTIFS(TRT_RISK,A61,TRT_OVERDUE,"Overdue")&amp;" overdue"))</f>
        <v/>
      </c>
      <c r="AE61" s="51"/>
      <c r="AF61" s="51"/>
      <c r="AG61" s="54" t="str">
        <f aca="false">IF(A61="","",IF(AI61="","Complete","Incomplete: "&amp;AI61))</f>
        <v/>
      </c>
      <c r="AH61" s="54" t="str">
        <f aca="false">IF(A61="","",IF(COUNTIF(RSK_ID,A61)&gt;1,"CHECK: duplicate ID",IF(B61="","CHECK: Supplier ID missing",IF(COUNTIF(INV_ID,B61)=0,"CHECK: Supplier ID not in inventory",IF(AND(ISNUMBER(R61),ISNUMBER(L61),R61&gt;L61),"CHECK: residual score exceeds inherent - confirm",IF(AND(ISNUMBER(AF61),AF61&lt;AsOf),"Review overdue (administrative)","OK"))))))</f>
        <v/>
      </c>
      <c r="AI61" s="52" t="str">
        <f aca="false">IF(A61="","",IF(I61="","risk owner; ","")&amp;IF(OR(J61="",K61=""),"inherent rating; ","")&amp;IF(N61="","inherent rationale; ","")&amp;IF(OR(P61="",Q61=""),"residual rating; ","")&amp;IF(AND(OR(P61&lt;&gt;"",Q61&lt;&gt;""),T61=""),"residual rationale; ","")&amp;IF(AND(OR(P61&lt;&gt;"",Q61&lt;&gt;""),U61=""),"assessment confidence; ","")&amp;IF(AE61="","assessment date; ",""))</f>
        <v/>
      </c>
      <c r="AJ61" s="52" t="str">
        <f aca="false">IF(OR(A61="",B61=""),"",IF(B61=RptSup,B61&amp;"|"&amp;COUNTIF($B$7:B61,B61),""))</f>
        <v/>
      </c>
    </row>
    <row r="62" customFormat="false" ht="15" hidden="false" customHeight="false" outlineLevel="0" collapsed="false">
      <c r="A62" s="50"/>
      <c r="B62" s="50"/>
      <c r="C62" s="59" t="str">
        <f aca="false">IF(B62="","",IFERROR(INDEX(INV_NAME,MATCH(B62,INV_ID,0)),"CHECK: Supplier ID not found"))</f>
        <v/>
      </c>
      <c r="D62" s="34"/>
      <c r="E62" s="34"/>
      <c r="F62" s="34"/>
      <c r="G62" s="34"/>
      <c r="H62" s="34"/>
      <c r="I62" s="34"/>
      <c r="J62" s="50"/>
      <c r="K62" s="50"/>
      <c r="L62" s="52" t="str">
        <f aca="false">IF(A62="","",IF(AND(ISNUMBER(J62),ISNUMBER(K62),J62&gt;=1,J62&lt;=5,K62&gt;=1,K62&lt;=5),J62*K62,"Incomplete"))</f>
        <v/>
      </c>
      <c r="M62" s="52" t="str">
        <f aca="false">IF(A62="","",IF(ISNUMBER(L62),LOOKUP(L62,BandMin,BandName),"Incomplete"))</f>
        <v/>
      </c>
      <c r="N62" s="34"/>
      <c r="O62" s="34"/>
      <c r="P62" s="50"/>
      <c r="Q62" s="50"/>
      <c r="R62" s="61" t="str">
        <f aca="false">IF(A62="","",IF(AND(ISNUMBER(P62),ISNUMBER(Q62),P62&gt;=1,P62&lt;=5,Q62&gt;=1,Q62&lt;=5),P62*Q62,"Incomplete"))</f>
        <v/>
      </c>
      <c r="S62" s="52" t="str">
        <f aca="false">IF(A62="","",IF(ISNUMBER(R62),LOOKUP(R62,BandMin,BandName),"Incomplete"))</f>
        <v/>
      </c>
      <c r="T62" s="34"/>
      <c r="U62" s="50"/>
      <c r="V62" s="50"/>
      <c r="W62" s="50"/>
      <c r="X62" s="52" t="str">
        <f aca="false">IF(A62="","",IF(AND(V62="",W62=""),"Not set",IF(AND(ISNUMBER(V62),ISNUMBER(W62),V62&gt;=1,V62&lt;=5,W62&gt;=1,W62&lt;=5),V62*W62,"Incomplete")))</f>
        <v/>
      </c>
      <c r="Y62" s="52" t="str">
        <f aca="false">IF(A62="","",IF(X62="Not set","Not set",IF(ISNUMBER(X62),LOOKUP(X62,BandMin,BandName),"Incomplete")))</f>
        <v/>
      </c>
      <c r="Z62" s="34"/>
      <c r="AA62" s="54" t="str">
        <f aca="false">IF(A62="","",IF(AppetiteThreshold="","Not configured",IF(NOT(ISNUMBER(R62)),"Cannot assess - residual incomplete",IF(MATCH(S62,BandName,0)&gt;=MATCH(AppetiteThreshold,BandName,0),"Above appetite - escalation required","Within appetite"))))</f>
        <v/>
      </c>
      <c r="AB62" s="50"/>
      <c r="AC62" s="54" t="str">
        <f aca="false">IF(A62="","",IF(AB62="","No decision referenced",IFERROR(INDEX(DEC_FINAL,MATCH(AB62,DEC_ID,0))&amp;" - "&amp;INDEX(DEC_CURR,MATCH(AB62,DEC_ID,0)),"CHECK: Decision ID not found")))</f>
        <v/>
      </c>
      <c r="AD62" s="54" t="str">
        <f aca="false">IF(A62="","",IF(COUNTIF(TRT_RISK,A62)=0,"No treatment recorded",COUNTIF(TRT_RISK,A62)&amp;" action(s); "&amp;COUNTIFS(TRT_RISK,A62,TRT_OPEN,"Open")&amp;" open; "&amp;COUNTIFS(TRT_RISK,A62,TRT_OVERDUE,"Overdue")&amp;" overdue"))</f>
        <v/>
      </c>
      <c r="AE62" s="51"/>
      <c r="AF62" s="51"/>
      <c r="AG62" s="54" t="str">
        <f aca="false">IF(A62="","",IF(AI62="","Complete","Incomplete: "&amp;AI62))</f>
        <v/>
      </c>
      <c r="AH62" s="54" t="str">
        <f aca="false">IF(A62="","",IF(COUNTIF(RSK_ID,A62)&gt;1,"CHECK: duplicate ID",IF(B62="","CHECK: Supplier ID missing",IF(COUNTIF(INV_ID,B62)=0,"CHECK: Supplier ID not in inventory",IF(AND(ISNUMBER(R62),ISNUMBER(L62),R62&gt;L62),"CHECK: residual score exceeds inherent - confirm",IF(AND(ISNUMBER(AF62),AF62&lt;AsOf),"Review overdue (administrative)","OK"))))))</f>
        <v/>
      </c>
      <c r="AI62" s="52" t="str">
        <f aca="false">IF(A62="","",IF(I62="","risk owner; ","")&amp;IF(OR(J62="",K62=""),"inherent rating; ","")&amp;IF(N62="","inherent rationale; ","")&amp;IF(OR(P62="",Q62=""),"residual rating; ","")&amp;IF(AND(OR(P62&lt;&gt;"",Q62&lt;&gt;""),T62=""),"residual rationale; ","")&amp;IF(AND(OR(P62&lt;&gt;"",Q62&lt;&gt;""),U62=""),"assessment confidence; ","")&amp;IF(AE62="","assessment date; ",""))</f>
        <v/>
      </c>
      <c r="AJ62" s="52" t="str">
        <f aca="false">IF(OR(A62="",B62=""),"",IF(B62=RptSup,B62&amp;"|"&amp;COUNTIF($B$7:B62,B62),""))</f>
        <v/>
      </c>
    </row>
    <row r="63" customFormat="false" ht="15" hidden="false" customHeight="false" outlineLevel="0" collapsed="false">
      <c r="A63" s="50"/>
      <c r="B63" s="50"/>
      <c r="C63" s="59" t="str">
        <f aca="false">IF(B63="","",IFERROR(INDEX(INV_NAME,MATCH(B63,INV_ID,0)),"CHECK: Supplier ID not found"))</f>
        <v/>
      </c>
      <c r="D63" s="34"/>
      <c r="E63" s="34"/>
      <c r="F63" s="34"/>
      <c r="G63" s="34"/>
      <c r="H63" s="34"/>
      <c r="I63" s="34"/>
      <c r="J63" s="50"/>
      <c r="K63" s="50"/>
      <c r="L63" s="52" t="str">
        <f aca="false">IF(A63="","",IF(AND(ISNUMBER(J63),ISNUMBER(K63),J63&gt;=1,J63&lt;=5,K63&gt;=1,K63&lt;=5),J63*K63,"Incomplete"))</f>
        <v/>
      </c>
      <c r="M63" s="52" t="str">
        <f aca="false">IF(A63="","",IF(ISNUMBER(L63),LOOKUP(L63,BandMin,BandName),"Incomplete"))</f>
        <v/>
      </c>
      <c r="N63" s="34"/>
      <c r="O63" s="34"/>
      <c r="P63" s="50"/>
      <c r="Q63" s="50"/>
      <c r="R63" s="61" t="str">
        <f aca="false">IF(A63="","",IF(AND(ISNUMBER(P63),ISNUMBER(Q63),P63&gt;=1,P63&lt;=5,Q63&gt;=1,Q63&lt;=5),P63*Q63,"Incomplete"))</f>
        <v/>
      </c>
      <c r="S63" s="52" t="str">
        <f aca="false">IF(A63="","",IF(ISNUMBER(R63),LOOKUP(R63,BandMin,BandName),"Incomplete"))</f>
        <v/>
      </c>
      <c r="T63" s="34"/>
      <c r="U63" s="50"/>
      <c r="V63" s="50"/>
      <c r="W63" s="50"/>
      <c r="X63" s="52" t="str">
        <f aca="false">IF(A63="","",IF(AND(V63="",W63=""),"Not set",IF(AND(ISNUMBER(V63),ISNUMBER(W63),V63&gt;=1,V63&lt;=5,W63&gt;=1,W63&lt;=5),V63*W63,"Incomplete")))</f>
        <v/>
      </c>
      <c r="Y63" s="52" t="str">
        <f aca="false">IF(A63="","",IF(X63="Not set","Not set",IF(ISNUMBER(X63),LOOKUP(X63,BandMin,BandName),"Incomplete")))</f>
        <v/>
      </c>
      <c r="Z63" s="34"/>
      <c r="AA63" s="54" t="str">
        <f aca="false">IF(A63="","",IF(AppetiteThreshold="","Not configured",IF(NOT(ISNUMBER(R63)),"Cannot assess - residual incomplete",IF(MATCH(S63,BandName,0)&gt;=MATCH(AppetiteThreshold,BandName,0),"Above appetite - escalation required","Within appetite"))))</f>
        <v/>
      </c>
      <c r="AB63" s="50"/>
      <c r="AC63" s="54" t="str">
        <f aca="false">IF(A63="","",IF(AB63="","No decision referenced",IFERROR(INDEX(DEC_FINAL,MATCH(AB63,DEC_ID,0))&amp;" - "&amp;INDEX(DEC_CURR,MATCH(AB63,DEC_ID,0)),"CHECK: Decision ID not found")))</f>
        <v/>
      </c>
      <c r="AD63" s="54" t="str">
        <f aca="false">IF(A63="","",IF(COUNTIF(TRT_RISK,A63)=0,"No treatment recorded",COUNTIF(TRT_RISK,A63)&amp;" action(s); "&amp;COUNTIFS(TRT_RISK,A63,TRT_OPEN,"Open")&amp;" open; "&amp;COUNTIFS(TRT_RISK,A63,TRT_OVERDUE,"Overdue")&amp;" overdue"))</f>
        <v/>
      </c>
      <c r="AE63" s="51"/>
      <c r="AF63" s="51"/>
      <c r="AG63" s="54" t="str">
        <f aca="false">IF(A63="","",IF(AI63="","Complete","Incomplete: "&amp;AI63))</f>
        <v/>
      </c>
      <c r="AH63" s="54" t="str">
        <f aca="false">IF(A63="","",IF(COUNTIF(RSK_ID,A63)&gt;1,"CHECK: duplicate ID",IF(B63="","CHECK: Supplier ID missing",IF(COUNTIF(INV_ID,B63)=0,"CHECK: Supplier ID not in inventory",IF(AND(ISNUMBER(R63),ISNUMBER(L63),R63&gt;L63),"CHECK: residual score exceeds inherent - confirm",IF(AND(ISNUMBER(AF63),AF63&lt;AsOf),"Review overdue (administrative)","OK"))))))</f>
        <v/>
      </c>
      <c r="AI63" s="52" t="str">
        <f aca="false">IF(A63="","",IF(I63="","risk owner; ","")&amp;IF(OR(J63="",K63=""),"inherent rating; ","")&amp;IF(N63="","inherent rationale; ","")&amp;IF(OR(P63="",Q63=""),"residual rating; ","")&amp;IF(AND(OR(P63&lt;&gt;"",Q63&lt;&gt;""),T63=""),"residual rationale; ","")&amp;IF(AND(OR(P63&lt;&gt;"",Q63&lt;&gt;""),U63=""),"assessment confidence; ","")&amp;IF(AE63="","assessment date; ",""))</f>
        <v/>
      </c>
      <c r="AJ63" s="52" t="str">
        <f aca="false">IF(OR(A63="",B63=""),"",IF(B63=RptSup,B63&amp;"|"&amp;COUNTIF($B$7:B63,B63),""))</f>
        <v/>
      </c>
    </row>
    <row r="64" customFormat="false" ht="15" hidden="false" customHeight="false" outlineLevel="0" collapsed="false">
      <c r="A64" s="50"/>
      <c r="B64" s="50"/>
      <c r="C64" s="59" t="str">
        <f aca="false">IF(B64="","",IFERROR(INDEX(INV_NAME,MATCH(B64,INV_ID,0)),"CHECK: Supplier ID not found"))</f>
        <v/>
      </c>
      <c r="D64" s="34"/>
      <c r="E64" s="34"/>
      <c r="F64" s="34"/>
      <c r="G64" s="34"/>
      <c r="H64" s="34"/>
      <c r="I64" s="34"/>
      <c r="J64" s="50"/>
      <c r="K64" s="50"/>
      <c r="L64" s="52" t="str">
        <f aca="false">IF(A64="","",IF(AND(ISNUMBER(J64),ISNUMBER(K64),J64&gt;=1,J64&lt;=5,K64&gt;=1,K64&lt;=5),J64*K64,"Incomplete"))</f>
        <v/>
      </c>
      <c r="M64" s="52" t="str">
        <f aca="false">IF(A64="","",IF(ISNUMBER(L64),LOOKUP(L64,BandMin,BandName),"Incomplete"))</f>
        <v/>
      </c>
      <c r="N64" s="34"/>
      <c r="O64" s="34"/>
      <c r="P64" s="50"/>
      <c r="Q64" s="50"/>
      <c r="R64" s="61" t="str">
        <f aca="false">IF(A64="","",IF(AND(ISNUMBER(P64),ISNUMBER(Q64),P64&gt;=1,P64&lt;=5,Q64&gt;=1,Q64&lt;=5),P64*Q64,"Incomplete"))</f>
        <v/>
      </c>
      <c r="S64" s="52" t="str">
        <f aca="false">IF(A64="","",IF(ISNUMBER(R64),LOOKUP(R64,BandMin,BandName),"Incomplete"))</f>
        <v/>
      </c>
      <c r="T64" s="34"/>
      <c r="U64" s="50"/>
      <c r="V64" s="50"/>
      <c r="W64" s="50"/>
      <c r="X64" s="52" t="str">
        <f aca="false">IF(A64="","",IF(AND(V64="",W64=""),"Not set",IF(AND(ISNUMBER(V64),ISNUMBER(W64),V64&gt;=1,V64&lt;=5,W64&gt;=1,W64&lt;=5),V64*W64,"Incomplete")))</f>
        <v/>
      </c>
      <c r="Y64" s="52" t="str">
        <f aca="false">IF(A64="","",IF(X64="Not set","Not set",IF(ISNUMBER(X64),LOOKUP(X64,BandMin,BandName),"Incomplete")))</f>
        <v/>
      </c>
      <c r="Z64" s="34"/>
      <c r="AA64" s="54" t="str">
        <f aca="false">IF(A64="","",IF(AppetiteThreshold="","Not configured",IF(NOT(ISNUMBER(R64)),"Cannot assess - residual incomplete",IF(MATCH(S64,BandName,0)&gt;=MATCH(AppetiteThreshold,BandName,0),"Above appetite - escalation required","Within appetite"))))</f>
        <v/>
      </c>
      <c r="AB64" s="50"/>
      <c r="AC64" s="54" t="str">
        <f aca="false">IF(A64="","",IF(AB64="","No decision referenced",IFERROR(INDEX(DEC_FINAL,MATCH(AB64,DEC_ID,0))&amp;" - "&amp;INDEX(DEC_CURR,MATCH(AB64,DEC_ID,0)),"CHECK: Decision ID not found")))</f>
        <v/>
      </c>
      <c r="AD64" s="54" t="str">
        <f aca="false">IF(A64="","",IF(COUNTIF(TRT_RISK,A64)=0,"No treatment recorded",COUNTIF(TRT_RISK,A64)&amp;" action(s); "&amp;COUNTIFS(TRT_RISK,A64,TRT_OPEN,"Open")&amp;" open; "&amp;COUNTIFS(TRT_RISK,A64,TRT_OVERDUE,"Overdue")&amp;" overdue"))</f>
        <v/>
      </c>
      <c r="AE64" s="51"/>
      <c r="AF64" s="51"/>
      <c r="AG64" s="54" t="str">
        <f aca="false">IF(A64="","",IF(AI64="","Complete","Incomplete: "&amp;AI64))</f>
        <v/>
      </c>
      <c r="AH64" s="54" t="str">
        <f aca="false">IF(A64="","",IF(COUNTIF(RSK_ID,A64)&gt;1,"CHECK: duplicate ID",IF(B64="","CHECK: Supplier ID missing",IF(COUNTIF(INV_ID,B64)=0,"CHECK: Supplier ID not in inventory",IF(AND(ISNUMBER(R64),ISNUMBER(L64),R64&gt;L64),"CHECK: residual score exceeds inherent - confirm",IF(AND(ISNUMBER(AF64),AF64&lt;AsOf),"Review overdue (administrative)","OK"))))))</f>
        <v/>
      </c>
      <c r="AI64" s="52" t="str">
        <f aca="false">IF(A64="","",IF(I64="","risk owner; ","")&amp;IF(OR(J64="",K64=""),"inherent rating; ","")&amp;IF(N64="","inherent rationale; ","")&amp;IF(OR(P64="",Q64=""),"residual rating; ","")&amp;IF(AND(OR(P64&lt;&gt;"",Q64&lt;&gt;""),T64=""),"residual rationale; ","")&amp;IF(AND(OR(P64&lt;&gt;"",Q64&lt;&gt;""),U64=""),"assessment confidence; ","")&amp;IF(AE64="","assessment date; ",""))</f>
        <v/>
      </c>
      <c r="AJ64" s="52" t="str">
        <f aca="false">IF(OR(A64="",B64=""),"",IF(B64=RptSup,B64&amp;"|"&amp;COUNTIF($B$7:B64,B64),""))</f>
        <v/>
      </c>
    </row>
    <row r="65" customFormat="false" ht="15" hidden="false" customHeight="false" outlineLevel="0" collapsed="false">
      <c r="A65" s="50"/>
      <c r="B65" s="50"/>
      <c r="C65" s="59" t="str">
        <f aca="false">IF(B65="","",IFERROR(INDEX(INV_NAME,MATCH(B65,INV_ID,0)),"CHECK: Supplier ID not found"))</f>
        <v/>
      </c>
      <c r="D65" s="34"/>
      <c r="E65" s="34"/>
      <c r="F65" s="34"/>
      <c r="G65" s="34"/>
      <c r="H65" s="34"/>
      <c r="I65" s="34"/>
      <c r="J65" s="50"/>
      <c r="K65" s="50"/>
      <c r="L65" s="52" t="str">
        <f aca="false">IF(A65="","",IF(AND(ISNUMBER(J65),ISNUMBER(K65),J65&gt;=1,J65&lt;=5,K65&gt;=1,K65&lt;=5),J65*K65,"Incomplete"))</f>
        <v/>
      </c>
      <c r="M65" s="52" t="str">
        <f aca="false">IF(A65="","",IF(ISNUMBER(L65),LOOKUP(L65,BandMin,BandName),"Incomplete"))</f>
        <v/>
      </c>
      <c r="N65" s="34"/>
      <c r="O65" s="34"/>
      <c r="P65" s="50"/>
      <c r="Q65" s="50"/>
      <c r="R65" s="61" t="str">
        <f aca="false">IF(A65="","",IF(AND(ISNUMBER(P65),ISNUMBER(Q65),P65&gt;=1,P65&lt;=5,Q65&gt;=1,Q65&lt;=5),P65*Q65,"Incomplete"))</f>
        <v/>
      </c>
      <c r="S65" s="52" t="str">
        <f aca="false">IF(A65="","",IF(ISNUMBER(R65),LOOKUP(R65,BandMin,BandName),"Incomplete"))</f>
        <v/>
      </c>
      <c r="T65" s="34"/>
      <c r="U65" s="50"/>
      <c r="V65" s="50"/>
      <c r="W65" s="50"/>
      <c r="X65" s="52" t="str">
        <f aca="false">IF(A65="","",IF(AND(V65="",W65=""),"Not set",IF(AND(ISNUMBER(V65),ISNUMBER(W65),V65&gt;=1,V65&lt;=5,W65&gt;=1,W65&lt;=5),V65*W65,"Incomplete")))</f>
        <v/>
      </c>
      <c r="Y65" s="52" t="str">
        <f aca="false">IF(A65="","",IF(X65="Not set","Not set",IF(ISNUMBER(X65),LOOKUP(X65,BandMin,BandName),"Incomplete")))</f>
        <v/>
      </c>
      <c r="Z65" s="34"/>
      <c r="AA65" s="54" t="str">
        <f aca="false">IF(A65="","",IF(AppetiteThreshold="","Not configured",IF(NOT(ISNUMBER(R65)),"Cannot assess - residual incomplete",IF(MATCH(S65,BandName,0)&gt;=MATCH(AppetiteThreshold,BandName,0),"Above appetite - escalation required","Within appetite"))))</f>
        <v/>
      </c>
      <c r="AB65" s="50"/>
      <c r="AC65" s="54" t="str">
        <f aca="false">IF(A65="","",IF(AB65="","No decision referenced",IFERROR(INDEX(DEC_FINAL,MATCH(AB65,DEC_ID,0))&amp;" - "&amp;INDEX(DEC_CURR,MATCH(AB65,DEC_ID,0)),"CHECK: Decision ID not found")))</f>
        <v/>
      </c>
      <c r="AD65" s="54" t="str">
        <f aca="false">IF(A65="","",IF(COUNTIF(TRT_RISK,A65)=0,"No treatment recorded",COUNTIF(TRT_RISK,A65)&amp;" action(s); "&amp;COUNTIFS(TRT_RISK,A65,TRT_OPEN,"Open")&amp;" open; "&amp;COUNTIFS(TRT_RISK,A65,TRT_OVERDUE,"Overdue")&amp;" overdue"))</f>
        <v/>
      </c>
      <c r="AE65" s="51"/>
      <c r="AF65" s="51"/>
      <c r="AG65" s="54" t="str">
        <f aca="false">IF(A65="","",IF(AI65="","Complete","Incomplete: "&amp;AI65))</f>
        <v/>
      </c>
      <c r="AH65" s="54" t="str">
        <f aca="false">IF(A65="","",IF(COUNTIF(RSK_ID,A65)&gt;1,"CHECK: duplicate ID",IF(B65="","CHECK: Supplier ID missing",IF(COUNTIF(INV_ID,B65)=0,"CHECK: Supplier ID not in inventory",IF(AND(ISNUMBER(R65),ISNUMBER(L65),R65&gt;L65),"CHECK: residual score exceeds inherent - confirm",IF(AND(ISNUMBER(AF65),AF65&lt;AsOf),"Review overdue (administrative)","OK"))))))</f>
        <v/>
      </c>
      <c r="AI65" s="52" t="str">
        <f aca="false">IF(A65="","",IF(I65="","risk owner; ","")&amp;IF(OR(J65="",K65=""),"inherent rating; ","")&amp;IF(N65="","inherent rationale; ","")&amp;IF(OR(P65="",Q65=""),"residual rating; ","")&amp;IF(AND(OR(P65&lt;&gt;"",Q65&lt;&gt;""),T65=""),"residual rationale; ","")&amp;IF(AND(OR(P65&lt;&gt;"",Q65&lt;&gt;""),U65=""),"assessment confidence; ","")&amp;IF(AE65="","assessment date; ",""))</f>
        <v/>
      </c>
      <c r="AJ65" s="52" t="str">
        <f aca="false">IF(OR(A65="",B65=""),"",IF(B65=RptSup,B65&amp;"|"&amp;COUNTIF($B$7:B65,B65),""))</f>
        <v/>
      </c>
    </row>
    <row r="66" customFormat="false" ht="15" hidden="false" customHeight="false" outlineLevel="0" collapsed="false">
      <c r="A66" s="50"/>
      <c r="B66" s="50"/>
      <c r="C66" s="59" t="str">
        <f aca="false">IF(B66="","",IFERROR(INDEX(INV_NAME,MATCH(B66,INV_ID,0)),"CHECK: Supplier ID not found"))</f>
        <v/>
      </c>
      <c r="D66" s="34"/>
      <c r="E66" s="34"/>
      <c r="F66" s="34"/>
      <c r="G66" s="34"/>
      <c r="H66" s="34"/>
      <c r="I66" s="34"/>
      <c r="J66" s="50"/>
      <c r="K66" s="50"/>
      <c r="L66" s="52" t="str">
        <f aca="false">IF(A66="","",IF(AND(ISNUMBER(J66),ISNUMBER(K66),J66&gt;=1,J66&lt;=5,K66&gt;=1,K66&lt;=5),J66*K66,"Incomplete"))</f>
        <v/>
      </c>
      <c r="M66" s="52" t="str">
        <f aca="false">IF(A66="","",IF(ISNUMBER(L66),LOOKUP(L66,BandMin,BandName),"Incomplete"))</f>
        <v/>
      </c>
      <c r="N66" s="34"/>
      <c r="O66" s="34"/>
      <c r="P66" s="50"/>
      <c r="Q66" s="50"/>
      <c r="R66" s="61" t="str">
        <f aca="false">IF(A66="","",IF(AND(ISNUMBER(P66),ISNUMBER(Q66),P66&gt;=1,P66&lt;=5,Q66&gt;=1,Q66&lt;=5),P66*Q66,"Incomplete"))</f>
        <v/>
      </c>
      <c r="S66" s="52" t="str">
        <f aca="false">IF(A66="","",IF(ISNUMBER(R66),LOOKUP(R66,BandMin,BandName),"Incomplete"))</f>
        <v/>
      </c>
      <c r="T66" s="34"/>
      <c r="U66" s="50"/>
      <c r="V66" s="50"/>
      <c r="W66" s="50"/>
      <c r="X66" s="52" t="str">
        <f aca="false">IF(A66="","",IF(AND(V66="",W66=""),"Not set",IF(AND(ISNUMBER(V66),ISNUMBER(W66),V66&gt;=1,V66&lt;=5,W66&gt;=1,W66&lt;=5),V66*W66,"Incomplete")))</f>
        <v/>
      </c>
      <c r="Y66" s="52" t="str">
        <f aca="false">IF(A66="","",IF(X66="Not set","Not set",IF(ISNUMBER(X66),LOOKUP(X66,BandMin,BandName),"Incomplete")))</f>
        <v/>
      </c>
      <c r="Z66" s="34"/>
      <c r="AA66" s="54" t="str">
        <f aca="false">IF(A66="","",IF(AppetiteThreshold="","Not configured",IF(NOT(ISNUMBER(R66)),"Cannot assess - residual incomplete",IF(MATCH(S66,BandName,0)&gt;=MATCH(AppetiteThreshold,BandName,0),"Above appetite - escalation required","Within appetite"))))</f>
        <v/>
      </c>
      <c r="AB66" s="50"/>
      <c r="AC66" s="54" t="str">
        <f aca="false">IF(A66="","",IF(AB66="","No decision referenced",IFERROR(INDEX(DEC_FINAL,MATCH(AB66,DEC_ID,0))&amp;" - "&amp;INDEX(DEC_CURR,MATCH(AB66,DEC_ID,0)),"CHECK: Decision ID not found")))</f>
        <v/>
      </c>
      <c r="AD66" s="54" t="str">
        <f aca="false">IF(A66="","",IF(COUNTIF(TRT_RISK,A66)=0,"No treatment recorded",COUNTIF(TRT_RISK,A66)&amp;" action(s); "&amp;COUNTIFS(TRT_RISK,A66,TRT_OPEN,"Open")&amp;" open; "&amp;COUNTIFS(TRT_RISK,A66,TRT_OVERDUE,"Overdue")&amp;" overdue"))</f>
        <v/>
      </c>
      <c r="AE66" s="51"/>
      <c r="AF66" s="51"/>
      <c r="AG66" s="54" t="str">
        <f aca="false">IF(A66="","",IF(AI66="","Complete","Incomplete: "&amp;AI66))</f>
        <v/>
      </c>
      <c r="AH66" s="54" t="str">
        <f aca="false">IF(A66="","",IF(COUNTIF(RSK_ID,A66)&gt;1,"CHECK: duplicate ID",IF(B66="","CHECK: Supplier ID missing",IF(COUNTIF(INV_ID,B66)=0,"CHECK: Supplier ID not in inventory",IF(AND(ISNUMBER(R66),ISNUMBER(L66),R66&gt;L66),"CHECK: residual score exceeds inherent - confirm",IF(AND(ISNUMBER(AF66),AF66&lt;AsOf),"Review overdue (administrative)","OK"))))))</f>
        <v/>
      </c>
      <c r="AI66" s="52" t="str">
        <f aca="false">IF(A66="","",IF(I66="","risk owner; ","")&amp;IF(OR(J66="",K66=""),"inherent rating; ","")&amp;IF(N66="","inherent rationale; ","")&amp;IF(OR(P66="",Q66=""),"residual rating; ","")&amp;IF(AND(OR(P66&lt;&gt;"",Q66&lt;&gt;""),T66=""),"residual rationale; ","")&amp;IF(AND(OR(P66&lt;&gt;"",Q66&lt;&gt;""),U66=""),"assessment confidence; ","")&amp;IF(AE66="","assessment date; ",""))</f>
        <v/>
      </c>
      <c r="AJ66" s="52" t="str">
        <f aca="false">IF(OR(A66="",B66=""),"",IF(B66=RptSup,B66&amp;"|"&amp;COUNTIF($B$7:B66,B66),""))</f>
        <v/>
      </c>
    </row>
    <row r="67" customFormat="false" ht="15" hidden="false" customHeight="false" outlineLevel="0" collapsed="false">
      <c r="A67" s="50"/>
      <c r="B67" s="50"/>
      <c r="C67" s="59" t="str">
        <f aca="false">IF(B67="","",IFERROR(INDEX(INV_NAME,MATCH(B67,INV_ID,0)),"CHECK: Supplier ID not found"))</f>
        <v/>
      </c>
      <c r="D67" s="34"/>
      <c r="E67" s="34"/>
      <c r="F67" s="34"/>
      <c r="G67" s="34"/>
      <c r="H67" s="34"/>
      <c r="I67" s="34"/>
      <c r="J67" s="50"/>
      <c r="K67" s="50"/>
      <c r="L67" s="52" t="str">
        <f aca="false">IF(A67="","",IF(AND(ISNUMBER(J67),ISNUMBER(K67),J67&gt;=1,J67&lt;=5,K67&gt;=1,K67&lt;=5),J67*K67,"Incomplete"))</f>
        <v/>
      </c>
      <c r="M67" s="52" t="str">
        <f aca="false">IF(A67="","",IF(ISNUMBER(L67),LOOKUP(L67,BandMin,BandName),"Incomplete"))</f>
        <v/>
      </c>
      <c r="N67" s="34"/>
      <c r="O67" s="34"/>
      <c r="P67" s="50"/>
      <c r="Q67" s="50"/>
      <c r="R67" s="61" t="str">
        <f aca="false">IF(A67="","",IF(AND(ISNUMBER(P67),ISNUMBER(Q67),P67&gt;=1,P67&lt;=5,Q67&gt;=1,Q67&lt;=5),P67*Q67,"Incomplete"))</f>
        <v/>
      </c>
      <c r="S67" s="52" t="str">
        <f aca="false">IF(A67="","",IF(ISNUMBER(R67),LOOKUP(R67,BandMin,BandName),"Incomplete"))</f>
        <v/>
      </c>
      <c r="T67" s="34"/>
      <c r="U67" s="50"/>
      <c r="V67" s="50"/>
      <c r="W67" s="50"/>
      <c r="X67" s="52" t="str">
        <f aca="false">IF(A67="","",IF(AND(V67="",W67=""),"Not set",IF(AND(ISNUMBER(V67),ISNUMBER(W67),V67&gt;=1,V67&lt;=5,W67&gt;=1,W67&lt;=5),V67*W67,"Incomplete")))</f>
        <v/>
      </c>
      <c r="Y67" s="52" t="str">
        <f aca="false">IF(A67="","",IF(X67="Not set","Not set",IF(ISNUMBER(X67),LOOKUP(X67,BandMin,BandName),"Incomplete")))</f>
        <v/>
      </c>
      <c r="Z67" s="34"/>
      <c r="AA67" s="54" t="str">
        <f aca="false">IF(A67="","",IF(AppetiteThreshold="","Not configured",IF(NOT(ISNUMBER(R67)),"Cannot assess - residual incomplete",IF(MATCH(S67,BandName,0)&gt;=MATCH(AppetiteThreshold,BandName,0),"Above appetite - escalation required","Within appetite"))))</f>
        <v/>
      </c>
      <c r="AB67" s="50"/>
      <c r="AC67" s="54" t="str">
        <f aca="false">IF(A67="","",IF(AB67="","No decision referenced",IFERROR(INDEX(DEC_FINAL,MATCH(AB67,DEC_ID,0))&amp;" - "&amp;INDEX(DEC_CURR,MATCH(AB67,DEC_ID,0)),"CHECK: Decision ID not found")))</f>
        <v/>
      </c>
      <c r="AD67" s="54" t="str">
        <f aca="false">IF(A67="","",IF(COUNTIF(TRT_RISK,A67)=0,"No treatment recorded",COUNTIF(TRT_RISK,A67)&amp;" action(s); "&amp;COUNTIFS(TRT_RISK,A67,TRT_OPEN,"Open")&amp;" open; "&amp;COUNTIFS(TRT_RISK,A67,TRT_OVERDUE,"Overdue")&amp;" overdue"))</f>
        <v/>
      </c>
      <c r="AE67" s="51"/>
      <c r="AF67" s="51"/>
      <c r="AG67" s="54" t="str">
        <f aca="false">IF(A67="","",IF(AI67="","Complete","Incomplete: "&amp;AI67))</f>
        <v/>
      </c>
      <c r="AH67" s="54" t="str">
        <f aca="false">IF(A67="","",IF(COUNTIF(RSK_ID,A67)&gt;1,"CHECK: duplicate ID",IF(B67="","CHECK: Supplier ID missing",IF(COUNTIF(INV_ID,B67)=0,"CHECK: Supplier ID not in inventory",IF(AND(ISNUMBER(R67),ISNUMBER(L67),R67&gt;L67),"CHECK: residual score exceeds inherent - confirm",IF(AND(ISNUMBER(AF67),AF67&lt;AsOf),"Review overdue (administrative)","OK"))))))</f>
        <v/>
      </c>
      <c r="AI67" s="52" t="str">
        <f aca="false">IF(A67="","",IF(I67="","risk owner; ","")&amp;IF(OR(J67="",K67=""),"inherent rating; ","")&amp;IF(N67="","inherent rationale; ","")&amp;IF(OR(P67="",Q67=""),"residual rating; ","")&amp;IF(AND(OR(P67&lt;&gt;"",Q67&lt;&gt;""),T67=""),"residual rationale; ","")&amp;IF(AND(OR(P67&lt;&gt;"",Q67&lt;&gt;""),U67=""),"assessment confidence; ","")&amp;IF(AE67="","assessment date; ",""))</f>
        <v/>
      </c>
      <c r="AJ67" s="52" t="str">
        <f aca="false">IF(OR(A67="",B67=""),"",IF(B67=RptSup,B67&amp;"|"&amp;COUNTIF($B$7:B67,B67),""))</f>
        <v/>
      </c>
    </row>
    <row r="68" customFormat="false" ht="15" hidden="false" customHeight="false" outlineLevel="0" collapsed="false">
      <c r="A68" s="50"/>
      <c r="B68" s="50"/>
      <c r="C68" s="59" t="str">
        <f aca="false">IF(B68="","",IFERROR(INDEX(INV_NAME,MATCH(B68,INV_ID,0)),"CHECK: Supplier ID not found"))</f>
        <v/>
      </c>
      <c r="D68" s="34"/>
      <c r="E68" s="34"/>
      <c r="F68" s="34"/>
      <c r="G68" s="34"/>
      <c r="H68" s="34"/>
      <c r="I68" s="34"/>
      <c r="J68" s="50"/>
      <c r="K68" s="50"/>
      <c r="L68" s="52" t="str">
        <f aca="false">IF(A68="","",IF(AND(ISNUMBER(J68),ISNUMBER(K68),J68&gt;=1,J68&lt;=5,K68&gt;=1,K68&lt;=5),J68*K68,"Incomplete"))</f>
        <v/>
      </c>
      <c r="M68" s="52" t="str">
        <f aca="false">IF(A68="","",IF(ISNUMBER(L68),LOOKUP(L68,BandMin,BandName),"Incomplete"))</f>
        <v/>
      </c>
      <c r="N68" s="34"/>
      <c r="O68" s="34"/>
      <c r="P68" s="50"/>
      <c r="Q68" s="50"/>
      <c r="R68" s="61" t="str">
        <f aca="false">IF(A68="","",IF(AND(ISNUMBER(P68),ISNUMBER(Q68),P68&gt;=1,P68&lt;=5,Q68&gt;=1,Q68&lt;=5),P68*Q68,"Incomplete"))</f>
        <v/>
      </c>
      <c r="S68" s="52" t="str">
        <f aca="false">IF(A68="","",IF(ISNUMBER(R68),LOOKUP(R68,BandMin,BandName),"Incomplete"))</f>
        <v/>
      </c>
      <c r="T68" s="34"/>
      <c r="U68" s="50"/>
      <c r="V68" s="50"/>
      <c r="W68" s="50"/>
      <c r="X68" s="52" t="str">
        <f aca="false">IF(A68="","",IF(AND(V68="",W68=""),"Not set",IF(AND(ISNUMBER(V68),ISNUMBER(W68),V68&gt;=1,V68&lt;=5,W68&gt;=1,W68&lt;=5),V68*W68,"Incomplete")))</f>
        <v/>
      </c>
      <c r="Y68" s="52" t="str">
        <f aca="false">IF(A68="","",IF(X68="Not set","Not set",IF(ISNUMBER(X68),LOOKUP(X68,BandMin,BandName),"Incomplete")))</f>
        <v/>
      </c>
      <c r="Z68" s="34"/>
      <c r="AA68" s="54" t="str">
        <f aca="false">IF(A68="","",IF(AppetiteThreshold="","Not configured",IF(NOT(ISNUMBER(R68)),"Cannot assess - residual incomplete",IF(MATCH(S68,BandName,0)&gt;=MATCH(AppetiteThreshold,BandName,0),"Above appetite - escalation required","Within appetite"))))</f>
        <v/>
      </c>
      <c r="AB68" s="50"/>
      <c r="AC68" s="54" t="str">
        <f aca="false">IF(A68="","",IF(AB68="","No decision referenced",IFERROR(INDEX(DEC_FINAL,MATCH(AB68,DEC_ID,0))&amp;" - "&amp;INDEX(DEC_CURR,MATCH(AB68,DEC_ID,0)),"CHECK: Decision ID not found")))</f>
        <v/>
      </c>
      <c r="AD68" s="54" t="str">
        <f aca="false">IF(A68="","",IF(COUNTIF(TRT_RISK,A68)=0,"No treatment recorded",COUNTIF(TRT_RISK,A68)&amp;" action(s); "&amp;COUNTIFS(TRT_RISK,A68,TRT_OPEN,"Open")&amp;" open; "&amp;COUNTIFS(TRT_RISK,A68,TRT_OVERDUE,"Overdue")&amp;" overdue"))</f>
        <v/>
      </c>
      <c r="AE68" s="51"/>
      <c r="AF68" s="51"/>
      <c r="AG68" s="54" t="str">
        <f aca="false">IF(A68="","",IF(AI68="","Complete","Incomplete: "&amp;AI68))</f>
        <v/>
      </c>
      <c r="AH68" s="54" t="str">
        <f aca="false">IF(A68="","",IF(COUNTIF(RSK_ID,A68)&gt;1,"CHECK: duplicate ID",IF(B68="","CHECK: Supplier ID missing",IF(COUNTIF(INV_ID,B68)=0,"CHECK: Supplier ID not in inventory",IF(AND(ISNUMBER(R68),ISNUMBER(L68),R68&gt;L68),"CHECK: residual score exceeds inherent - confirm",IF(AND(ISNUMBER(AF68),AF68&lt;AsOf),"Review overdue (administrative)","OK"))))))</f>
        <v/>
      </c>
      <c r="AI68" s="52" t="str">
        <f aca="false">IF(A68="","",IF(I68="","risk owner; ","")&amp;IF(OR(J68="",K68=""),"inherent rating; ","")&amp;IF(N68="","inherent rationale; ","")&amp;IF(OR(P68="",Q68=""),"residual rating; ","")&amp;IF(AND(OR(P68&lt;&gt;"",Q68&lt;&gt;""),T68=""),"residual rationale; ","")&amp;IF(AND(OR(P68&lt;&gt;"",Q68&lt;&gt;""),U68=""),"assessment confidence; ","")&amp;IF(AE68="","assessment date; ",""))</f>
        <v/>
      </c>
      <c r="AJ68" s="52" t="str">
        <f aca="false">IF(OR(A68="",B68=""),"",IF(B68=RptSup,B68&amp;"|"&amp;COUNTIF($B$7:B68,B68),""))</f>
        <v/>
      </c>
    </row>
    <row r="69" customFormat="false" ht="15" hidden="false" customHeight="false" outlineLevel="0" collapsed="false">
      <c r="A69" s="50"/>
      <c r="B69" s="50"/>
      <c r="C69" s="59" t="str">
        <f aca="false">IF(B69="","",IFERROR(INDEX(INV_NAME,MATCH(B69,INV_ID,0)),"CHECK: Supplier ID not found"))</f>
        <v/>
      </c>
      <c r="D69" s="34"/>
      <c r="E69" s="34"/>
      <c r="F69" s="34"/>
      <c r="G69" s="34"/>
      <c r="H69" s="34"/>
      <c r="I69" s="34"/>
      <c r="J69" s="50"/>
      <c r="K69" s="50"/>
      <c r="L69" s="52" t="str">
        <f aca="false">IF(A69="","",IF(AND(ISNUMBER(J69),ISNUMBER(K69),J69&gt;=1,J69&lt;=5,K69&gt;=1,K69&lt;=5),J69*K69,"Incomplete"))</f>
        <v/>
      </c>
      <c r="M69" s="52" t="str">
        <f aca="false">IF(A69="","",IF(ISNUMBER(L69),LOOKUP(L69,BandMin,BandName),"Incomplete"))</f>
        <v/>
      </c>
      <c r="N69" s="34"/>
      <c r="O69" s="34"/>
      <c r="P69" s="50"/>
      <c r="Q69" s="50"/>
      <c r="R69" s="61" t="str">
        <f aca="false">IF(A69="","",IF(AND(ISNUMBER(P69),ISNUMBER(Q69),P69&gt;=1,P69&lt;=5,Q69&gt;=1,Q69&lt;=5),P69*Q69,"Incomplete"))</f>
        <v/>
      </c>
      <c r="S69" s="52" t="str">
        <f aca="false">IF(A69="","",IF(ISNUMBER(R69),LOOKUP(R69,BandMin,BandName),"Incomplete"))</f>
        <v/>
      </c>
      <c r="T69" s="34"/>
      <c r="U69" s="50"/>
      <c r="V69" s="50"/>
      <c r="W69" s="50"/>
      <c r="X69" s="52" t="str">
        <f aca="false">IF(A69="","",IF(AND(V69="",W69=""),"Not set",IF(AND(ISNUMBER(V69),ISNUMBER(W69),V69&gt;=1,V69&lt;=5,W69&gt;=1,W69&lt;=5),V69*W69,"Incomplete")))</f>
        <v/>
      </c>
      <c r="Y69" s="52" t="str">
        <f aca="false">IF(A69="","",IF(X69="Not set","Not set",IF(ISNUMBER(X69),LOOKUP(X69,BandMin,BandName),"Incomplete")))</f>
        <v/>
      </c>
      <c r="Z69" s="34"/>
      <c r="AA69" s="54" t="str">
        <f aca="false">IF(A69="","",IF(AppetiteThreshold="","Not configured",IF(NOT(ISNUMBER(R69)),"Cannot assess - residual incomplete",IF(MATCH(S69,BandName,0)&gt;=MATCH(AppetiteThreshold,BandName,0),"Above appetite - escalation required","Within appetite"))))</f>
        <v/>
      </c>
      <c r="AB69" s="50"/>
      <c r="AC69" s="54" t="str">
        <f aca="false">IF(A69="","",IF(AB69="","No decision referenced",IFERROR(INDEX(DEC_FINAL,MATCH(AB69,DEC_ID,0))&amp;" - "&amp;INDEX(DEC_CURR,MATCH(AB69,DEC_ID,0)),"CHECK: Decision ID not found")))</f>
        <v/>
      </c>
      <c r="AD69" s="54" t="str">
        <f aca="false">IF(A69="","",IF(COUNTIF(TRT_RISK,A69)=0,"No treatment recorded",COUNTIF(TRT_RISK,A69)&amp;" action(s); "&amp;COUNTIFS(TRT_RISK,A69,TRT_OPEN,"Open")&amp;" open; "&amp;COUNTIFS(TRT_RISK,A69,TRT_OVERDUE,"Overdue")&amp;" overdue"))</f>
        <v/>
      </c>
      <c r="AE69" s="51"/>
      <c r="AF69" s="51"/>
      <c r="AG69" s="54" t="str">
        <f aca="false">IF(A69="","",IF(AI69="","Complete","Incomplete: "&amp;AI69))</f>
        <v/>
      </c>
      <c r="AH69" s="54" t="str">
        <f aca="false">IF(A69="","",IF(COUNTIF(RSK_ID,A69)&gt;1,"CHECK: duplicate ID",IF(B69="","CHECK: Supplier ID missing",IF(COUNTIF(INV_ID,B69)=0,"CHECK: Supplier ID not in inventory",IF(AND(ISNUMBER(R69),ISNUMBER(L69),R69&gt;L69),"CHECK: residual score exceeds inherent - confirm",IF(AND(ISNUMBER(AF69),AF69&lt;AsOf),"Review overdue (administrative)","OK"))))))</f>
        <v/>
      </c>
      <c r="AI69" s="52" t="str">
        <f aca="false">IF(A69="","",IF(I69="","risk owner; ","")&amp;IF(OR(J69="",K69=""),"inherent rating; ","")&amp;IF(N69="","inherent rationale; ","")&amp;IF(OR(P69="",Q69=""),"residual rating; ","")&amp;IF(AND(OR(P69&lt;&gt;"",Q69&lt;&gt;""),T69=""),"residual rationale; ","")&amp;IF(AND(OR(P69&lt;&gt;"",Q69&lt;&gt;""),U69=""),"assessment confidence; ","")&amp;IF(AE69="","assessment date; ",""))</f>
        <v/>
      </c>
      <c r="AJ69" s="52" t="str">
        <f aca="false">IF(OR(A69="",B69=""),"",IF(B69=RptSup,B69&amp;"|"&amp;COUNTIF($B$7:B69,B69),""))</f>
        <v/>
      </c>
    </row>
    <row r="70" customFormat="false" ht="15" hidden="false" customHeight="false" outlineLevel="0" collapsed="false">
      <c r="A70" s="50"/>
      <c r="B70" s="50"/>
      <c r="C70" s="59" t="str">
        <f aca="false">IF(B70="","",IFERROR(INDEX(INV_NAME,MATCH(B70,INV_ID,0)),"CHECK: Supplier ID not found"))</f>
        <v/>
      </c>
      <c r="D70" s="34"/>
      <c r="E70" s="34"/>
      <c r="F70" s="34"/>
      <c r="G70" s="34"/>
      <c r="H70" s="34"/>
      <c r="I70" s="34"/>
      <c r="J70" s="50"/>
      <c r="K70" s="50"/>
      <c r="L70" s="52" t="str">
        <f aca="false">IF(A70="","",IF(AND(ISNUMBER(J70),ISNUMBER(K70),J70&gt;=1,J70&lt;=5,K70&gt;=1,K70&lt;=5),J70*K70,"Incomplete"))</f>
        <v/>
      </c>
      <c r="M70" s="52" t="str">
        <f aca="false">IF(A70="","",IF(ISNUMBER(L70),LOOKUP(L70,BandMin,BandName),"Incomplete"))</f>
        <v/>
      </c>
      <c r="N70" s="34"/>
      <c r="O70" s="34"/>
      <c r="P70" s="50"/>
      <c r="Q70" s="50"/>
      <c r="R70" s="61" t="str">
        <f aca="false">IF(A70="","",IF(AND(ISNUMBER(P70),ISNUMBER(Q70),P70&gt;=1,P70&lt;=5,Q70&gt;=1,Q70&lt;=5),P70*Q70,"Incomplete"))</f>
        <v/>
      </c>
      <c r="S70" s="52" t="str">
        <f aca="false">IF(A70="","",IF(ISNUMBER(R70),LOOKUP(R70,BandMin,BandName),"Incomplete"))</f>
        <v/>
      </c>
      <c r="T70" s="34"/>
      <c r="U70" s="50"/>
      <c r="V70" s="50"/>
      <c r="W70" s="50"/>
      <c r="X70" s="52" t="str">
        <f aca="false">IF(A70="","",IF(AND(V70="",W70=""),"Not set",IF(AND(ISNUMBER(V70),ISNUMBER(W70),V70&gt;=1,V70&lt;=5,W70&gt;=1,W70&lt;=5),V70*W70,"Incomplete")))</f>
        <v/>
      </c>
      <c r="Y70" s="52" t="str">
        <f aca="false">IF(A70="","",IF(X70="Not set","Not set",IF(ISNUMBER(X70),LOOKUP(X70,BandMin,BandName),"Incomplete")))</f>
        <v/>
      </c>
      <c r="Z70" s="34"/>
      <c r="AA70" s="54" t="str">
        <f aca="false">IF(A70="","",IF(AppetiteThreshold="","Not configured",IF(NOT(ISNUMBER(R70)),"Cannot assess - residual incomplete",IF(MATCH(S70,BandName,0)&gt;=MATCH(AppetiteThreshold,BandName,0),"Above appetite - escalation required","Within appetite"))))</f>
        <v/>
      </c>
      <c r="AB70" s="50"/>
      <c r="AC70" s="54" t="str">
        <f aca="false">IF(A70="","",IF(AB70="","No decision referenced",IFERROR(INDEX(DEC_FINAL,MATCH(AB70,DEC_ID,0))&amp;" - "&amp;INDEX(DEC_CURR,MATCH(AB70,DEC_ID,0)),"CHECK: Decision ID not found")))</f>
        <v/>
      </c>
      <c r="AD70" s="54" t="str">
        <f aca="false">IF(A70="","",IF(COUNTIF(TRT_RISK,A70)=0,"No treatment recorded",COUNTIF(TRT_RISK,A70)&amp;" action(s); "&amp;COUNTIFS(TRT_RISK,A70,TRT_OPEN,"Open")&amp;" open; "&amp;COUNTIFS(TRT_RISK,A70,TRT_OVERDUE,"Overdue")&amp;" overdue"))</f>
        <v/>
      </c>
      <c r="AE70" s="51"/>
      <c r="AF70" s="51"/>
      <c r="AG70" s="54" t="str">
        <f aca="false">IF(A70="","",IF(AI70="","Complete","Incomplete: "&amp;AI70))</f>
        <v/>
      </c>
      <c r="AH70" s="54" t="str">
        <f aca="false">IF(A70="","",IF(COUNTIF(RSK_ID,A70)&gt;1,"CHECK: duplicate ID",IF(B70="","CHECK: Supplier ID missing",IF(COUNTIF(INV_ID,B70)=0,"CHECK: Supplier ID not in inventory",IF(AND(ISNUMBER(R70),ISNUMBER(L70),R70&gt;L70),"CHECK: residual score exceeds inherent - confirm",IF(AND(ISNUMBER(AF70),AF70&lt;AsOf),"Review overdue (administrative)","OK"))))))</f>
        <v/>
      </c>
      <c r="AI70" s="52" t="str">
        <f aca="false">IF(A70="","",IF(I70="","risk owner; ","")&amp;IF(OR(J70="",K70=""),"inherent rating; ","")&amp;IF(N70="","inherent rationale; ","")&amp;IF(OR(P70="",Q70=""),"residual rating; ","")&amp;IF(AND(OR(P70&lt;&gt;"",Q70&lt;&gt;""),T70=""),"residual rationale; ","")&amp;IF(AND(OR(P70&lt;&gt;"",Q70&lt;&gt;""),U70=""),"assessment confidence; ","")&amp;IF(AE70="","assessment date; ",""))</f>
        <v/>
      </c>
      <c r="AJ70" s="52" t="str">
        <f aca="false">IF(OR(A70="",B70=""),"",IF(B70=RptSup,B70&amp;"|"&amp;COUNTIF($B$7:B70,B70),""))</f>
        <v/>
      </c>
    </row>
    <row r="71" customFormat="false" ht="15" hidden="false" customHeight="false" outlineLevel="0" collapsed="false">
      <c r="A71" s="50"/>
      <c r="B71" s="50"/>
      <c r="C71" s="59" t="str">
        <f aca="false">IF(B71="","",IFERROR(INDEX(INV_NAME,MATCH(B71,INV_ID,0)),"CHECK: Supplier ID not found"))</f>
        <v/>
      </c>
      <c r="D71" s="34"/>
      <c r="E71" s="34"/>
      <c r="F71" s="34"/>
      <c r="G71" s="34"/>
      <c r="H71" s="34"/>
      <c r="I71" s="34"/>
      <c r="J71" s="50"/>
      <c r="K71" s="50"/>
      <c r="L71" s="52" t="str">
        <f aca="false">IF(A71="","",IF(AND(ISNUMBER(J71),ISNUMBER(K71),J71&gt;=1,J71&lt;=5,K71&gt;=1,K71&lt;=5),J71*K71,"Incomplete"))</f>
        <v/>
      </c>
      <c r="M71" s="52" t="str">
        <f aca="false">IF(A71="","",IF(ISNUMBER(L71),LOOKUP(L71,BandMin,BandName),"Incomplete"))</f>
        <v/>
      </c>
      <c r="N71" s="34"/>
      <c r="O71" s="34"/>
      <c r="P71" s="50"/>
      <c r="Q71" s="50"/>
      <c r="R71" s="61" t="str">
        <f aca="false">IF(A71="","",IF(AND(ISNUMBER(P71),ISNUMBER(Q71),P71&gt;=1,P71&lt;=5,Q71&gt;=1,Q71&lt;=5),P71*Q71,"Incomplete"))</f>
        <v/>
      </c>
      <c r="S71" s="52" t="str">
        <f aca="false">IF(A71="","",IF(ISNUMBER(R71),LOOKUP(R71,BandMin,BandName),"Incomplete"))</f>
        <v/>
      </c>
      <c r="T71" s="34"/>
      <c r="U71" s="50"/>
      <c r="V71" s="50"/>
      <c r="W71" s="50"/>
      <c r="X71" s="52" t="str">
        <f aca="false">IF(A71="","",IF(AND(V71="",W71=""),"Not set",IF(AND(ISNUMBER(V71),ISNUMBER(W71),V71&gt;=1,V71&lt;=5,W71&gt;=1,W71&lt;=5),V71*W71,"Incomplete")))</f>
        <v/>
      </c>
      <c r="Y71" s="52" t="str">
        <f aca="false">IF(A71="","",IF(X71="Not set","Not set",IF(ISNUMBER(X71),LOOKUP(X71,BandMin,BandName),"Incomplete")))</f>
        <v/>
      </c>
      <c r="Z71" s="34"/>
      <c r="AA71" s="54" t="str">
        <f aca="false">IF(A71="","",IF(AppetiteThreshold="","Not configured",IF(NOT(ISNUMBER(R71)),"Cannot assess - residual incomplete",IF(MATCH(S71,BandName,0)&gt;=MATCH(AppetiteThreshold,BandName,0),"Above appetite - escalation required","Within appetite"))))</f>
        <v/>
      </c>
      <c r="AB71" s="50"/>
      <c r="AC71" s="54" t="str">
        <f aca="false">IF(A71="","",IF(AB71="","No decision referenced",IFERROR(INDEX(DEC_FINAL,MATCH(AB71,DEC_ID,0))&amp;" - "&amp;INDEX(DEC_CURR,MATCH(AB71,DEC_ID,0)),"CHECK: Decision ID not found")))</f>
        <v/>
      </c>
      <c r="AD71" s="54" t="str">
        <f aca="false">IF(A71="","",IF(COUNTIF(TRT_RISK,A71)=0,"No treatment recorded",COUNTIF(TRT_RISK,A71)&amp;" action(s); "&amp;COUNTIFS(TRT_RISK,A71,TRT_OPEN,"Open")&amp;" open; "&amp;COUNTIFS(TRT_RISK,A71,TRT_OVERDUE,"Overdue")&amp;" overdue"))</f>
        <v/>
      </c>
      <c r="AE71" s="51"/>
      <c r="AF71" s="51"/>
      <c r="AG71" s="54" t="str">
        <f aca="false">IF(A71="","",IF(AI71="","Complete","Incomplete: "&amp;AI71))</f>
        <v/>
      </c>
      <c r="AH71" s="54" t="str">
        <f aca="false">IF(A71="","",IF(COUNTIF(RSK_ID,A71)&gt;1,"CHECK: duplicate ID",IF(B71="","CHECK: Supplier ID missing",IF(COUNTIF(INV_ID,B71)=0,"CHECK: Supplier ID not in inventory",IF(AND(ISNUMBER(R71),ISNUMBER(L71),R71&gt;L71),"CHECK: residual score exceeds inherent - confirm",IF(AND(ISNUMBER(AF71),AF71&lt;AsOf),"Review overdue (administrative)","OK"))))))</f>
        <v/>
      </c>
      <c r="AI71" s="52" t="str">
        <f aca="false">IF(A71="","",IF(I71="","risk owner; ","")&amp;IF(OR(J71="",K71=""),"inherent rating; ","")&amp;IF(N71="","inherent rationale; ","")&amp;IF(OR(P71="",Q71=""),"residual rating; ","")&amp;IF(AND(OR(P71&lt;&gt;"",Q71&lt;&gt;""),T71=""),"residual rationale; ","")&amp;IF(AND(OR(P71&lt;&gt;"",Q71&lt;&gt;""),U71=""),"assessment confidence; ","")&amp;IF(AE71="","assessment date; ",""))</f>
        <v/>
      </c>
      <c r="AJ71" s="52" t="str">
        <f aca="false">IF(OR(A71="",B71=""),"",IF(B71=RptSup,B71&amp;"|"&amp;COUNTIF($B$7:B71,B71),""))</f>
        <v/>
      </c>
    </row>
    <row r="72" customFormat="false" ht="15" hidden="false" customHeight="false" outlineLevel="0" collapsed="false">
      <c r="A72" s="50"/>
      <c r="B72" s="50"/>
      <c r="C72" s="59" t="str">
        <f aca="false">IF(B72="","",IFERROR(INDEX(INV_NAME,MATCH(B72,INV_ID,0)),"CHECK: Supplier ID not found"))</f>
        <v/>
      </c>
      <c r="D72" s="34"/>
      <c r="E72" s="34"/>
      <c r="F72" s="34"/>
      <c r="G72" s="34"/>
      <c r="H72" s="34"/>
      <c r="I72" s="34"/>
      <c r="J72" s="50"/>
      <c r="K72" s="50"/>
      <c r="L72" s="52" t="str">
        <f aca="false">IF(A72="","",IF(AND(ISNUMBER(J72),ISNUMBER(K72),J72&gt;=1,J72&lt;=5,K72&gt;=1,K72&lt;=5),J72*K72,"Incomplete"))</f>
        <v/>
      </c>
      <c r="M72" s="52" t="str">
        <f aca="false">IF(A72="","",IF(ISNUMBER(L72),LOOKUP(L72,BandMin,BandName),"Incomplete"))</f>
        <v/>
      </c>
      <c r="N72" s="34"/>
      <c r="O72" s="34"/>
      <c r="P72" s="50"/>
      <c r="Q72" s="50"/>
      <c r="R72" s="61" t="str">
        <f aca="false">IF(A72="","",IF(AND(ISNUMBER(P72),ISNUMBER(Q72),P72&gt;=1,P72&lt;=5,Q72&gt;=1,Q72&lt;=5),P72*Q72,"Incomplete"))</f>
        <v/>
      </c>
      <c r="S72" s="52" t="str">
        <f aca="false">IF(A72="","",IF(ISNUMBER(R72),LOOKUP(R72,BandMin,BandName),"Incomplete"))</f>
        <v/>
      </c>
      <c r="T72" s="34"/>
      <c r="U72" s="50"/>
      <c r="V72" s="50"/>
      <c r="W72" s="50"/>
      <c r="X72" s="52" t="str">
        <f aca="false">IF(A72="","",IF(AND(V72="",W72=""),"Not set",IF(AND(ISNUMBER(V72),ISNUMBER(W72),V72&gt;=1,V72&lt;=5,W72&gt;=1,W72&lt;=5),V72*W72,"Incomplete")))</f>
        <v/>
      </c>
      <c r="Y72" s="52" t="str">
        <f aca="false">IF(A72="","",IF(X72="Not set","Not set",IF(ISNUMBER(X72),LOOKUP(X72,BandMin,BandName),"Incomplete")))</f>
        <v/>
      </c>
      <c r="Z72" s="34"/>
      <c r="AA72" s="54" t="str">
        <f aca="false">IF(A72="","",IF(AppetiteThreshold="","Not configured",IF(NOT(ISNUMBER(R72)),"Cannot assess - residual incomplete",IF(MATCH(S72,BandName,0)&gt;=MATCH(AppetiteThreshold,BandName,0),"Above appetite - escalation required","Within appetite"))))</f>
        <v/>
      </c>
      <c r="AB72" s="50"/>
      <c r="AC72" s="54" t="str">
        <f aca="false">IF(A72="","",IF(AB72="","No decision referenced",IFERROR(INDEX(DEC_FINAL,MATCH(AB72,DEC_ID,0))&amp;" - "&amp;INDEX(DEC_CURR,MATCH(AB72,DEC_ID,0)),"CHECK: Decision ID not found")))</f>
        <v/>
      </c>
      <c r="AD72" s="54" t="str">
        <f aca="false">IF(A72="","",IF(COUNTIF(TRT_RISK,A72)=0,"No treatment recorded",COUNTIF(TRT_RISK,A72)&amp;" action(s); "&amp;COUNTIFS(TRT_RISK,A72,TRT_OPEN,"Open")&amp;" open; "&amp;COUNTIFS(TRT_RISK,A72,TRT_OVERDUE,"Overdue")&amp;" overdue"))</f>
        <v/>
      </c>
      <c r="AE72" s="51"/>
      <c r="AF72" s="51"/>
      <c r="AG72" s="54" t="str">
        <f aca="false">IF(A72="","",IF(AI72="","Complete","Incomplete: "&amp;AI72))</f>
        <v/>
      </c>
      <c r="AH72" s="54" t="str">
        <f aca="false">IF(A72="","",IF(COUNTIF(RSK_ID,A72)&gt;1,"CHECK: duplicate ID",IF(B72="","CHECK: Supplier ID missing",IF(COUNTIF(INV_ID,B72)=0,"CHECK: Supplier ID not in inventory",IF(AND(ISNUMBER(R72),ISNUMBER(L72),R72&gt;L72),"CHECK: residual score exceeds inherent - confirm",IF(AND(ISNUMBER(AF72),AF72&lt;AsOf),"Review overdue (administrative)","OK"))))))</f>
        <v/>
      </c>
      <c r="AI72" s="52" t="str">
        <f aca="false">IF(A72="","",IF(I72="","risk owner; ","")&amp;IF(OR(J72="",K72=""),"inherent rating; ","")&amp;IF(N72="","inherent rationale; ","")&amp;IF(OR(P72="",Q72=""),"residual rating; ","")&amp;IF(AND(OR(P72&lt;&gt;"",Q72&lt;&gt;""),T72=""),"residual rationale; ","")&amp;IF(AND(OR(P72&lt;&gt;"",Q72&lt;&gt;""),U72=""),"assessment confidence; ","")&amp;IF(AE72="","assessment date; ",""))</f>
        <v/>
      </c>
      <c r="AJ72" s="52" t="str">
        <f aca="false">IF(OR(A72="",B72=""),"",IF(B72=RptSup,B72&amp;"|"&amp;COUNTIF($B$7:B72,B72),""))</f>
        <v/>
      </c>
    </row>
    <row r="73" customFormat="false" ht="15" hidden="false" customHeight="false" outlineLevel="0" collapsed="false">
      <c r="A73" s="50"/>
      <c r="B73" s="50"/>
      <c r="C73" s="59" t="str">
        <f aca="false">IF(B73="","",IFERROR(INDEX(INV_NAME,MATCH(B73,INV_ID,0)),"CHECK: Supplier ID not found"))</f>
        <v/>
      </c>
      <c r="D73" s="34"/>
      <c r="E73" s="34"/>
      <c r="F73" s="34"/>
      <c r="G73" s="34"/>
      <c r="H73" s="34"/>
      <c r="I73" s="34"/>
      <c r="J73" s="50"/>
      <c r="K73" s="50"/>
      <c r="L73" s="52" t="str">
        <f aca="false">IF(A73="","",IF(AND(ISNUMBER(J73),ISNUMBER(K73),J73&gt;=1,J73&lt;=5,K73&gt;=1,K73&lt;=5),J73*K73,"Incomplete"))</f>
        <v/>
      </c>
      <c r="M73" s="52" t="str">
        <f aca="false">IF(A73="","",IF(ISNUMBER(L73),LOOKUP(L73,BandMin,BandName),"Incomplete"))</f>
        <v/>
      </c>
      <c r="N73" s="34"/>
      <c r="O73" s="34"/>
      <c r="P73" s="50"/>
      <c r="Q73" s="50"/>
      <c r="R73" s="61" t="str">
        <f aca="false">IF(A73="","",IF(AND(ISNUMBER(P73),ISNUMBER(Q73),P73&gt;=1,P73&lt;=5,Q73&gt;=1,Q73&lt;=5),P73*Q73,"Incomplete"))</f>
        <v/>
      </c>
      <c r="S73" s="52" t="str">
        <f aca="false">IF(A73="","",IF(ISNUMBER(R73),LOOKUP(R73,BandMin,BandName),"Incomplete"))</f>
        <v/>
      </c>
      <c r="T73" s="34"/>
      <c r="U73" s="50"/>
      <c r="V73" s="50"/>
      <c r="W73" s="50"/>
      <c r="X73" s="52" t="str">
        <f aca="false">IF(A73="","",IF(AND(V73="",W73=""),"Not set",IF(AND(ISNUMBER(V73),ISNUMBER(W73),V73&gt;=1,V73&lt;=5,W73&gt;=1,W73&lt;=5),V73*W73,"Incomplete")))</f>
        <v/>
      </c>
      <c r="Y73" s="52" t="str">
        <f aca="false">IF(A73="","",IF(X73="Not set","Not set",IF(ISNUMBER(X73),LOOKUP(X73,BandMin,BandName),"Incomplete")))</f>
        <v/>
      </c>
      <c r="Z73" s="34"/>
      <c r="AA73" s="54" t="str">
        <f aca="false">IF(A73="","",IF(AppetiteThreshold="","Not configured",IF(NOT(ISNUMBER(R73)),"Cannot assess - residual incomplete",IF(MATCH(S73,BandName,0)&gt;=MATCH(AppetiteThreshold,BandName,0),"Above appetite - escalation required","Within appetite"))))</f>
        <v/>
      </c>
      <c r="AB73" s="50"/>
      <c r="AC73" s="54" t="str">
        <f aca="false">IF(A73="","",IF(AB73="","No decision referenced",IFERROR(INDEX(DEC_FINAL,MATCH(AB73,DEC_ID,0))&amp;" - "&amp;INDEX(DEC_CURR,MATCH(AB73,DEC_ID,0)),"CHECK: Decision ID not found")))</f>
        <v/>
      </c>
      <c r="AD73" s="54" t="str">
        <f aca="false">IF(A73="","",IF(COUNTIF(TRT_RISK,A73)=0,"No treatment recorded",COUNTIF(TRT_RISK,A73)&amp;" action(s); "&amp;COUNTIFS(TRT_RISK,A73,TRT_OPEN,"Open")&amp;" open; "&amp;COUNTIFS(TRT_RISK,A73,TRT_OVERDUE,"Overdue")&amp;" overdue"))</f>
        <v/>
      </c>
      <c r="AE73" s="51"/>
      <c r="AF73" s="51"/>
      <c r="AG73" s="54" t="str">
        <f aca="false">IF(A73="","",IF(AI73="","Complete","Incomplete: "&amp;AI73))</f>
        <v/>
      </c>
      <c r="AH73" s="54" t="str">
        <f aca="false">IF(A73="","",IF(COUNTIF(RSK_ID,A73)&gt;1,"CHECK: duplicate ID",IF(B73="","CHECK: Supplier ID missing",IF(COUNTIF(INV_ID,B73)=0,"CHECK: Supplier ID not in inventory",IF(AND(ISNUMBER(R73),ISNUMBER(L73),R73&gt;L73),"CHECK: residual score exceeds inherent - confirm",IF(AND(ISNUMBER(AF73),AF73&lt;AsOf),"Review overdue (administrative)","OK"))))))</f>
        <v/>
      </c>
      <c r="AI73" s="52" t="str">
        <f aca="false">IF(A73="","",IF(I73="","risk owner; ","")&amp;IF(OR(J73="",K73=""),"inherent rating; ","")&amp;IF(N73="","inherent rationale; ","")&amp;IF(OR(P73="",Q73=""),"residual rating; ","")&amp;IF(AND(OR(P73&lt;&gt;"",Q73&lt;&gt;""),T73=""),"residual rationale; ","")&amp;IF(AND(OR(P73&lt;&gt;"",Q73&lt;&gt;""),U73=""),"assessment confidence; ","")&amp;IF(AE73="","assessment date; ",""))</f>
        <v/>
      </c>
      <c r="AJ73" s="52" t="str">
        <f aca="false">IF(OR(A73="",B73=""),"",IF(B73=RptSup,B73&amp;"|"&amp;COUNTIF($B$7:B73,B73),""))</f>
        <v/>
      </c>
    </row>
    <row r="74" customFormat="false" ht="15" hidden="false" customHeight="false" outlineLevel="0" collapsed="false">
      <c r="A74" s="50"/>
      <c r="B74" s="50"/>
      <c r="C74" s="59" t="str">
        <f aca="false">IF(B74="","",IFERROR(INDEX(INV_NAME,MATCH(B74,INV_ID,0)),"CHECK: Supplier ID not found"))</f>
        <v/>
      </c>
      <c r="D74" s="34"/>
      <c r="E74" s="34"/>
      <c r="F74" s="34"/>
      <c r="G74" s="34"/>
      <c r="H74" s="34"/>
      <c r="I74" s="34"/>
      <c r="J74" s="50"/>
      <c r="K74" s="50"/>
      <c r="L74" s="52" t="str">
        <f aca="false">IF(A74="","",IF(AND(ISNUMBER(J74),ISNUMBER(K74),J74&gt;=1,J74&lt;=5,K74&gt;=1,K74&lt;=5),J74*K74,"Incomplete"))</f>
        <v/>
      </c>
      <c r="M74" s="52" t="str">
        <f aca="false">IF(A74="","",IF(ISNUMBER(L74),LOOKUP(L74,BandMin,BandName),"Incomplete"))</f>
        <v/>
      </c>
      <c r="N74" s="34"/>
      <c r="O74" s="34"/>
      <c r="P74" s="50"/>
      <c r="Q74" s="50"/>
      <c r="R74" s="61" t="str">
        <f aca="false">IF(A74="","",IF(AND(ISNUMBER(P74),ISNUMBER(Q74),P74&gt;=1,P74&lt;=5,Q74&gt;=1,Q74&lt;=5),P74*Q74,"Incomplete"))</f>
        <v/>
      </c>
      <c r="S74" s="52" t="str">
        <f aca="false">IF(A74="","",IF(ISNUMBER(R74),LOOKUP(R74,BandMin,BandName),"Incomplete"))</f>
        <v/>
      </c>
      <c r="T74" s="34"/>
      <c r="U74" s="50"/>
      <c r="V74" s="50"/>
      <c r="W74" s="50"/>
      <c r="X74" s="52" t="str">
        <f aca="false">IF(A74="","",IF(AND(V74="",W74=""),"Not set",IF(AND(ISNUMBER(V74),ISNUMBER(W74),V74&gt;=1,V74&lt;=5,W74&gt;=1,W74&lt;=5),V74*W74,"Incomplete")))</f>
        <v/>
      </c>
      <c r="Y74" s="52" t="str">
        <f aca="false">IF(A74="","",IF(X74="Not set","Not set",IF(ISNUMBER(X74),LOOKUP(X74,BandMin,BandName),"Incomplete")))</f>
        <v/>
      </c>
      <c r="Z74" s="34"/>
      <c r="AA74" s="54" t="str">
        <f aca="false">IF(A74="","",IF(AppetiteThreshold="","Not configured",IF(NOT(ISNUMBER(R74)),"Cannot assess - residual incomplete",IF(MATCH(S74,BandName,0)&gt;=MATCH(AppetiteThreshold,BandName,0),"Above appetite - escalation required","Within appetite"))))</f>
        <v/>
      </c>
      <c r="AB74" s="50"/>
      <c r="AC74" s="54" t="str">
        <f aca="false">IF(A74="","",IF(AB74="","No decision referenced",IFERROR(INDEX(DEC_FINAL,MATCH(AB74,DEC_ID,0))&amp;" - "&amp;INDEX(DEC_CURR,MATCH(AB74,DEC_ID,0)),"CHECK: Decision ID not found")))</f>
        <v/>
      </c>
      <c r="AD74" s="54" t="str">
        <f aca="false">IF(A74="","",IF(COUNTIF(TRT_RISK,A74)=0,"No treatment recorded",COUNTIF(TRT_RISK,A74)&amp;" action(s); "&amp;COUNTIFS(TRT_RISK,A74,TRT_OPEN,"Open")&amp;" open; "&amp;COUNTIFS(TRT_RISK,A74,TRT_OVERDUE,"Overdue")&amp;" overdue"))</f>
        <v/>
      </c>
      <c r="AE74" s="51"/>
      <c r="AF74" s="51"/>
      <c r="AG74" s="54" t="str">
        <f aca="false">IF(A74="","",IF(AI74="","Complete","Incomplete: "&amp;AI74))</f>
        <v/>
      </c>
      <c r="AH74" s="54" t="str">
        <f aca="false">IF(A74="","",IF(COUNTIF(RSK_ID,A74)&gt;1,"CHECK: duplicate ID",IF(B74="","CHECK: Supplier ID missing",IF(COUNTIF(INV_ID,B74)=0,"CHECK: Supplier ID not in inventory",IF(AND(ISNUMBER(R74),ISNUMBER(L74),R74&gt;L74),"CHECK: residual score exceeds inherent - confirm",IF(AND(ISNUMBER(AF74),AF74&lt;AsOf),"Review overdue (administrative)","OK"))))))</f>
        <v/>
      </c>
      <c r="AI74" s="52" t="str">
        <f aca="false">IF(A74="","",IF(I74="","risk owner; ","")&amp;IF(OR(J74="",K74=""),"inherent rating; ","")&amp;IF(N74="","inherent rationale; ","")&amp;IF(OR(P74="",Q74=""),"residual rating; ","")&amp;IF(AND(OR(P74&lt;&gt;"",Q74&lt;&gt;""),T74=""),"residual rationale; ","")&amp;IF(AND(OR(P74&lt;&gt;"",Q74&lt;&gt;""),U74=""),"assessment confidence; ","")&amp;IF(AE74="","assessment date; ",""))</f>
        <v/>
      </c>
      <c r="AJ74" s="52" t="str">
        <f aca="false">IF(OR(A74="",B74=""),"",IF(B74=RptSup,B74&amp;"|"&amp;COUNTIF($B$7:B74,B74),""))</f>
        <v/>
      </c>
    </row>
    <row r="75" customFormat="false" ht="15" hidden="false" customHeight="false" outlineLevel="0" collapsed="false">
      <c r="A75" s="50"/>
      <c r="B75" s="50"/>
      <c r="C75" s="59" t="str">
        <f aca="false">IF(B75="","",IFERROR(INDEX(INV_NAME,MATCH(B75,INV_ID,0)),"CHECK: Supplier ID not found"))</f>
        <v/>
      </c>
      <c r="D75" s="34"/>
      <c r="E75" s="34"/>
      <c r="F75" s="34"/>
      <c r="G75" s="34"/>
      <c r="H75" s="34"/>
      <c r="I75" s="34"/>
      <c r="J75" s="50"/>
      <c r="K75" s="50"/>
      <c r="L75" s="52" t="str">
        <f aca="false">IF(A75="","",IF(AND(ISNUMBER(J75),ISNUMBER(K75),J75&gt;=1,J75&lt;=5,K75&gt;=1,K75&lt;=5),J75*K75,"Incomplete"))</f>
        <v/>
      </c>
      <c r="M75" s="52" t="str">
        <f aca="false">IF(A75="","",IF(ISNUMBER(L75),LOOKUP(L75,BandMin,BandName),"Incomplete"))</f>
        <v/>
      </c>
      <c r="N75" s="34"/>
      <c r="O75" s="34"/>
      <c r="P75" s="50"/>
      <c r="Q75" s="50"/>
      <c r="R75" s="61" t="str">
        <f aca="false">IF(A75="","",IF(AND(ISNUMBER(P75),ISNUMBER(Q75),P75&gt;=1,P75&lt;=5,Q75&gt;=1,Q75&lt;=5),P75*Q75,"Incomplete"))</f>
        <v/>
      </c>
      <c r="S75" s="52" t="str">
        <f aca="false">IF(A75="","",IF(ISNUMBER(R75),LOOKUP(R75,BandMin,BandName),"Incomplete"))</f>
        <v/>
      </c>
      <c r="T75" s="34"/>
      <c r="U75" s="50"/>
      <c r="V75" s="50"/>
      <c r="W75" s="50"/>
      <c r="X75" s="52" t="str">
        <f aca="false">IF(A75="","",IF(AND(V75="",W75=""),"Not set",IF(AND(ISNUMBER(V75),ISNUMBER(W75),V75&gt;=1,V75&lt;=5,W75&gt;=1,W75&lt;=5),V75*W75,"Incomplete")))</f>
        <v/>
      </c>
      <c r="Y75" s="52" t="str">
        <f aca="false">IF(A75="","",IF(X75="Not set","Not set",IF(ISNUMBER(X75),LOOKUP(X75,BandMin,BandName),"Incomplete")))</f>
        <v/>
      </c>
      <c r="Z75" s="34"/>
      <c r="AA75" s="54" t="str">
        <f aca="false">IF(A75="","",IF(AppetiteThreshold="","Not configured",IF(NOT(ISNUMBER(R75)),"Cannot assess - residual incomplete",IF(MATCH(S75,BandName,0)&gt;=MATCH(AppetiteThreshold,BandName,0),"Above appetite - escalation required","Within appetite"))))</f>
        <v/>
      </c>
      <c r="AB75" s="50"/>
      <c r="AC75" s="54" t="str">
        <f aca="false">IF(A75="","",IF(AB75="","No decision referenced",IFERROR(INDEX(DEC_FINAL,MATCH(AB75,DEC_ID,0))&amp;" - "&amp;INDEX(DEC_CURR,MATCH(AB75,DEC_ID,0)),"CHECK: Decision ID not found")))</f>
        <v/>
      </c>
      <c r="AD75" s="54" t="str">
        <f aca="false">IF(A75="","",IF(COUNTIF(TRT_RISK,A75)=0,"No treatment recorded",COUNTIF(TRT_RISK,A75)&amp;" action(s); "&amp;COUNTIFS(TRT_RISK,A75,TRT_OPEN,"Open")&amp;" open; "&amp;COUNTIFS(TRT_RISK,A75,TRT_OVERDUE,"Overdue")&amp;" overdue"))</f>
        <v/>
      </c>
      <c r="AE75" s="51"/>
      <c r="AF75" s="51"/>
      <c r="AG75" s="54" t="str">
        <f aca="false">IF(A75="","",IF(AI75="","Complete","Incomplete: "&amp;AI75))</f>
        <v/>
      </c>
      <c r="AH75" s="54" t="str">
        <f aca="false">IF(A75="","",IF(COUNTIF(RSK_ID,A75)&gt;1,"CHECK: duplicate ID",IF(B75="","CHECK: Supplier ID missing",IF(COUNTIF(INV_ID,B75)=0,"CHECK: Supplier ID not in inventory",IF(AND(ISNUMBER(R75),ISNUMBER(L75),R75&gt;L75),"CHECK: residual score exceeds inherent - confirm",IF(AND(ISNUMBER(AF75),AF75&lt;AsOf),"Review overdue (administrative)","OK"))))))</f>
        <v/>
      </c>
      <c r="AI75" s="52" t="str">
        <f aca="false">IF(A75="","",IF(I75="","risk owner; ","")&amp;IF(OR(J75="",K75=""),"inherent rating; ","")&amp;IF(N75="","inherent rationale; ","")&amp;IF(OR(P75="",Q75=""),"residual rating; ","")&amp;IF(AND(OR(P75&lt;&gt;"",Q75&lt;&gt;""),T75=""),"residual rationale; ","")&amp;IF(AND(OR(P75&lt;&gt;"",Q75&lt;&gt;""),U75=""),"assessment confidence; ","")&amp;IF(AE75="","assessment date; ",""))</f>
        <v/>
      </c>
      <c r="AJ75" s="52" t="str">
        <f aca="false">IF(OR(A75="",B75=""),"",IF(B75=RptSup,B75&amp;"|"&amp;COUNTIF($B$7:B75,B75),""))</f>
        <v/>
      </c>
    </row>
    <row r="76" customFormat="false" ht="15" hidden="false" customHeight="false" outlineLevel="0" collapsed="false">
      <c r="A76" s="50"/>
      <c r="B76" s="50"/>
      <c r="C76" s="59" t="str">
        <f aca="false">IF(B76="","",IFERROR(INDEX(INV_NAME,MATCH(B76,INV_ID,0)),"CHECK: Supplier ID not found"))</f>
        <v/>
      </c>
      <c r="D76" s="34"/>
      <c r="E76" s="34"/>
      <c r="F76" s="34"/>
      <c r="G76" s="34"/>
      <c r="H76" s="34"/>
      <c r="I76" s="34"/>
      <c r="J76" s="50"/>
      <c r="K76" s="50"/>
      <c r="L76" s="52" t="str">
        <f aca="false">IF(A76="","",IF(AND(ISNUMBER(J76),ISNUMBER(K76),J76&gt;=1,J76&lt;=5,K76&gt;=1,K76&lt;=5),J76*K76,"Incomplete"))</f>
        <v/>
      </c>
      <c r="M76" s="52" t="str">
        <f aca="false">IF(A76="","",IF(ISNUMBER(L76),LOOKUP(L76,BandMin,BandName),"Incomplete"))</f>
        <v/>
      </c>
      <c r="N76" s="34"/>
      <c r="O76" s="34"/>
      <c r="P76" s="50"/>
      <c r="Q76" s="50"/>
      <c r="R76" s="61" t="str">
        <f aca="false">IF(A76="","",IF(AND(ISNUMBER(P76),ISNUMBER(Q76),P76&gt;=1,P76&lt;=5,Q76&gt;=1,Q76&lt;=5),P76*Q76,"Incomplete"))</f>
        <v/>
      </c>
      <c r="S76" s="52" t="str">
        <f aca="false">IF(A76="","",IF(ISNUMBER(R76),LOOKUP(R76,BandMin,BandName),"Incomplete"))</f>
        <v/>
      </c>
      <c r="T76" s="34"/>
      <c r="U76" s="50"/>
      <c r="V76" s="50"/>
      <c r="W76" s="50"/>
      <c r="X76" s="52" t="str">
        <f aca="false">IF(A76="","",IF(AND(V76="",W76=""),"Not set",IF(AND(ISNUMBER(V76),ISNUMBER(W76),V76&gt;=1,V76&lt;=5,W76&gt;=1,W76&lt;=5),V76*W76,"Incomplete")))</f>
        <v/>
      </c>
      <c r="Y76" s="52" t="str">
        <f aca="false">IF(A76="","",IF(X76="Not set","Not set",IF(ISNUMBER(X76),LOOKUP(X76,BandMin,BandName),"Incomplete")))</f>
        <v/>
      </c>
      <c r="Z76" s="34"/>
      <c r="AA76" s="54" t="str">
        <f aca="false">IF(A76="","",IF(AppetiteThreshold="","Not configured",IF(NOT(ISNUMBER(R76)),"Cannot assess - residual incomplete",IF(MATCH(S76,BandName,0)&gt;=MATCH(AppetiteThreshold,BandName,0),"Above appetite - escalation required","Within appetite"))))</f>
        <v/>
      </c>
      <c r="AB76" s="50"/>
      <c r="AC76" s="54" t="str">
        <f aca="false">IF(A76="","",IF(AB76="","No decision referenced",IFERROR(INDEX(DEC_FINAL,MATCH(AB76,DEC_ID,0))&amp;" - "&amp;INDEX(DEC_CURR,MATCH(AB76,DEC_ID,0)),"CHECK: Decision ID not found")))</f>
        <v/>
      </c>
      <c r="AD76" s="54" t="str">
        <f aca="false">IF(A76="","",IF(COUNTIF(TRT_RISK,A76)=0,"No treatment recorded",COUNTIF(TRT_RISK,A76)&amp;" action(s); "&amp;COUNTIFS(TRT_RISK,A76,TRT_OPEN,"Open")&amp;" open; "&amp;COUNTIFS(TRT_RISK,A76,TRT_OVERDUE,"Overdue")&amp;" overdue"))</f>
        <v/>
      </c>
      <c r="AE76" s="51"/>
      <c r="AF76" s="51"/>
      <c r="AG76" s="54" t="str">
        <f aca="false">IF(A76="","",IF(AI76="","Complete","Incomplete: "&amp;AI76))</f>
        <v/>
      </c>
      <c r="AH76" s="54" t="str">
        <f aca="false">IF(A76="","",IF(COUNTIF(RSK_ID,A76)&gt;1,"CHECK: duplicate ID",IF(B76="","CHECK: Supplier ID missing",IF(COUNTIF(INV_ID,B76)=0,"CHECK: Supplier ID not in inventory",IF(AND(ISNUMBER(R76),ISNUMBER(L76),R76&gt;L76),"CHECK: residual score exceeds inherent - confirm",IF(AND(ISNUMBER(AF76),AF76&lt;AsOf),"Review overdue (administrative)","OK"))))))</f>
        <v/>
      </c>
      <c r="AI76" s="52" t="str">
        <f aca="false">IF(A76="","",IF(I76="","risk owner; ","")&amp;IF(OR(J76="",K76=""),"inherent rating; ","")&amp;IF(N76="","inherent rationale; ","")&amp;IF(OR(P76="",Q76=""),"residual rating; ","")&amp;IF(AND(OR(P76&lt;&gt;"",Q76&lt;&gt;""),T76=""),"residual rationale; ","")&amp;IF(AND(OR(P76&lt;&gt;"",Q76&lt;&gt;""),U76=""),"assessment confidence; ","")&amp;IF(AE76="","assessment date; ",""))</f>
        <v/>
      </c>
      <c r="AJ76" s="52" t="str">
        <f aca="false">IF(OR(A76="",B76=""),"",IF(B76=RptSup,B76&amp;"|"&amp;COUNTIF($B$7:B76,B76),""))</f>
        <v/>
      </c>
    </row>
    <row r="77" customFormat="false" ht="15" hidden="false" customHeight="false" outlineLevel="0" collapsed="false">
      <c r="A77" s="50"/>
      <c r="B77" s="50"/>
      <c r="C77" s="59" t="str">
        <f aca="false">IF(B77="","",IFERROR(INDEX(INV_NAME,MATCH(B77,INV_ID,0)),"CHECK: Supplier ID not found"))</f>
        <v/>
      </c>
      <c r="D77" s="34"/>
      <c r="E77" s="34"/>
      <c r="F77" s="34"/>
      <c r="G77" s="34"/>
      <c r="H77" s="34"/>
      <c r="I77" s="34"/>
      <c r="J77" s="50"/>
      <c r="K77" s="50"/>
      <c r="L77" s="52" t="str">
        <f aca="false">IF(A77="","",IF(AND(ISNUMBER(J77),ISNUMBER(K77),J77&gt;=1,J77&lt;=5,K77&gt;=1,K77&lt;=5),J77*K77,"Incomplete"))</f>
        <v/>
      </c>
      <c r="M77" s="52" t="str">
        <f aca="false">IF(A77="","",IF(ISNUMBER(L77),LOOKUP(L77,BandMin,BandName),"Incomplete"))</f>
        <v/>
      </c>
      <c r="N77" s="34"/>
      <c r="O77" s="34"/>
      <c r="P77" s="50"/>
      <c r="Q77" s="50"/>
      <c r="R77" s="61" t="str">
        <f aca="false">IF(A77="","",IF(AND(ISNUMBER(P77),ISNUMBER(Q77),P77&gt;=1,P77&lt;=5,Q77&gt;=1,Q77&lt;=5),P77*Q77,"Incomplete"))</f>
        <v/>
      </c>
      <c r="S77" s="52" t="str">
        <f aca="false">IF(A77="","",IF(ISNUMBER(R77),LOOKUP(R77,BandMin,BandName),"Incomplete"))</f>
        <v/>
      </c>
      <c r="T77" s="34"/>
      <c r="U77" s="50"/>
      <c r="V77" s="50"/>
      <c r="W77" s="50"/>
      <c r="X77" s="52" t="str">
        <f aca="false">IF(A77="","",IF(AND(V77="",W77=""),"Not set",IF(AND(ISNUMBER(V77),ISNUMBER(W77),V77&gt;=1,V77&lt;=5,W77&gt;=1,W77&lt;=5),V77*W77,"Incomplete")))</f>
        <v/>
      </c>
      <c r="Y77" s="52" t="str">
        <f aca="false">IF(A77="","",IF(X77="Not set","Not set",IF(ISNUMBER(X77),LOOKUP(X77,BandMin,BandName),"Incomplete")))</f>
        <v/>
      </c>
      <c r="Z77" s="34"/>
      <c r="AA77" s="54" t="str">
        <f aca="false">IF(A77="","",IF(AppetiteThreshold="","Not configured",IF(NOT(ISNUMBER(R77)),"Cannot assess - residual incomplete",IF(MATCH(S77,BandName,0)&gt;=MATCH(AppetiteThreshold,BandName,0),"Above appetite - escalation required","Within appetite"))))</f>
        <v/>
      </c>
      <c r="AB77" s="50"/>
      <c r="AC77" s="54" t="str">
        <f aca="false">IF(A77="","",IF(AB77="","No decision referenced",IFERROR(INDEX(DEC_FINAL,MATCH(AB77,DEC_ID,0))&amp;" - "&amp;INDEX(DEC_CURR,MATCH(AB77,DEC_ID,0)),"CHECK: Decision ID not found")))</f>
        <v/>
      </c>
      <c r="AD77" s="54" t="str">
        <f aca="false">IF(A77="","",IF(COUNTIF(TRT_RISK,A77)=0,"No treatment recorded",COUNTIF(TRT_RISK,A77)&amp;" action(s); "&amp;COUNTIFS(TRT_RISK,A77,TRT_OPEN,"Open")&amp;" open; "&amp;COUNTIFS(TRT_RISK,A77,TRT_OVERDUE,"Overdue")&amp;" overdue"))</f>
        <v/>
      </c>
      <c r="AE77" s="51"/>
      <c r="AF77" s="51"/>
      <c r="AG77" s="54" t="str">
        <f aca="false">IF(A77="","",IF(AI77="","Complete","Incomplete: "&amp;AI77))</f>
        <v/>
      </c>
      <c r="AH77" s="54" t="str">
        <f aca="false">IF(A77="","",IF(COUNTIF(RSK_ID,A77)&gt;1,"CHECK: duplicate ID",IF(B77="","CHECK: Supplier ID missing",IF(COUNTIF(INV_ID,B77)=0,"CHECK: Supplier ID not in inventory",IF(AND(ISNUMBER(R77),ISNUMBER(L77),R77&gt;L77),"CHECK: residual score exceeds inherent - confirm",IF(AND(ISNUMBER(AF77),AF77&lt;AsOf),"Review overdue (administrative)","OK"))))))</f>
        <v/>
      </c>
      <c r="AI77" s="52" t="str">
        <f aca="false">IF(A77="","",IF(I77="","risk owner; ","")&amp;IF(OR(J77="",K77=""),"inherent rating; ","")&amp;IF(N77="","inherent rationale; ","")&amp;IF(OR(P77="",Q77=""),"residual rating; ","")&amp;IF(AND(OR(P77&lt;&gt;"",Q77&lt;&gt;""),T77=""),"residual rationale; ","")&amp;IF(AND(OR(P77&lt;&gt;"",Q77&lt;&gt;""),U77=""),"assessment confidence; ","")&amp;IF(AE77="","assessment date; ",""))</f>
        <v/>
      </c>
      <c r="AJ77" s="52" t="str">
        <f aca="false">IF(OR(A77="",B77=""),"",IF(B77=RptSup,B77&amp;"|"&amp;COUNTIF($B$7:B77,B77),""))</f>
        <v/>
      </c>
    </row>
    <row r="78" customFormat="false" ht="15" hidden="false" customHeight="false" outlineLevel="0" collapsed="false">
      <c r="A78" s="50"/>
      <c r="B78" s="50"/>
      <c r="C78" s="59" t="str">
        <f aca="false">IF(B78="","",IFERROR(INDEX(INV_NAME,MATCH(B78,INV_ID,0)),"CHECK: Supplier ID not found"))</f>
        <v/>
      </c>
      <c r="D78" s="34"/>
      <c r="E78" s="34"/>
      <c r="F78" s="34"/>
      <c r="G78" s="34"/>
      <c r="H78" s="34"/>
      <c r="I78" s="34"/>
      <c r="J78" s="50"/>
      <c r="K78" s="50"/>
      <c r="L78" s="52" t="str">
        <f aca="false">IF(A78="","",IF(AND(ISNUMBER(J78),ISNUMBER(K78),J78&gt;=1,J78&lt;=5,K78&gt;=1,K78&lt;=5),J78*K78,"Incomplete"))</f>
        <v/>
      </c>
      <c r="M78" s="52" t="str">
        <f aca="false">IF(A78="","",IF(ISNUMBER(L78),LOOKUP(L78,BandMin,BandName),"Incomplete"))</f>
        <v/>
      </c>
      <c r="N78" s="34"/>
      <c r="O78" s="34"/>
      <c r="P78" s="50"/>
      <c r="Q78" s="50"/>
      <c r="R78" s="61" t="str">
        <f aca="false">IF(A78="","",IF(AND(ISNUMBER(P78),ISNUMBER(Q78),P78&gt;=1,P78&lt;=5,Q78&gt;=1,Q78&lt;=5),P78*Q78,"Incomplete"))</f>
        <v/>
      </c>
      <c r="S78" s="52" t="str">
        <f aca="false">IF(A78="","",IF(ISNUMBER(R78),LOOKUP(R78,BandMin,BandName),"Incomplete"))</f>
        <v/>
      </c>
      <c r="T78" s="34"/>
      <c r="U78" s="50"/>
      <c r="V78" s="50"/>
      <c r="W78" s="50"/>
      <c r="X78" s="52" t="str">
        <f aca="false">IF(A78="","",IF(AND(V78="",W78=""),"Not set",IF(AND(ISNUMBER(V78),ISNUMBER(W78),V78&gt;=1,V78&lt;=5,W78&gt;=1,W78&lt;=5),V78*W78,"Incomplete")))</f>
        <v/>
      </c>
      <c r="Y78" s="52" t="str">
        <f aca="false">IF(A78="","",IF(X78="Not set","Not set",IF(ISNUMBER(X78),LOOKUP(X78,BandMin,BandName),"Incomplete")))</f>
        <v/>
      </c>
      <c r="Z78" s="34"/>
      <c r="AA78" s="54" t="str">
        <f aca="false">IF(A78="","",IF(AppetiteThreshold="","Not configured",IF(NOT(ISNUMBER(R78)),"Cannot assess - residual incomplete",IF(MATCH(S78,BandName,0)&gt;=MATCH(AppetiteThreshold,BandName,0),"Above appetite - escalation required","Within appetite"))))</f>
        <v/>
      </c>
      <c r="AB78" s="50"/>
      <c r="AC78" s="54" t="str">
        <f aca="false">IF(A78="","",IF(AB78="","No decision referenced",IFERROR(INDEX(DEC_FINAL,MATCH(AB78,DEC_ID,0))&amp;" - "&amp;INDEX(DEC_CURR,MATCH(AB78,DEC_ID,0)),"CHECK: Decision ID not found")))</f>
        <v/>
      </c>
      <c r="AD78" s="54" t="str">
        <f aca="false">IF(A78="","",IF(COUNTIF(TRT_RISK,A78)=0,"No treatment recorded",COUNTIF(TRT_RISK,A78)&amp;" action(s); "&amp;COUNTIFS(TRT_RISK,A78,TRT_OPEN,"Open")&amp;" open; "&amp;COUNTIFS(TRT_RISK,A78,TRT_OVERDUE,"Overdue")&amp;" overdue"))</f>
        <v/>
      </c>
      <c r="AE78" s="51"/>
      <c r="AF78" s="51"/>
      <c r="AG78" s="54" t="str">
        <f aca="false">IF(A78="","",IF(AI78="","Complete","Incomplete: "&amp;AI78))</f>
        <v/>
      </c>
      <c r="AH78" s="54" t="str">
        <f aca="false">IF(A78="","",IF(COUNTIF(RSK_ID,A78)&gt;1,"CHECK: duplicate ID",IF(B78="","CHECK: Supplier ID missing",IF(COUNTIF(INV_ID,B78)=0,"CHECK: Supplier ID not in inventory",IF(AND(ISNUMBER(R78),ISNUMBER(L78),R78&gt;L78),"CHECK: residual score exceeds inherent - confirm",IF(AND(ISNUMBER(AF78),AF78&lt;AsOf),"Review overdue (administrative)","OK"))))))</f>
        <v/>
      </c>
      <c r="AI78" s="52" t="str">
        <f aca="false">IF(A78="","",IF(I78="","risk owner; ","")&amp;IF(OR(J78="",K78=""),"inherent rating; ","")&amp;IF(N78="","inherent rationale; ","")&amp;IF(OR(P78="",Q78=""),"residual rating; ","")&amp;IF(AND(OR(P78&lt;&gt;"",Q78&lt;&gt;""),T78=""),"residual rationale; ","")&amp;IF(AND(OR(P78&lt;&gt;"",Q78&lt;&gt;""),U78=""),"assessment confidence; ","")&amp;IF(AE78="","assessment date; ",""))</f>
        <v/>
      </c>
      <c r="AJ78" s="52" t="str">
        <f aca="false">IF(OR(A78="",B78=""),"",IF(B78=RptSup,B78&amp;"|"&amp;COUNTIF($B$7:B78,B78),""))</f>
        <v/>
      </c>
    </row>
    <row r="79" customFormat="false" ht="15" hidden="false" customHeight="false" outlineLevel="0" collapsed="false">
      <c r="A79" s="50"/>
      <c r="B79" s="50"/>
      <c r="C79" s="59" t="str">
        <f aca="false">IF(B79="","",IFERROR(INDEX(INV_NAME,MATCH(B79,INV_ID,0)),"CHECK: Supplier ID not found"))</f>
        <v/>
      </c>
      <c r="D79" s="34"/>
      <c r="E79" s="34"/>
      <c r="F79" s="34"/>
      <c r="G79" s="34"/>
      <c r="H79" s="34"/>
      <c r="I79" s="34"/>
      <c r="J79" s="50"/>
      <c r="K79" s="50"/>
      <c r="L79" s="52" t="str">
        <f aca="false">IF(A79="","",IF(AND(ISNUMBER(J79),ISNUMBER(K79),J79&gt;=1,J79&lt;=5,K79&gt;=1,K79&lt;=5),J79*K79,"Incomplete"))</f>
        <v/>
      </c>
      <c r="M79" s="52" t="str">
        <f aca="false">IF(A79="","",IF(ISNUMBER(L79),LOOKUP(L79,BandMin,BandName),"Incomplete"))</f>
        <v/>
      </c>
      <c r="N79" s="34"/>
      <c r="O79" s="34"/>
      <c r="P79" s="50"/>
      <c r="Q79" s="50"/>
      <c r="R79" s="61" t="str">
        <f aca="false">IF(A79="","",IF(AND(ISNUMBER(P79),ISNUMBER(Q79),P79&gt;=1,P79&lt;=5,Q79&gt;=1,Q79&lt;=5),P79*Q79,"Incomplete"))</f>
        <v/>
      </c>
      <c r="S79" s="52" t="str">
        <f aca="false">IF(A79="","",IF(ISNUMBER(R79),LOOKUP(R79,BandMin,BandName),"Incomplete"))</f>
        <v/>
      </c>
      <c r="T79" s="34"/>
      <c r="U79" s="50"/>
      <c r="V79" s="50"/>
      <c r="W79" s="50"/>
      <c r="X79" s="52" t="str">
        <f aca="false">IF(A79="","",IF(AND(V79="",W79=""),"Not set",IF(AND(ISNUMBER(V79),ISNUMBER(W79),V79&gt;=1,V79&lt;=5,W79&gt;=1,W79&lt;=5),V79*W79,"Incomplete")))</f>
        <v/>
      </c>
      <c r="Y79" s="52" t="str">
        <f aca="false">IF(A79="","",IF(X79="Not set","Not set",IF(ISNUMBER(X79),LOOKUP(X79,BandMin,BandName),"Incomplete")))</f>
        <v/>
      </c>
      <c r="Z79" s="34"/>
      <c r="AA79" s="54" t="str">
        <f aca="false">IF(A79="","",IF(AppetiteThreshold="","Not configured",IF(NOT(ISNUMBER(R79)),"Cannot assess - residual incomplete",IF(MATCH(S79,BandName,0)&gt;=MATCH(AppetiteThreshold,BandName,0),"Above appetite - escalation required","Within appetite"))))</f>
        <v/>
      </c>
      <c r="AB79" s="50"/>
      <c r="AC79" s="54" t="str">
        <f aca="false">IF(A79="","",IF(AB79="","No decision referenced",IFERROR(INDEX(DEC_FINAL,MATCH(AB79,DEC_ID,0))&amp;" - "&amp;INDEX(DEC_CURR,MATCH(AB79,DEC_ID,0)),"CHECK: Decision ID not found")))</f>
        <v/>
      </c>
      <c r="AD79" s="54" t="str">
        <f aca="false">IF(A79="","",IF(COUNTIF(TRT_RISK,A79)=0,"No treatment recorded",COUNTIF(TRT_RISK,A79)&amp;" action(s); "&amp;COUNTIFS(TRT_RISK,A79,TRT_OPEN,"Open")&amp;" open; "&amp;COUNTIFS(TRT_RISK,A79,TRT_OVERDUE,"Overdue")&amp;" overdue"))</f>
        <v/>
      </c>
      <c r="AE79" s="51"/>
      <c r="AF79" s="51"/>
      <c r="AG79" s="54" t="str">
        <f aca="false">IF(A79="","",IF(AI79="","Complete","Incomplete: "&amp;AI79))</f>
        <v/>
      </c>
      <c r="AH79" s="54" t="str">
        <f aca="false">IF(A79="","",IF(COUNTIF(RSK_ID,A79)&gt;1,"CHECK: duplicate ID",IF(B79="","CHECK: Supplier ID missing",IF(COUNTIF(INV_ID,B79)=0,"CHECK: Supplier ID not in inventory",IF(AND(ISNUMBER(R79),ISNUMBER(L79),R79&gt;L79),"CHECK: residual score exceeds inherent - confirm",IF(AND(ISNUMBER(AF79),AF79&lt;AsOf),"Review overdue (administrative)","OK"))))))</f>
        <v/>
      </c>
      <c r="AI79" s="52" t="str">
        <f aca="false">IF(A79="","",IF(I79="","risk owner; ","")&amp;IF(OR(J79="",K79=""),"inherent rating; ","")&amp;IF(N79="","inherent rationale; ","")&amp;IF(OR(P79="",Q79=""),"residual rating; ","")&amp;IF(AND(OR(P79&lt;&gt;"",Q79&lt;&gt;""),T79=""),"residual rationale; ","")&amp;IF(AND(OR(P79&lt;&gt;"",Q79&lt;&gt;""),U79=""),"assessment confidence; ","")&amp;IF(AE79="","assessment date; ",""))</f>
        <v/>
      </c>
      <c r="AJ79" s="52" t="str">
        <f aca="false">IF(OR(A79="",B79=""),"",IF(B79=RptSup,B79&amp;"|"&amp;COUNTIF($B$7:B79,B79),""))</f>
        <v/>
      </c>
    </row>
    <row r="80" customFormat="false" ht="15" hidden="false" customHeight="false" outlineLevel="0" collapsed="false">
      <c r="A80" s="50"/>
      <c r="B80" s="50"/>
      <c r="C80" s="59" t="str">
        <f aca="false">IF(B80="","",IFERROR(INDEX(INV_NAME,MATCH(B80,INV_ID,0)),"CHECK: Supplier ID not found"))</f>
        <v/>
      </c>
      <c r="D80" s="34"/>
      <c r="E80" s="34"/>
      <c r="F80" s="34"/>
      <c r="G80" s="34"/>
      <c r="H80" s="34"/>
      <c r="I80" s="34"/>
      <c r="J80" s="50"/>
      <c r="K80" s="50"/>
      <c r="L80" s="52" t="str">
        <f aca="false">IF(A80="","",IF(AND(ISNUMBER(J80),ISNUMBER(K80),J80&gt;=1,J80&lt;=5,K80&gt;=1,K80&lt;=5),J80*K80,"Incomplete"))</f>
        <v/>
      </c>
      <c r="M80" s="52" t="str">
        <f aca="false">IF(A80="","",IF(ISNUMBER(L80),LOOKUP(L80,BandMin,BandName),"Incomplete"))</f>
        <v/>
      </c>
      <c r="N80" s="34"/>
      <c r="O80" s="34"/>
      <c r="P80" s="50"/>
      <c r="Q80" s="50"/>
      <c r="R80" s="61" t="str">
        <f aca="false">IF(A80="","",IF(AND(ISNUMBER(P80),ISNUMBER(Q80),P80&gt;=1,P80&lt;=5,Q80&gt;=1,Q80&lt;=5),P80*Q80,"Incomplete"))</f>
        <v/>
      </c>
      <c r="S80" s="52" t="str">
        <f aca="false">IF(A80="","",IF(ISNUMBER(R80),LOOKUP(R80,BandMin,BandName),"Incomplete"))</f>
        <v/>
      </c>
      <c r="T80" s="34"/>
      <c r="U80" s="50"/>
      <c r="V80" s="50"/>
      <c r="W80" s="50"/>
      <c r="X80" s="52" t="str">
        <f aca="false">IF(A80="","",IF(AND(V80="",W80=""),"Not set",IF(AND(ISNUMBER(V80),ISNUMBER(W80),V80&gt;=1,V80&lt;=5,W80&gt;=1,W80&lt;=5),V80*W80,"Incomplete")))</f>
        <v/>
      </c>
      <c r="Y80" s="52" t="str">
        <f aca="false">IF(A80="","",IF(X80="Not set","Not set",IF(ISNUMBER(X80),LOOKUP(X80,BandMin,BandName),"Incomplete")))</f>
        <v/>
      </c>
      <c r="Z80" s="34"/>
      <c r="AA80" s="54" t="str">
        <f aca="false">IF(A80="","",IF(AppetiteThreshold="","Not configured",IF(NOT(ISNUMBER(R80)),"Cannot assess - residual incomplete",IF(MATCH(S80,BandName,0)&gt;=MATCH(AppetiteThreshold,BandName,0),"Above appetite - escalation required","Within appetite"))))</f>
        <v/>
      </c>
      <c r="AB80" s="50"/>
      <c r="AC80" s="54" t="str">
        <f aca="false">IF(A80="","",IF(AB80="","No decision referenced",IFERROR(INDEX(DEC_FINAL,MATCH(AB80,DEC_ID,0))&amp;" - "&amp;INDEX(DEC_CURR,MATCH(AB80,DEC_ID,0)),"CHECK: Decision ID not found")))</f>
        <v/>
      </c>
      <c r="AD80" s="54" t="str">
        <f aca="false">IF(A80="","",IF(COUNTIF(TRT_RISK,A80)=0,"No treatment recorded",COUNTIF(TRT_RISK,A80)&amp;" action(s); "&amp;COUNTIFS(TRT_RISK,A80,TRT_OPEN,"Open")&amp;" open; "&amp;COUNTIFS(TRT_RISK,A80,TRT_OVERDUE,"Overdue")&amp;" overdue"))</f>
        <v/>
      </c>
      <c r="AE80" s="51"/>
      <c r="AF80" s="51"/>
      <c r="AG80" s="54" t="str">
        <f aca="false">IF(A80="","",IF(AI80="","Complete","Incomplete: "&amp;AI80))</f>
        <v/>
      </c>
      <c r="AH80" s="54" t="str">
        <f aca="false">IF(A80="","",IF(COUNTIF(RSK_ID,A80)&gt;1,"CHECK: duplicate ID",IF(B80="","CHECK: Supplier ID missing",IF(COUNTIF(INV_ID,B80)=0,"CHECK: Supplier ID not in inventory",IF(AND(ISNUMBER(R80),ISNUMBER(L80),R80&gt;L80),"CHECK: residual score exceeds inherent - confirm",IF(AND(ISNUMBER(AF80),AF80&lt;AsOf),"Review overdue (administrative)","OK"))))))</f>
        <v/>
      </c>
      <c r="AI80" s="52" t="str">
        <f aca="false">IF(A80="","",IF(I80="","risk owner; ","")&amp;IF(OR(J80="",K80=""),"inherent rating; ","")&amp;IF(N80="","inherent rationale; ","")&amp;IF(OR(P80="",Q80=""),"residual rating; ","")&amp;IF(AND(OR(P80&lt;&gt;"",Q80&lt;&gt;""),T80=""),"residual rationale; ","")&amp;IF(AND(OR(P80&lt;&gt;"",Q80&lt;&gt;""),U80=""),"assessment confidence; ","")&amp;IF(AE80="","assessment date; ",""))</f>
        <v/>
      </c>
      <c r="AJ80" s="52" t="str">
        <f aca="false">IF(OR(A80="",B80=""),"",IF(B80=RptSup,B80&amp;"|"&amp;COUNTIF($B$7:B80,B80),""))</f>
        <v/>
      </c>
    </row>
    <row r="81" customFormat="false" ht="15" hidden="false" customHeight="false" outlineLevel="0" collapsed="false">
      <c r="A81" s="50"/>
      <c r="B81" s="50"/>
      <c r="C81" s="59" t="str">
        <f aca="false">IF(B81="","",IFERROR(INDEX(INV_NAME,MATCH(B81,INV_ID,0)),"CHECK: Supplier ID not found"))</f>
        <v/>
      </c>
      <c r="D81" s="34"/>
      <c r="E81" s="34"/>
      <c r="F81" s="34"/>
      <c r="G81" s="34"/>
      <c r="H81" s="34"/>
      <c r="I81" s="34"/>
      <c r="J81" s="50"/>
      <c r="K81" s="50"/>
      <c r="L81" s="52" t="str">
        <f aca="false">IF(A81="","",IF(AND(ISNUMBER(J81),ISNUMBER(K81),J81&gt;=1,J81&lt;=5,K81&gt;=1,K81&lt;=5),J81*K81,"Incomplete"))</f>
        <v/>
      </c>
      <c r="M81" s="52" t="str">
        <f aca="false">IF(A81="","",IF(ISNUMBER(L81),LOOKUP(L81,BandMin,BandName),"Incomplete"))</f>
        <v/>
      </c>
      <c r="N81" s="34"/>
      <c r="O81" s="34"/>
      <c r="P81" s="50"/>
      <c r="Q81" s="50"/>
      <c r="R81" s="61" t="str">
        <f aca="false">IF(A81="","",IF(AND(ISNUMBER(P81),ISNUMBER(Q81),P81&gt;=1,P81&lt;=5,Q81&gt;=1,Q81&lt;=5),P81*Q81,"Incomplete"))</f>
        <v/>
      </c>
      <c r="S81" s="52" t="str">
        <f aca="false">IF(A81="","",IF(ISNUMBER(R81),LOOKUP(R81,BandMin,BandName),"Incomplete"))</f>
        <v/>
      </c>
      <c r="T81" s="34"/>
      <c r="U81" s="50"/>
      <c r="V81" s="50"/>
      <c r="W81" s="50"/>
      <c r="X81" s="52" t="str">
        <f aca="false">IF(A81="","",IF(AND(V81="",W81=""),"Not set",IF(AND(ISNUMBER(V81),ISNUMBER(W81),V81&gt;=1,V81&lt;=5,W81&gt;=1,W81&lt;=5),V81*W81,"Incomplete")))</f>
        <v/>
      </c>
      <c r="Y81" s="52" t="str">
        <f aca="false">IF(A81="","",IF(X81="Not set","Not set",IF(ISNUMBER(X81),LOOKUP(X81,BandMin,BandName),"Incomplete")))</f>
        <v/>
      </c>
      <c r="Z81" s="34"/>
      <c r="AA81" s="54" t="str">
        <f aca="false">IF(A81="","",IF(AppetiteThreshold="","Not configured",IF(NOT(ISNUMBER(R81)),"Cannot assess - residual incomplete",IF(MATCH(S81,BandName,0)&gt;=MATCH(AppetiteThreshold,BandName,0),"Above appetite - escalation required","Within appetite"))))</f>
        <v/>
      </c>
      <c r="AB81" s="50"/>
      <c r="AC81" s="54" t="str">
        <f aca="false">IF(A81="","",IF(AB81="","No decision referenced",IFERROR(INDEX(DEC_FINAL,MATCH(AB81,DEC_ID,0))&amp;" - "&amp;INDEX(DEC_CURR,MATCH(AB81,DEC_ID,0)),"CHECK: Decision ID not found")))</f>
        <v/>
      </c>
      <c r="AD81" s="54" t="str">
        <f aca="false">IF(A81="","",IF(COUNTIF(TRT_RISK,A81)=0,"No treatment recorded",COUNTIF(TRT_RISK,A81)&amp;" action(s); "&amp;COUNTIFS(TRT_RISK,A81,TRT_OPEN,"Open")&amp;" open; "&amp;COUNTIFS(TRT_RISK,A81,TRT_OVERDUE,"Overdue")&amp;" overdue"))</f>
        <v/>
      </c>
      <c r="AE81" s="51"/>
      <c r="AF81" s="51"/>
      <c r="AG81" s="54" t="str">
        <f aca="false">IF(A81="","",IF(AI81="","Complete","Incomplete: "&amp;AI81))</f>
        <v/>
      </c>
      <c r="AH81" s="54" t="str">
        <f aca="false">IF(A81="","",IF(COUNTIF(RSK_ID,A81)&gt;1,"CHECK: duplicate ID",IF(B81="","CHECK: Supplier ID missing",IF(COUNTIF(INV_ID,B81)=0,"CHECK: Supplier ID not in inventory",IF(AND(ISNUMBER(R81),ISNUMBER(L81),R81&gt;L81),"CHECK: residual score exceeds inherent - confirm",IF(AND(ISNUMBER(AF81),AF81&lt;AsOf),"Review overdue (administrative)","OK"))))))</f>
        <v/>
      </c>
      <c r="AI81" s="52" t="str">
        <f aca="false">IF(A81="","",IF(I81="","risk owner; ","")&amp;IF(OR(J81="",K81=""),"inherent rating; ","")&amp;IF(N81="","inherent rationale; ","")&amp;IF(OR(P81="",Q81=""),"residual rating; ","")&amp;IF(AND(OR(P81&lt;&gt;"",Q81&lt;&gt;""),T81=""),"residual rationale; ","")&amp;IF(AND(OR(P81&lt;&gt;"",Q81&lt;&gt;""),U81=""),"assessment confidence; ","")&amp;IF(AE81="","assessment date; ",""))</f>
        <v/>
      </c>
      <c r="AJ81" s="52" t="str">
        <f aca="false">IF(OR(A81="",B81=""),"",IF(B81=RptSup,B81&amp;"|"&amp;COUNTIF($B$7:B81,B81),""))</f>
        <v/>
      </c>
    </row>
    <row r="82" customFormat="false" ht="15" hidden="false" customHeight="false" outlineLevel="0" collapsed="false">
      <c r="A82" s="50"/>
      <c r="B82" s="50"/>
      <c r="C82" s="59" t="str">
        <f aca="false">IF(B82="","",IFERROR(INDEX(INV_NAME,MATCH(B82,INV_ID,0)),"CHECK: Supplier ID not found"))</f>
        <v/>
      </c>
      <c r="D82" s="34"/>
      <c r="E82" s="34"/>
      <c r="F82" s="34"/>
      <c r="G82" s="34"/>
      <c r="H82" s="34"/>
      <c r="I82" s="34"/>
      <c r="J82" s="50"/>
      <c r="K82" s="50"/>
      <c r="L82" s="52" t="str">
        <f aca="false">IF(A82="","",IF(AND(ISNUMBER(J82),ISNUMBER(K82),J82&gt;=1,J82&lt;=5,K82&gt;=1,K82&lt;=5),J82*K82,"Incomplete"))</f>
        <v/>
      </c>
      <c r="M82" s="52" t="str">
        <f aca="false">IF(A82="","",IF(ISNUMBER(L82),LOOKUP(L82,BandMin,BandName),"Incomplete"))</f>
        <v/>
      </c>
      <c r="N82" s="34"/>
      <c r="O82" s="34"/>
      <c r="P82" s="50"/>
      <c r="Q82" s="50"/>
      <c r="R82" s="61" t="str">
        <f aca="false">IF(A82="","",IF(AND(ISNUMBER(P82),ISNUMBER(Q82),P82&gt;=1,P82&lt;=5,Q82&gt;=1,Q82&lt;=5),P82*Q82,"Incomplete"))</f>
        <v/>
      </c>
      <c r="S82" s="52" t="str">
        <f aca="false">IF(A82="","",IF(ISNUMBER(R82),LOOKUP(R82,BandMin,BandName),"Incomplete"))</f>
        <v/>
      </c>
      <c r="T82" s="34"/>
      <c r="U82" s="50"/>
      <c r="V82" s="50"/>
      <c r="W82" s="50"/>
      <c r="X82" s="52" t="str">
        <f aca="false">IF(A82="","",IF(AND(V82="",W82=""),"Not set",IF(AND(ISNUMBER(V82),ISNUMBER(W82),V82&gt;=1,V82&lt;=5,W82&gt;=1,W82&lt;=5),V82*W82,"Incomplete")))</f>
        <v/>
      </c>
      <c r="Y82" s="52" t="str">
        <f aca="false">IF(A82="","",IF(X82="Not set","Not set",IF(ISNUMBER(X82),LOOKUP(X82,BandMin,BandName),"Incomplete")))</f>
        <v/>
      </c>
      <c r="Z82" s="34"/>
      <c r="AA82" s="54" t="str">
        <f aca="false">IF(A82="","",IF(AppetiteThreshold="","Not configured",IF(NOT(ISNUMBER(R82)),"Cannot assess - residual incomplete",IF(MATCH(S82,BandName,0)&gt;=MATCH(AppetiteThreshold,BandName,0),"Above appetite - escalation required","Within appetite"))))</f>
        <v/>
      </c>
      <c r="AB82" s="50"/>
      <c r="AC82" s="54" t="str">
        <f aca="false">IF(A82="","",IF(AB82="","No decision referenced",IFERROR(INDEX(DEC_FINAL,MATCH(AB82,DEC_ID,0))&amp;" - "&amp;INDEX(DEC_CURR,MATCH(AB82,DEC_ID,0)),"CHECK: Decision ID not found")))</f>
        <v/>
      </c>
      <c r="AD82" s="54" t="str">
        <f aca="false">IF(A82="","",IF(COUNTIF(TRT_RISK,A82)=0,"No treatment recorded",COUNTIF(TRT_RISK,A82)&amp;" action(s); "&amp;COUNTIFS(TRT_RISK,A82,TRT_OPEN,"Open")&amp;" open; "&amp;COUNTIFS(TRT_RISK,A82,TRT_OVERDUE,"Overdue")&amp;" overdue"))</f>
        <v/>
      </c>
      <c r="AE82" s="51"/>
      <c r="AF82" s="51"/>
      <c r="AG82" s="54" t="str">
        <f aca="false">IF(A82="","",IF(AI82="","Complete","Incomplete: "&amp;AI82))</f>
        <v/>
      </c>
      <c r="AH82" s="54" t="str">
        <f aca="false">IF(A82="","",IF(COUNTIF(RSK_ID,A82)&gt;1,"CHECK: duplicate ID",IF(B82="","CHECK: Supplier ID missing",IF(COUNTIF(INV_ID,B82)=0,"CHECK: Supplier ID not in inventory",IF(AND(ISNUMBER(R82),ISNUMBER(L82),R82&gt;L82),"CHECK: residual score exceeds inherent - confirm",IF(AND(ISNUMBER(AF82),AF82&lt;AsOf),"Review overdue (administrative)","OK"))))))</f>
        <v/>
      </c>
      <c r="AI82" s="52" t="str">
        <f aca="false">IF(A82="","",IF(I82="","risk owner; ","")&amp;IF(OR(J82="",K82=""),"inherent rating; ","")&amp;IF(N82="","inherent rationale; ","")&amp;IF(OR(P82="",Q82=""),"residual rating; ","")&amp;IF(AND(OR(P82&lt;&gt;"",Q82&lt;&gt;""),T82=""),"residual rationale; ","")&amp;IF(AND(OR(P82&lt;&gt;"",Q82&lt;&gt;""),U82=""),"assessment confidence; ","")&amp;IF(AE82="","assessment date; ",""))</f>
        <v/>
      </c>
      <c r="AJ82" s="52" t="str">
        <f aca="false">IF(OR(A82="",B82=""),"",IF(B82=RptSup,B82&amp;"|"&amp;COUNTIF($B$7:B82,B82),""))</f>
        <v/>
      </c>
    </row>
    <row r="83" customFormat="false" ht="15" hidden="false" customHeight="false" outlineLevel="0" collapsed="false">
      <c r="A83" s="50"/>
      <c r="B83" s="50"/>
      <c r="C83" s="59" t="str">
        <f aca="false">IF(B83="","",IFERROR(INDEX(INV_NAME,MATCH(B83,INV_ID,0)),"CHECK: Supplier ID not found"))</f>
        <v/>
      </c>
      <c r="D83" s="34"/>
      <c r="E83" s="34"/>
      <c r="F83" s="34"/>
      <c r="G83" s="34"/>
      <c r="H83" s="34"/>
      <c r="I83" s="34"/>
      <c r="J83" s="50"/>
      <c r="K83" s="50"/>
      <c r="L83" s="52" t="str">
        <f aca="false">IF(A83="","",IF(AND(ISNUMBER(J83),ISNUMBER(K83),J83&gt;=1,J83&lt;=5,K83&gt;=1,K83&lt;=5),J83*K83,"Incomplete"))</f>
        <v/>
      </c>
      <c r="M83" s="52" t="str">
        <f aca="false">IF(A83="","",IF(ISNUMBER(L83),LOOKUP(L83,BandMin,BandName),"Incomplete"))</f>
        <v/>
      </c>
      <c r="N83" s="34"/>
      <c r="O83" s="34"/>
      <c r="P83" s="50"/>
      <c r="Q83" s="50"/>
      <c r="R83" s="61" t="str">
        <f aca="false">IF(A83="","",IF(AND(ISNUMBER(P83),ISNUMBER(Q83),P83&gt;=1,P83&lt;=5,Q83&gt;=1,Q83&lt;=5),P83*Q83,"Incomplete"))</f>
        <v/>
      </c>
      <c r="S83" s="52" t="str">
        <f aca="false">IF(A83="","",IF(ISNUMBER(R83),LOOKUP(R83,BandMin,BandName),"Incomplete"))</f>
        <v/>
      </c>
      <c r="T83" s="34"/>
      <c r="U83" s="50"/>
      <c r="V83" s="50"/>
      <c r="W83" s="50"/>
      <c r="X83" s="52" t="str">
        <f aca="false">IF(A83="","",IF(AND(V83="",W83=""),"Not set",IF(AND(ISNUMBER(V83),ISNUMBER(W83),V83&gt;=1,V83&lt;=5,W83&gt;=1,W83&lt;=5),V83*W83,"Incomplete")))</f>
        <v/>
      </c>
      <c r="Y83" s="52" t="str">
        <f aca="false">IF(A83="","",IF(X83="Not set","Not set",IF(ISNUMBER(X83),LOOKUP(X83,BandMin,BandName),"Incomplete")))</f>
        <v/>
      </c>
      <c r="Z83" s="34"/>
      <c r="AA83" s="54" t="str">
        <f aca="false">IF(A83="","",IF(AppetiteThreshold="","Not configured",IF(NOT(ISNUMBER(R83)),"Cannot assess - residual incomplete",IF(MATCH(S83,BandName,0)&gt;=MATCH(AppetiteThreshold,BandName,0),"Above appetite - escalation required","Within appetite"))))</f>
        <v/>
      </c>
      <c r="AB83" s="50"/>
      <c r="AC83" s="54" t="str">
        <f aca="false">IF(A83="","",IF(AB83="","No decision referenced",IFERROR(INDEX(DEC_FINAL,MATCH(AB83,DEC_ID,0))&amp;" - "&amp;INDEX(DEC_CURR,MATCH(AB83,DEC_ID,0)),"CHECK: Decision ID not found")))</f>
        <v/>
      </c>
      <c r="AD83" s="54" t="str">
        <f aca="false">IF(A83="","",IF(COUNTIF(TRT_RISK,A83)=0,"No treatment recorded",COUNTIF(TRT_RISK,A83)&amp;" action(s); "&amp;COUNTIFS(TRT_RISK,A83,TRT_OPEN,"Open")&amp;" open; "&amp;COUNTIFS(TRT_RISK,A83,TRT_OVERDUE,"Overdue")&amp;" overdue"))</f>
        <v/>
      </c>
      <c r="AE83" s="51"/>
      <c r="AF83" s="51"/>
      <c r="AG83" s="54" t="str">
        <f aca="false">IF(A83="","",IF(AI83="","Complete","Incomplete: "&amp;AI83))</f>
        <v/>
      </c>
      <c r="AH83" s="54" t="str">
        <f aca="false">IF(A83="","",IF(COUNTIF(RSK_ID,A83)&gt;1,"CHECK: duplicate ID",IF(B83="","CHECK: Supplier ID missing",IF(COUNTIF(INV_ID,B83)=0,"CHECK: Supplier ID not in inventory",IF(AND(ISNUMBER(R83),ISNUMBER(L83),R83&gt;L83),"CHECK: residual score exceeds inherent - confirm",IF(AND(ISNUMBER(AF83),AF83&lt;AsOf),"Review overdue (administrative)","OK"))))))</f>
        <v/>
      </c>
      <c r="AI83" s="52" t="str">
        <f aca="false">IF(A83="","",IF(I83="","risk owner; ","")&amp;IF(OR(J83="",K83=""),"inherent rating; ","")&amp;IF(N83="","inherent rationale; ","")&amp;IF(OR(P83="",Q83=""),"residual rating; ","")&amp;IF(AND(OR(P83&lt;&gt;"",Q83&lt;&gt;""),T83=""),"residual rationale; ","")&amp;IF(AND(OR(P83&lt;&gt;"",Q83&lt;&gt;""),U83=""),"assessment confidence; ","")&amp;IF(AE83="","assessment date; ",""))</f>
        <v/>
      </c>
      <c r="AJ83" s="52" t="str">
        <f aca="false">IF(OR(A83="",B83=""),"",IF(B83=RptSup,B83&amp;"|"&amp;COUNTIF($B$7:B83,B83),""))</f>
        <v/>
      </c>
    </row>
    <row r="84" customFormat="false" ht="15" hidden="false" customHeight="false" outlineLevel="0" collapsed="false">
      <c r="A84" s="50"/>
      <c r="B84" s="50"/>
      <c r="C84" s="59" t="str">
        <f aca="false">IF(B84="","",IFERROR(INDEX(INV_NAME,MATCH(B84,INV_ID,0)),"CHECK: Supplier ID not found"))</f>
        <v/>
      </c>
      <c r="D84" s="34"/>
      <c r="E84" s="34"/>
      <c r="F84" s="34"/>
      <c r="G84" s="34"/>
      <c r="H84" s="34"/>
      <c r="I84" s="34"/>
      <c r="J84" s="50"/>
      <c r="K84" s="50"/>
      <c r="L84" s="52" t="str">
        <f aca="false">IF(A84="","",IF(AND(ISNUMBER(J84),ISNUMBER(K84),J84&gt;=1,J84&lt;=5,K84&gt;=1,K84&lt;=5),J84*K84,"Incomplete"))</f>
        <v/>
      </c>
      <c r="M84" s="52" t="str">
        <f aca="false">IF(A84="","",IF(ISNUMBER(L84),LOOKUP(L84,BandMin,BandName),"Incomplete"))</f>
        <v/>
      </c>
      <c r="N84" s="34"/>
      <c r="O84" s="34"/>
      <c r="P84" s="50"/>
      <c r="Q84" s="50"/>
      <c r="R84" s="61" t="str">
        <f aca="false">IF(A84="","",IF(AND(ISNUMBER(P84),ISNUMBER(Q84),P84&gt;=1,P84&lt;=5,Q84&gt;=1,Q84&lt;=5),P84*Q84,"Incomplete"))</f>
        <v/>
      </c>
      <c r="S84" s="52" t="str">
        <f aca="false">IF(A84="","",IF(ISNUMBER(R84),LOOKUP(R84,BandMin,BandName),"Incomplete"))</f>
        <v/>
      </c>
      <c r="T84" s="34"/>
      <c r="U84" s="50"/>
      <c r="V84" s="50"/>
      <c r="W84" s="50"/>
      <c r="X84" s="52" t="str">
        <f aca="false">IF(A84="","",IF(AND(V84="",W84=""),"Not set",IF(AND(ISNUMBER(V84),ISNUMBER(W84),V84&gt;=1,V84&lt;=5,W84&gt;=1,W84&lt;=5),V84*W84,"Incomplete")))</f>
        <v/>
      </c>
      <c r="Y84" s="52" t="str">
        <f aca="false">IF(A84="","",IF(X84="Not set","Not set",IF(ISNUMBER(X84),LOOKUP(X84,BandMin,BandName),"Incomplete")))</f>
        <v/>
      </c>
      <c r="Z84" s="34"/>
      <c r="AA84" s="54" t="str">
        <f aca="false">IF(A84="","",IF(AppetiteThreshold="","Not configured",IF(NOT(ISNUMBER(R84)),"Cannot assess - residual incomplete",IF(MATCH(S84,BandName,0)&gt;=MATCH(AppetiteThreshold,BandName,0),"Above appetite - escalation required","Within appetite"))))</f>
        <v/>
      </c>
      <c r="AB84" s="50"/>
      <c r="AC84" s="54" t="str">
        <f aca="false">IF(A84="","",IF(AB84="","No decision referenced",IFERROR(INDEX(DEC_FINAL,MATCH(AB84,DEC_ID,0))&amp;" - "&amp;INDEX(DEC_CURR,MATCH(AB84,DEC_ID,0)),"CHECK: Decision ID not found")))</f>
        <v/>
      </c>
      <c r="AD84" s="54" t="str">
        <f aca="false">IF(A84="","",IF(COUNTIF(TRT_RISK,A84)=0,"No treatment recorded",COUNTIF(TRT_RISK,A84)&amp;" action(s); "&amp;COUNTIFS(TRT_RISK,A84,TRT_OPEN,"Open")&amp;" open; "&amp;COUNTIFS(TRT_RISK,A84,TRT_OVERDUE,"Overdue")&amp;" overdue"))</f>
        <v/>
      </c>
      <c r="AE84" s="51"/>
      <c r="AF84" s="51"/>
      <c r="AG84" s="54" t="str">
        <f aca="false">IF(A84="","",IF(AI84="","Complete","Incomplete: "&amp;AI84))</f>
        <v/>
      </c>
      <c r="AH84" s="54" t="str">
        <f aca="false">IF(A84="","",IF(COUNTIF(RSK_ID,A84)&gt;1,"CHECK: duplicate ID",IF(B84="","CHECK: Supplier ID missing",IF(COUNTIF(INV_ID,B84)=0,"CHECK: Supplier ID not in inventory",IF(AND(ISNUMBER(R84),ISNUMBER(L84),R84&gt;L84),"CHECK: residual score exceeds inherent - confirm",IF(AND(ISNUMBER(AF84),AF84&lt;AsOf),"Review overdue (administrative)","OK"))))))</f>
        <v/>
      </c>
      <c r="AI84" s="52" t="str">
        <f aca="false">IF(A84="","",IF(I84="","risk owner; ","")&amp;IF(OR(J84="",K84=""),"inherent rating; ","")&amp;IF(N84="","inherent rationale; ","")&amp;IF(OR(P84="",Q84=""),"residual rating; ","")&amp;IF(AND(OR(P84&lt;&gt;"",Q84&lt;&gt;""),T84=""),"residual rationale; ","")&amp;IF(AND(OR(P84&lt;&gt;"",Q84&lt;&gt;""),U84=""),"assessment confidence; ","")&amp;IF(AE84="","assessment date; ",""))</f>
        <v/>
      </c>
      <c r="AJ84" s="52" t="str">
        <f aca="false">IF(OR(A84="",B84=""),"",IF(B84=RptSup,B84&amp;"|"&amp;COUNTIF($B$7:B84,B84),""))</f>
        <v/>
      </c>
    </row>
    <row r="85" customFormat="false" ht="15" hidden="false" customHeight="false" outlineLevel="0" collapsed="false">
      <c r="A85" s="50"/>
      <c r="B85" s="50"/>
      <c r="C85" s="59" t="str">
        <f aca="false">IF(B85="","",IFERROR(INDEX(INV_NAME,MATCH(B85,INV_ID,0)),"CHECK: Supplier ID not found"))</f>
        <v/>
      </c>
      <c r="D85" s="34"/>
      <c r="E85" s="34"/>
      <c r="F85" s="34"/>
      <c r="G85" s="34"/>
      <c r="H85" s="34"/>
      <c r="I85" s="34"/>
      <c r="J85" s="50"/>
      <c r="K85" s="50"/>
      <c r="L85" s="52" t="str">
        <f aca="false">IF(A85="","",IF(AND(ISNUMBER(J85),ISNUMBER(K85),J85&gt;=1,J85&lt;=5,K85&gt;=1,K85&lt;=5),J85*K85,"Incomplete"))</f>
        <v/>
      </c>
      <c r="M85" s="52" t="str">
        <f aca="false">IF(A85="","",IF(ISNUMBER(L85),LOOKUP(L85,BandMin,BandName),"Incomplete"))</f>
        <v/>
      </c>
      <c r="N85" s="34"/>
      <c r="O85" s="34"/>
      <c r="P85" s="50"/>
      <c r="Q85" s="50"/>
      <c r="R85" s="61" t="str">
        <f aca="false">IF(A85="","",IF(AND(ISNUMBER(P85),ISNUMBER(Q85),P85&gt;=1,P85&lt;=5,Q85&gt;=1,Q85&lt;=5),P85*Q85,"Incomplete"))</f>
        <v/>
      </c>
      <c r="S85" s="52" t="str">
        <f aca="false">IF(A85="","",IF(ISNUMBER(R85),LOOKUP(R85,BandMin,BandName),"Incomplete"))</f>
        <v/>
      </c>
      <c r="T85" s="34"/>
      <c r="U85" s="50"/>
      <c r="V85" s="50"/>
      <c r="W85" s="50"/>
      <c r="X85" s="52" t="str">
        <f aca="false">IF(A85="","",IF(AND(V85="",W85=""),"Not set",IF(AND(ISNUMBER(V85),ISNUMBER(W85),V85&gt;=1,V85&lt;=5,W85&gt;=1,W85&lt;=5),V85*W85,"Incomplete")))</f>
        <v/>
      </c>
      <c r="Y85" s="52" t="str">
        <f aca="false">IF(A85="","",IF(X85="Not set","Not set",IF(ISNUMBER(X85),LOOKUP(X85,BandMin,BandName),"Incomplete")))</f>
        <v/>
      </c>
      <c r="Z85" s="34"/>
      <c r="AA85" s="54" t="str">
        <f aca="false">IF(A85="","",IF(AppetiteThreshold="","Not configured",IF(NOT(ISNUMBER(R85)),"Cannot assess - residual incomplete",IF(MATCH(S85,BandName,0)&gt;=MATCH(AppetiteThreshold,BandName,0),"Above appetite - escalation required","Within appetite"))))</f>
        <v/>
      </c>
      <c r="AB85" s="50"/>
      <c r="AC85" s="54" t="str">
        <f aca="false">IF(A85="","",IF(AB85="","No decision referenced",IFERROR(INDEX(DEC_FINAL,MATCH(AB85,DEC_ID,0))&amp;" - "&amp;INDEX(DEC_CURR,MATCH(AB85,DEC_ID,0)),"CHECK: Decision ID not found")))</f>
        <v/>
      </c>
      <c r="AD85" s="54" t="str">
        <f aca="false">IF(A85="","",IF(COUNTIF(TRT_RISK,A85)=0,"No treatment recorded",COUNTIF(TRT_RISK,A85)&amp;" action(s); "&amp;COUNTIFS(TRT_RISK,A85,TRT_OPEN,"Open")&amp;" open; "&amp;COUNTIFS(TRT_RISK,A85,TRT_OVERDUE,"Overdue")&amp;" overdue"))</f>
        <v/>
      </c>
      <c r="AE85" s="51"/>
      <c r="AF85" s="51"/>
      <c r="AG85" s="54" t="str">
        <f aca="false">IF(A85="","",IF(AI85="","Complete","Incomplete: "&amp;AI85))</f>
        <v/>
      </c>
      <c r="AH85" s="54" t="str">
        <f aca="false">IF(A85="","",IF(COUNTIF(RSK_ID,A85)&gt;1,"CHECK: duplicate ID",IF(B85="","CHECK: Supplier ID missing",IF(COUNTIF(INV_ID,B85)=0,"CHECK: Supplier ID not in inventory",IF(AND(ISNUMBER(R85),ISNUMBER(L85),R85&gt;L85),"CHECK: residual score exceeds inherent - confirm",IF(AND(ISNUMBER(AF85),AF85&lt;AsOf),"Review overdue (administrative)","OK"))))))</f>
        <v/>
      </c>
      <c r="AI85" s="52" t="str">
        <f aca="false">IF(A85="","",IF(I85="","risk owner; ","")&amp;IF(OR(J85="",K85=""),"inherent rating; ","")&amp;IF(N85="","inherent rationale; ","")&amp;IF(OR(P85="",Q85=""),"residual rating; ","")&amp;IF(AND(OR(P85&lt;&gt;"",Q85&lt;&gt;""),T85=""),"residual rationale; ","")&amp;IF(AND(OR(P85&lt;&gt;"",Q85&lt;&gt;""),U85=""),"assessment confidence; ","")&amp;IF(AE85="","assessment date; ",""))</f>
        <v/>
      </c>
      <c r="AJ85" s="52" t="str">
        <f aca="false">IF(OR(A85="",B85=""),"",IF(B85=RptSup,B85&amp;"|"&amp;COUNTIF($B$7:B85,B85),""))</f>
        <v/>
      </c>
    </row>
    <row r="86" customFormat="false" ht="15" hidden="false" customHeight="false" outlineLevel="0" collapsed="false">
      <c r="A86" s="50"/>
      <c r="B86" s="50"/>
      <c r="C86" s="59" t="str">
        <f aca="false">IF(B86="","",IFERROR(INDEX(INV_NAME,MATCH(B86,INV_ID,0)),"CHECK: Supplier ID not found"))</f>
        <v/>
      </c>
      <c r="D86" s="34"/>
      <c r="E86" s="34"/>
      <c r="F86" s="34"/>
      <c r="G86" s="34"/>
      <c r="H86" s="34"/>
      <c r="I86" s="34"/>
      <c r="J86" s="50"/>
      <c r="K86" s="50"/>
      <c r="L86" s="52" t="str">
        <f aca="false">IF(A86="","",IF(AND(ISNUMBER(J86),ISNUMBER(K86),J86&gt;=1,J86&lt;=5,K86&gt;=1,K86&lt;=5),J86*K86,"Incomplete"))</f>
        <v/>
      </c>
      <c r="M86" s="52" t="str">
        <f aca="false">IF(A86="","",IF(ISNUMBER(L86),LOOKUP(L86,BandMin,BandName),"Incomplete"))</f>
        <v/>
      </c>
      <c r="N86" s="34"/>
      <c r="O86" s="34"/>
      <c r="P86" s="50"/>
      <c r="Q86" s="50"/>
      <c r="R86" s="61" t="str">
        <f aca="false">IF(A86="","",IF(AND(ISNUMBER(P86),ISNUMBER(Q86),P86&gt;=1,P86&lt;=5,Q86&gt;=1,Q86&lt;=5),P86*Q86,"Incomplete"))</f>
        <v/>
      </c>
      <c r="S86" s="52" t="str">
        <f aca="false">IF(A86="","",IF(ISNUMBER(R86),LOOKUP(R86,BandMin,BandName),"Incomplete"))</f>
        <v/>
      </c>
      <c r="T86" s="34"/>
      <c r="U86" s="50"/>
      <c r="V86" s="50"/>
      <c r="W86" s="50"/>
      <c r="X86" s="52" t="str">
        <f aca="false">IF(A86="","",IF(AND(V86="",W86=""),"Not set",IF(AND(ISNUMBER(V86),ISNUMBER(W86),V86&gt;=1,V86&lt;=5,W86&gt;=1,W86&lt;=5),V86*W86,"Incomplete")))</f>
        <v/>
      </c>
      <c r="Y86" s="52" t="str">
        <f aca="false">IF(A86="","",IF(X86="Not set","Not set",IF(ISNUMBER(X86),LOOKUP(X86,BandMin,BandName),"Incomplete")))</f>
        <v/>
      </c>
      <c r="Z86" s="34"/>
      <c r="AA86" s="54" t="str">
        <f aca="false">IF(A86="","",IF(AppetiteThreshold="","Not configured",IF(NOT(ISNUMBER(R86)),"Cannot assess - residual incomplete",IF(MATCH(S86,BandName,0)&gt;=MATCH(AppetiteThreshold,BandName,0),"Above appetite - escalation required","Within appetite"))))</f>
        <v/>
      </c>
      <c r="AB86" s="50"/>
      <c r="AC86" s="54" t="str">
        <f aca="false">IF(A86="","",IF(AB86="","No decision referenced",IFERROR(INDEX(DEC_FINAL,MATCH(AB86,DEC_ID,0))&amp;" - "&amp;INDEX(DEC_CURR,MATCH(AB86,DEC_ID,0)),"CHECK: Decision ID not found")))</f>
        <v/>
      </c>
      <c r="AD86" s="54" t="str">
        <f aca="false">IF(A86="","",IF(COUNTIF(TRT_RISK,A86)=0,"No treatment recorded",COUNTIF(TRT_RISK,A86)&amp;" action(s); "&amp;COUNTIFS(TRT_RISK,A86,TRT_OPEN,"Open")&amp;" open; "&amp;COUNTIFS(TRT_RISK,A86,TRT_OVERDUE,"Overdue")&amp;" overdue"))</f>
        <v/>
      </c>
      <c r="AE86" s="51"/>
      <c r="AF86" s="51"/>
      <c r="AG86" s="54" t="str">
        <f aca="false">IF(A86="","",IF(AI86="","Complete","Incomplete: "&amp;AI86))</f>
        <v/>
      </c>
      <c r="AH86" s="54" t="str">
        <f aca="false">IF(A86="","",IF(COUNTIF(RSK_ID,A86)&gt;1,"CHECK: duplicate ID",IF(B86="","CHECK: Supplier ID missing",IF(COUNTIF(INV_ID,B86)=0,"CHECK: Supplier ID not in inventory",IF(AND(ISNUMBER(R86),ISNUMBER(L86),R86&gt;L86),"CHECK: residual score exceeds inherent - confirm",IF(AND(ISNUMBER(AF86),AF86&lt;AsOf),"Review overdue (administrative)","OK"))))))</f>
        <v/>
      </c>
      <c r="AI86" s="52" t="str">
        <f aca="false">IF(A86="","",IF(I86="","risk owner; ","")&amp;IF(OR(J86="",K86=""),"inherent rating; ","")&amp;IF(N86="","inherent rationale; ","")&amp;IF(OR(P86="",Q86=""),"residual rating; ","")&amp;IF(AND(OR(P86&lt;&gt;"",Q86&lt;&gt;""),T86=""),"residual rationale; ","")&amp;IF(AND(OR(P86&lt;&gt;"",Q86&lt;&gt;""),U86=""),"assessment confidence; ","")&amp;IF(AE86="","assessment date; ",""))</f>
        <v/>
      </c>
      <c r="AJ86" s="52" t="str">
        <f aca="false">IF(OR(A86="",B86=""),"",IF(B86=RptSup,B86&amp;"|"&amp;COUNTIF($B$7:B86,B86),""))</f>
        <v/>
      </c>
    </row>
    <row r="87" customFormat="false" ht="15" hidden="false" customHeight="false" outlineLevel="0" collapsed="false">
      <c r="A87" s="50"/>
      <c r="B87" s="50"/>
      <c r="C87" s="59" t="str">
        <f aca="false">IF(B87="","",IFERROR(INDEX(INV_NAME,MATCH(B87,INV_ID,0)),"CHECK: Supplier ID not found"))</f>
        <v/>
      </c>
      <c r="D87" s="34"/>
      <c r="E87" s="34"/>
      <c r="F87" s="34"/>
      <c r="G87" s="34"/>
      <c r="H87" s="34"/>
      <c r="I87" s="34"/>
      <c r="J87" s="50"/>
      <c r="K87" s="50"/>
      <c r="L87" s="52" t="str">
        <f aca="false">IF(A87="","",IF(AND(ISNUMBER(J87),ISNUMBER(K87),J87&gt;=1,J87&lt;=5,K87&gt;=1,K87&lt;=5),J87*K87,"Incomplete"))</f>
        <v/>
      </c>
      <c r="M87" s="52" t="str">
        <f aca="false">IF(A87="","",IF(ISNUMBER(L87),LOOKUP(L87,BandMin,BandName),"Incomplete"))</f>
        <v/>
      </c>
      <c r="N87" s="34"/>
      <c r="O87" s="34"/>
      <c r="P87" s="50"/>
      <c r="Q87" s="50"/>
      <c r="R87" s="61" t="str">
        <f aca="false">IF(A87="","",IF(AND(ISNUMBER(P87),ISNUMBER(Q87),P87&gt;=1,P87&lt;=5,Q87&gt;=1,Q87&lt;=5),P87*Q87,"Incomplete"))</f>
        <v/>
      </c>
      <c r="S87" s="52" t="str">
        <f aca="false">IF(A87="","",IF(ISNUMBER(R87),LOOKUP(R87,BandMin,BandName),"Incomplete"))</f>
        <v/>
      </c>
      <c r="T87" s="34"/>
      <c r="U87" s="50"/>
      <c r="V87" s="50"/>
      <c r="W87" s="50"/>
      <c r="X87" s="52" t="str">
        <f aca="false">IF(A87="","",IF(AND(V87="",W87=""),"Not set",IF(AND(ISNUMBER(V87),ISNUMBER(W87),V87&gt;=1,V87&lt;=5,W87&gt;=1,W87&lt;=5),V87*W87,"Incomplete")))</f>
        <v/>
      </c>
      <c r="Y87" s="52" t="str">
        <f aca="false">IF(A87="","",IF(X87="Not set","Not set",IF(ISNUMBER(X87),LOOKUP(X87,BandMin,BandName),"Incomplete")))</f>
        <v/>
      </c>
      <c r="Z87" s="34"/>
      <c r="AA87" s="54" t="str">
        <f aca="false">IF(A87="","",IF(AppetiteThreshold="","Not configured",IF(NOT(ISNUMBER(R87)),"Cannot assess - residual incomplete",IF(MATCH(S87,BandName,0)&gt;=MATCH(AppetiteThreshold,BandName,0),"Above appetite - escalation required","Within appetite"))))</f>
        <v/>
      </c>
      <c r="AB87" s="50"/>
      <c r="AC87" s="54" t="str">
        <f aca="false">IF(A87="","",IF(AB87="","No decision referenced",IFERROR(INDEX(DEC_FINAL,MATCH(AB87,DEC_ID,0))&amp;" - "&amp;INDEX(DEC_CURR,MATCH(AB87,DEC_ID,0)),"CHECK: Decision ID not found")))</f>
        <v/>
      </c>
      <c r="AD87" s="54" t="str">
        <f aca="false">IF(A87="","",IF(COUNTIF(TRT_RISK,A87)=0,"No treatment recorded",COUNTIF(TRT_RISK,A87)&amp;" action(s); "&amp;COUNTIFS(TRT_RISK,A87,TRT_OPEN,"Open")&amp;" open; "&amp;COUNTIFS(TRT_RISK,A87,TRT_OVERDUE,"Overdue")&amp;" overdue"))</f>
        <v/>
      </c>
      <c r="AE87" s="51"/>
      <c r="AF87" s="51"/>
      <c r="AG87" s="54" t="str">
        <f aca="false">IF(A87="","",IF(AI87="","Complete","Incomplete: "&amp;AI87))</f>
        <v/>
      </c>
      <c r="AH87" s="54" t="str">
        <f aca="false">IF(A87="","",IF(COUNTIF(RSK_ID,A87)&gt;1,"CHECK: duplicate ID",IF(B87="","CHECK: Supplier ID missing",IF(COUNTIF(INV_ID,B87)=0,"CHECK: Supplier ID not in inventory",IF(AND(ISNUMBER(R87),ISNUMBER(L87),R87&gt;L87),"CHECK: residual score exceeds inherent - confirm",IF(AND(ISNUMBER(AF87),AF87&lt;AsOf),"Review overdue (administrative)","OK"))))))</f>
        <v/>
      </c>
      <c r="AI87" s="52" t="str">
        <f aca="false">IF(A87="","",IF(I87="","risk owner; ","")&amp;IF(OR(J87="",K87=""),"inherent rating; ","")&amp;IF(N87="","inherent rationale; ","")&amp;IF(OR(P87="",Q87=""),"residual rating; ","")&amp;IF(AND(OR(P87&lt;&gt;"",Q87&lt;&gt;""),T87=""),"residual rationale; ","")&amp;IF(AND(OR(P87&lt;&gt;"",Q87&lt;&gt;""),U87=""),"assessment confidence; ","")&amp;IF(AE87="","assessment date; ",""))</f>
        <v/>
      </c>
      <c r="AJ87" s="52" t="str">
        <f aca="false">IF(OR(A87="",B87=""),"",IF(B87=RptSup,B87&amp;"|"&amp;COUNTIF($B$7:B87,B87),""))</f>
        <v/>
      </c>
    </row>
    <row r="88" customFormat="false" ht="15" hidden="false" customHeight="false" outlineLevel="0" collapsed="false">
      <c r="A88" s="50"/>
      <c r="B88" s="50"/>
      <c r="C88" s="59" t="str">
        <f aca="false">IF(B88="","",IFERROR(INDEX(INV_NAME,MATCH(B88,INV_ID,0)),"CHECK: Supplier ID not found"))</f>
        <v/>
      </c>
      <c r="D88" s="34"/>
      <c r="E88" s="34"/>
      <c r="F88" s="34"/>
      <c r="G88" s="34"/>
      <c r="H88" s="34"/>
      <c r="I88" s="34"/>
      <c r="J88" s="50"/>
      <c r="K88" s="50"/>
      <c r="L88" s="52" t="str">
        <f aca="false">IF(A88="","",IF(AND(ISNUMBER(J88),ISNUMBER(K88),J88&gt;=1,J88&lt;=5,K88&gt;=1,K88&lt;=5),J88*K88,"Incomplete"))</f>
        <v/>
      </c>
      <c r="M88" s="52" t="str">
        <f aca="false">IF(A88="","",IF(ISNUMBER(L88),LOOKUP(L88,BandMin,BandName),"Incomplete"))</f>
        <v/>
      </c>
      <c r="N88" s="34"/>
      <c r="O88" s="34"/>
      <c r="P88" s="50"/>
      <c r="Q88" s="50"/>
      <c r="R88" s="61" t="str">
        <f aca="false">IF(A88="","",IF(AND(ISNUMBER(P88),ISNUMBER(Q88),P88&gt;=1,P88&lt;=5,Q88&gt;=1,Q88&lt;=5),P88*Q88,"Incomplete"))</f>
        <v/>
      </c>
      <c r="S88" s="52" t="str">
        <f aca="false">IF(A88="","",IF(ISNUMBER(R88),LOOKUP(R88,BandMin,BandName),"Incomplete"))</f>
        <v/>
      </c>
      <c r="T88" s="34"/>
      <c r="U88" s="50"/>
      <c r="V88" s="50"/>
      <c r="W88" s="50"/>
      <c r="X88" s="52" t="str">
        <f aca="false">IF(A88="","",IF(AND(V88="",W88=""),"Not set",IF(AND(ISNUMBER(V88),ISNUMBER(W88),V88&gt;=1,V88&lt;=5,W88&gt;=1,W88&lt;=5),V88*W88,"Incomplete")))</f>
        <v/>
      </c>
      <c r="Y88" s="52" t="str">
        <f aca="false">IF(A88="","",IF(X88="Not set","Not set",IF(ISNUMBER(X88),LOOKUP(X88,BandMin,BandName),"Incomplete")))</f>
        <v/>
      </c>
      <c r="Z88" s="34"/>
      <c r="AA88" s="54" t="str">
        <f aca="false">IF(A88="","",IF(AppetiteThreshold="","Not configured",IF(NOT(ISNUMBER(R88)),"Cannot assess - residual incomplete",IF(MATCH(S88,BandName,0)&gt;=MATCH(AppetiteThreshold,BandName,0),"Above appetite - escalation required","Within appetite"))))</f>
        <v/>
      </c>
      <c r="AB88" s="50"/>
      <c r="AC88" s="54" t="str">
        <f aca="false">IF(A88="","",IF(AB88="","No decision referenced",IFERROR(INDEX(DEC_FINAL,MATCH(AB88,DEC_ID,0))&amp;" - "&amp;INDEX(DEC_CURR,MATCH(AB88,DEC_ID,0)),"CHECK: Decision ID not found")))</f>
        <v/>
      </c>
      <c r="AD88" s="54" t="str">
        <f aca="false">IF(A88="","",IF(COUNTIF(TRT_RISK,A88)=0,"No treatment recorded",COUNTIF(TRT_RISK,A88)&amp;" action(s); "&amp;COUNTIFS(TRT_RISK,A88,TRT_OPEN,"Open")&amp;" open; "&amp;COUNTIFS(TRT_RISK,A88,TRT_OVERDUE,"Overdue")&amp;" overdue"))</f>
        <v/>
      </c>
      <c r="AE88" s="51"/>
      <c r="AF88" s="51"/>
      <c r="AG88" s="54" t="str">
        <f aca="false">IF(A88="","",IF(AI88="","Complete","Incomplete: "&amp;AI88))</f>
        <v/>
      </c>
      <c r="AH88" s="54" t="str">
        <f aca="false">IF(A88="","",IF(COUNTIF(RSK_ID,A88)&gt;1,"CHECK: duplicate ID",IF(B88="","CHECK: Supplier ID missing",IF(COUNTIF(INV_ID,B88)=0,"CHECK: Supplier ID not in inventory",IF(AND(ISNUMBER(R88),ISNUMBER(L88),R88&gt;L88),"CHECK: residual score exceeds inherent - confirm",IF(AND(ISNUMBER(AF88),AF88&lt;AsOf),"Review overdue (administrative)","OK"))))))</f>
        <v/>
      </c>
      <c r="AI88" s="52" t="str">
        <f aca="false">IF(A88="","",IF(I88="","risk owner; ","")&amp;IF(OR(J88="",K88=""),"inherent rating; ","")&amp;IF(N88="","inherent rationale; ","")&amp;IF(OR(P88="",Q88=""),"residual rating; ","")&amp;IF(AND(OR(P88&lt;&gt;"",Q88&lt;&gt;""),T88=""),"residual rationale; ","")&amp;IF(AND(OR(P88&lt;&gt;"",Q88&lt;&gt;""),U88=""),"assessment confidence; ","")&amp;IF(AE88="","assessment date; ",""))</f>
        <v/>
      </c>
      <c r="AJ88" s="52" t="str">
        <f aca="false">IF(OR(A88="",B88=""),"",IF(B88=RptSup,B88&amp;"|"&amp;COUNTIF($B$7:B88,B88),""))</f>
        <v/>
      </c>
    </row>
    <row r="89" customFormat="false" ht="15" hidden="false" customHeight="false" outlineLevel="0" collapsed="false">
      <c r="A89" s="50"/>
      <c r="B89" s="50"/>
      <c r="C89" s="59" t="str">
        <f aca="false">IF(B89="","",IFERROR(INDEX(INV_NAME,MATCH(B89,INV_ID,0)),"CHECK: Supplier ID not found"))</f>
        <v/>
      </c>
      <c r="D89" s="34"/>
      <c r="E89" s="34"/>
      <c r="F89" s="34"/>
      <c r="G89" s="34"/>
      <c r="H89" s="34"/>
      <c r="I89" s="34"/>
      <c r="J89" s="50"/>
      <c r="K89" s="50"/>
      <c r="L89" s="52" t="str">
        <f aca="false">IF(A89="","",IF(AND(ISNUMBER(J89),ISNUMBER(K89),J89&gt;=1,J89&lt;=5,K89&gt;=1,K89&lt;=5),J89*K89,"Incomplete"))</f>
        <v/>
      </c>
      <c r="M89" s="52" t="str">
        <f aca="false">IF(A89="","",IF(ISNUMBER(L89),LOOKUP(L89,BandMin,BandName),"Incomplete"))</f>
        <v/>
      </c>
      <c r="N89" s="34"/>
      <c r="O89" s="34"/>
      <c r="P89" s="50"/>
      <c r="Q89" s="50"/>
      <c r="R89" s="61" t="str">
        <f aca="false">IF(A89="","",IF(AND(ISNUMBER(P89),ISNUMBER(Q89),P89&gt;=1,P89&lt;=5,Q89&gt;=1,Q89&lt;=5),P89*Q89,"Incomplete"))</f>
        <v/>
      </c>
      <c r="S89" s="52" t="str">
        <f aca="false">IF(A89="","",IF(ISNUMBER(R89),LOOKUP(R89,BandMin,BandName),"Incomplete"))</f>
        <v/>
      </c>
      <c r="T89" s="34"/>
      <c r="U89" s="50"/>
      <c r="V89" s="50"/>
      <c r="W89" s="50"/>
      <c r="X89" s="52" t="str">
        <f aca="false">IF(A89="","",IF(AND(V89="",W89=""),"Not set",IF(AND(ISNUMBER(V89),ISNUMBER(W89),V89&gt;=1,V89&lt;=5,W89&gt;=1,W89&lt;=5),V89*W89,"Incomplete")))</f>
        <v/>
      </c>
      <c r="Y89" s="52" t="str">
        <f aca="false">IF(A89="","",IF(X89="Not set","Not set",IF(ISNUMBER(X89),LOOKUP(X89,BandMin,BandName),"Incomplete")))</f>
        <v/>
      </c>
      <c r="Z89" s="34"/>
      <c r="AA89" s="54" t="str">
        <f aca="false">IF(A89="","",IF(AppetiteThreshold="","Not configured",IF(NOT(ISNUMBER(R89)),"Cannot assess - residual incomplete",IF(MATCH(S89,BandName,0)&gt;=MATCH(AppetiteThreshold,BandName,0),"Above appetite - escalation required","Within appetite"))))</f>
        <v/>
      </c>
      <c r="AB89" s="50"/>
      <c r="AC89" s="54" t="str">
        <f aca="false">IF(A89="","",IF(AB89="","No decision referenced",IFERROR(INDEX(DEC_FINAL,MATCH(AB89,DEC_ID,0))&amp;" - "&amp;INDEX(DEC_CURR,MATCH(AB89,DEC_ID,0)),"CHECK: Decision ID not found")))</f>
        <v/>
      </c>
      <c r="AD89" s="54" t="str">
        <f aca="false">IF(A89="","",IF(COUNTIF(TRT_RISK,A89)=0,"No treatment recorded",COUNTIF(TRT_RISK,A89)&amp;" action(s); "&amp;COUNTIFS(TRT_RISK,A89,TRT_OPEN,"Open")&amp;" open; "&amp;COUNTIFS(TRT_RISK,A89,TRT_OVERDUE,"Overdue")&amp;" overdue"))</f>
        <v/>
      </c>
      <c r="AE89" s="51"/>
      <c r="AF89" s="51"/>
      <c r="AG89" s="54" t="str">
        <f aca="false">IF(A89="","",IF(AI89="","Complete","Incomplete: "&amp;AI89))</f>
        <v/>
      </c>
      <c r="AH89" s="54" t="str">
        <f aca="false">IF(A89="","",IF(COUNTIF(RSK_ID,A89)&gt;1,"CHECK: duplicate ID",IF(B89="","CHECK: Supplier ID missing",IF(COUNTIF(INV_ID,B89)=0,"CHECK: Supplier ID not in inventory",IF(AND(ISNUMBER(R89),ISNUMBER(L89),R89&gt;L89),"CHECK: residual score exceeds inherent - confirm",IF(AND(ISNUMBER(AF89),AF89&lt;AsOf),"Review overdue (administrative)","OK"))))))</f>
        <v/>
      </c>
      <c r="AI89" s="52" t="str">
        <f aca="false">IF(A89="","",IF(I89="","risk owner; ","")&amp;IF(OR(J89="",K89=""),"inherent rating; ","")&amp;IF(N89="","inherent rationale; ","")&amp;IF(OR(P89="",Q89=""),"residual rating; ","")&amp;IF(AND(OR(P89&lt;&gt;"",Q89&lt;&gt;""),T89=""),"residual rationale; ","")&amp;IF(AND(OR(P89&lt;&gt;"",Q89&lt;&gt;""),U89=""),"assessment confidence; ","")&amp;IF(AE89="","assessment date; ",""))</f>
        <v/>
      </c>
      <c r="AJ89" s="52" t="str">
        <f aca="false">IF(OR(A89="",B89=""),"",IF(B89=RptSup,B89&amp;"|"&amp;COUNTIF($B$7:B89,B89),""))</f>
        <v/>
      </c>
    </row>
    <row r="90" customFormat="false" ht="15" hidden="false" customHeight="false" outlineLevel="0" collapsed="false">
      <c r="A90" s="50"/>
      <c r="B90" s="50"/>
      <c r="C90" s="59" t="str">
        <f aca="false">IF(B90="","",IFERROR(INDEX(INV_NAME,MATCH(B90,INV_ID,0)),"CHECK: Supplier ID not found"))</f>
        <v/>
      </c>
      <c r="D90" s="34"/>
      <c r="E90" s="34"/>
      <c r="F90" s="34"/>
      <c r="G90" s="34"/>
      <c r="H90" s="34"/>
      <c r="I90" s="34"/>
      <c r="J90" s="50"/>
      <c r="K90" s="50"/>
      <c r="L90" s="52" t="str">
        <f aca="false">IF(A90="","",IF(AND(ISNUMBER(J90),ISNUMBER(K90),J90&gt;=1,J90&lt;=5,K90&gt;=1,K90&lt;=5),J90*K90,"Incomplete"))</f>
        <v/>
      </c>
      <c r="M90" s="52" t="str">
        <f aca="false">IF(A90="","",IF(ISNUMBER(L90),LOOKUP(L90,BandMin,BandName),"Incomplete"))</f>
        <v/>
      </c>
      <c r="N90" s="34"/>
      <c r="O90" s="34"/>
      <c r="P90" s="50"/>
      <c r="Q90" s="50"/>
      <c r="R90" s="61" t="str">
        <f aca="false">IF(A90="","",IF(AND(ISNUMBER(P90),ISNUMBER(Q90),P90&gt;=1,P90&lt;=5,Q90&gt;=1,Q90&lt;=5),P90*Q90,"Incomplete"))</f>
        <v/>
      </c>
      <c r="S90" s="52" t="str">
        <f aca="false">IF(A90="","",IF(ISNUMBER(R90),LOOKUP(R90,BandMin,BandName),"Incomplete"))</f>
        <v/>
      </c>
      <c r="T90" s="34"/>
      <c r="U90" s="50"/>
      <c r="V90" s="50"/>
      <c r="W90" s="50"/>
      <c r="X90" s="52" t="str">
        <f aca="false">IF(A90="","",IF(AND(V90="",W90=""),"Not set",IF(AND(ISNUMBER(V90),ISNUMBER(W90),V90&gt;=1,V90&lt;=5,W90&gt;=1,W90&lt;=5),V90*W90,"Incomplete")))</f>
        <v/>
      </c>
      <c r="Y90" s="52" t="str">
        <f aca="false">IF(A90="","",IF(X90="Not set","Not set",IF(ISNUMBER(X90),LOOKUP(X90,BandMin,BandName),"Incomplete")))</f>
        <v/>
      </c>
      <c r="Z90" s="34"/>
      <c r="AA90" s="54" t="str">
        <f aca="false">IF(A90="","",IF(AppetiteThreshold="","Not configured",IF(NOT(ISNUMBER(R90)),"Cannot assess - residual incomplete",IF(MATCH(S90,BandName,0)&gt;=MATCH(AppetiteThreshold,BandName,0),"Above appetite - escalation required","Within appetite"))))</f>
        <v/>
      </c>
      <c r="AB90" s="50"/>
      <c r="AC90" s="54" t="str">
        <f aca="false">IF(A90="","",IF(AB90="","No decision referenced",IFERROR(INDEX(DEC_FINAL,MATCH(AB90,DEC_ID,0))&amp;" - "&amp;INDEX(DEC_CURR,MATCH(AB90,DEC_ID,0)),"CHECK: Decision ID not found")))</f>
        <v/>
      </c>
      <c r="AD90" s="54" t="str">
        <f aca="false">IF(A90="","",IF(COUNTIF(TRT_RISK,A90)=0,"No treatment recorded",COUNTIF(TRT_RISK,A90)&amp;" action(s); "&amp;COUNTIFS(TRT_RISK,A90,TRT_OPEN,"Open")&amp;" open; "&amp;COUNTIFS(TRT_RISK,A90,TRT_OVERDUE,"Overdue")&amp;" overdue"))</f>
        <v/>
      </c>
      <c r="AE90" s="51"/>
      <c r="AF90" s="51"/>
      <c r="AG90" s="54" t="str">
        <f aca="false">IF(A90="","",IF(AI90="","Complete","Incomplete: "&amp;AI90))</f>
        <v/>
      </c>
      <c r="AH90" s="54" t="str">
        <f aca="false">IF(A90="","",IF(COUNTIF(RSK_ID,A90)&gt;1,"CHECK: duplicate ID",IF(B90="","CHECK: Supplier ID missing",IF(COUNTIF(INV_ID,B90)=0,"CHECK: Supplier ID not in inventory",IF(AND(ISNUMBER(R90),ISNUMBER(L90),R90&gt;L90),"CHECK: residual score exceeds inherent - confirm",IF(AND(ISNUMBER(AF90),AF90&lt;AsOf),"Review overdue (administrative)","OK"))))))</f>
        <v/>
      </c>
      <c r="AI90" s="52" t="str">
        <f aca="false">IF(A90="","",IF(I90="","risk owner; ","")&amp;IF(OR(J90="",K90=""),"inherent rating; ","")&amp;IF(N90="","inherent rationale; ","")&amp;IF(OR(P90="",Q90=""),"residual rating; ","")&amp;IF(AND(OR(P90&lt;&gt;"",Q90&lt;&gt;""),T90=""),"residual rationale; ","")&amp;IF(AND(OR(P90&lt;&gt;"",Q90&lt;&gt;""),U90=""),"assessment confidence; ","")&amp;IF(AE90="","assessment date; ",""))</f>
        <v/>
      </c>
      <c r="AJ90" s="52" t="str">
        <f aca="false">IF(OR(A90="",B90=""),"",IF(B90=RptSup,B90&amp;"|"&amp;COUNTIF($B$7:B90,B90),""))</f>
        <v/>
      </c>
    </row>
    <row r="91" customFormat="false" ht="15" hidden="false" customHeight="false" outlineLevel="0" collapsed="false">
      <c r="A91" s="50"/>
      <c r="B91" s="50"/>
      <c r="C91" s="59" t="str">
        <f aca="false">IF(B91="","",IFERROR(INDEX(INV_NAME,MATCH(B91,INV_ID,0)),"CHECK: Supplier ID not found"))</f>
        <v/>
      </c>
      <c r="D91" s="34"/>
      <c r="E91" s="34"/>
      <c r="F91" s="34"/>
      <c r="G91" s="34"/>
      <c r="H91" s="34"/>
      <c r="I91" s="34"/>
      <c r="J91" s="50"/>
      <c r="K91" s="50"/>
      <c r="L91" s="52" t="str">
        <f aca="false">IF(A91="","",IF(AND(ISNUMBER(J91),ISNUMBER(K91),J91&gt;=1,J91&lt;=5,K91&gt;=1,K91&lt;=5),J91*K91,"Incomplete"))</f>
        <v/>
      </c>
      <c r="M91" s="52" t="str">
        <f aca="false">IF(A91="","",IF(ISNUMBER(L91),LOOKUP(L91,BandMin,BandName),"Incomplete"))</f>
        <v/>
      </c>
      <c r="N91" s="34"/>
      <c r="O91" s="34"/>
      <c r="P91" s="50"/>
      <c r="Q91" s="50"/>
      <c r="R91" s="61" t="str">
        <f aca="false">IF(A91="","",IF(AND(ISNUMBER(P91),ISNUMBER(Q91),P91&gt;=1,P91&lt;=5,Q91&gt;=1,Q91&lt;=5),P91*Q91,"Incomplete"))</f>
        <v/>
      </c>
      <c r="S91" s="52" t="str">
        <f aca="false">IF(A91="","",IF(ISNUMBER(R91),LOOKUP(R91,BandMin,BandName),"Incomplete"))</f>
        <v/>
      </c>
      <c r="T91" s="34"/>
      <c r="U91" s="50"/>
      <c r="V91" s="50"/>
      <c r="W91" s="50"/>
      <c r="X91" s="52" t="str">
        <f aca="false">IF(A91="","",IF(AND(V91="",W91=""),"Not set",IF(AND(ISNUMBER(V91),ISNUMBER(W91),V91&gt;=1,V91&lt;=5,W91&gt;=1,W91&lt;=5),V91*W91,"Incomplete")))</f>
        <v/>
      </c>
      <c r="Y91" s="52" t="str">
        <f aca="false">IF(A91="","",IF(X91="Not set","Not set",IF(ISNUMBER(X91),LOOKUP(X91,BandMin,BandName),"Incomplete")))</f>
        <v/>
      </c>
      <c r="Z91" s="34"/>
      <c r="AA91" s="54" t="str">
        <f aca="false">IF(A91="","",IF(AppetiteThreshold="","Not configured",IF(NOT(ISNUMBER(R91)),"Cannot assess - residual incomplete",IF(MATCH(S91,BandName,0)&gt;=MATCH(AppetiteThreshold,BandName,0),"Above appetite - escalation required","Within appetite"))))</f>
        <v/>
      </c>
      <c r="AB91" s="50"/>
      <c r="AC91" s="54" t="str">
        <f aca="false">IF(A91="","",IF(AB91="","No decision referenced",IFERROR(INDEX(DEC_FINAL,MATCH(AB91,DEC_ID,0))&amp;" - "&amp;INDEX(DEC_CURR,MATCH(AB91,DEC_ID,0)),"CHECK: Decision ID not found")))</f>
        <v/>
      </c>
      <c r="AD91" s="54" t="str">
        <f aca="false">IF(A91="","",IF(COUNTIF(TRT_RISK,A91)=0,"No treatment recorded",COUNTIF(TRT_RISK,A91)&amp;" action(s); "&amp;COUNTIFS(TRT_RISK,A91,TRT_OPEN,"Open")&amp;" open; "&amp;COUNTIFS(TRT_RISK,A91,TRT_OVERDUE,"Overdue")&amp;" overdue"))</f>
        <v/>
      </c>
      <c r="AE91" s="51"/>
      <c r="AF91" s="51"/>
      <c r="AG91" s="54" t="str">
        <f aca="false">IF(A91="","",IF(AI91="","Complete","Incomplete: "&amp;AI91))</f>
        <v/>
      </c>
      <c r="AH91" s="54" t="str">
        <f aca="false">IF(A91="","",IF(COUNTIF(RSK_ID,A91)&gt;1,"CHECK: duplicate ID",IF(B91="","CHECK: Supplier ID missing",IF(COUNTIF(INV_ID,B91)=0,"CHECK: Supplier ID not in inventory",IF(AND(ISNUMBER(R91),ISNUMBER(L91),R91&gt;L91),"CHECK: residual score exceeds inherent - confirm",IF(AND(ISNUMBER(AF91),AF91&lt;AsOf),"Review overdue (administrative)","OK"))))))</f>
        <v/>
      </c>
      <c r="AI91" s="52" t="str">
        <f aca="false">IF(A91="","",IF(I91="","risk owner; ","")&amp;IF(OR(J91="",K91=""),"inherent rating; ","")&amp;IF(N91="","inherent rationale; ","")&amp;IF(OR(P91="",Q91=""),"residual rating; ","")&amp;IF(AND(OR(P91&lt;&gt;"",Q91&lt;&gt;""),T91=""),"residual rationale; ","")&amp;IF(AND(OR(P91&lt;&gt;"",Q91&lt;&gt;""),U91=""),"assessment confidence; ","")&amp;IF(AE91="","assessment date; ",""))</f>
        <v/>
      </c>
      <c r="AJ91" s="52" t="str">
        <f aca="false">IF(OR(A91="",B91=""),"",IF(B91=RptSup,B91&amp;"|"&amp;COUNTIF($B$7:B91,B91),""))</f>
        <v/>
      </c>
    </row>
    <row r="92" customFormat="false" ht="15" hidden="false" customHeight="false" outlineLevel="0" collapsed="false">
      <c r="A92" s="50"/>
      <c r="B92" s="50"/>
      <c r="C92" s="59" t="str">
        <f aca="false">IF(B92="","",IFERROR(INDEX(INV_NAME,MATCH(B92,INV_ID,0)),"CHECK: Supplier ID not found"))</f>
        <v/>
      </c>
      <c r="D92" s="34"/>
      <c r="E92" s="34"/>
      <c r="F92" s="34"/>
      <c r="G92" s="34"/>
      <c r="H92" s="34"/>
      <c r="I92" s="34"/>
      <c r="J92" s="50"/>
      <c r="K92" s="50"/>
      <c r="L92" s="52" t="str">
        <f aca="false">IF(A92="","",IF(AND(ISNUMBER(J92),ISNUMBER(K92),J92&gt;=1,J92&lt;=5,K92&gt;=1,K92&lt;=5),J92*K92,"Incomplete"))</f>
        <v/>
      </c>
      <c r="M92" s="52" t="str">
        <f aca="false">IF(A92="","",IF(ISNUMBER(L92),LOOKUP(L92,BandMin,BandName),"Incomplete"))</f>
        <v/>
      </c>
      <c r="N92" s="34"/>
      <c r="O92" s="34"/>
      <c r="P92" s="50"/>
      <c r="Q92" s="50"/>
      <c r="R92" s="61" t="str">
        <f aca="false">IF(A92="","",IF(AND(ISNUMBER(P92),ISNUMBER(Q92),P92&gt;=1,P92&lt;=5,Q92&gt;=1,Q92&lt;=5),P92*Q92,"Incomplete"))</f>
        <v/>
      </c>
      <c r="S92" s="52" t="str">
        <f aca="false">IF(A92="","",IF(ISNUMBER(R92),LOOKUP(R92,BandMin,BandName),"Incomplete"))</f>
        <v/>
      </c>
      <c r="T92" s="34"/>
      <c r="U92" s="50"/>
      <c r="V92" s="50"/>
      <c r="W92" s="50"/>
      <c r="X92" s="52" t="str">
        <f aca="false">IF(A92="","",IF(AND(V92="",W92=""),"Not set",IF(AND(ISNUMBER(V92),ISNUMBER(W92),V92&gt;=1,V92&lt;=5,W92&gt;=1,W92&lt;=5),V92*W92,"Incomplete")))</f>
        <v/>
      </c>
      <c r="Y92" s="52" t="str">
        <f aca="false">IF(A92="","",IF(X92="Not set","Not set",IF(ISNUMBER(X92),LOOKUP(X92,BandMin,BandName),"Incomplete")))</f>
        <v/>
      </c>
      <c r="Z92" s="34"/>
      <c r="AA92" s="54" t="str">
        <f aca="false">IF(A92="","",IF(AppetiteThreshold="","Not configured",IF(NOT(ISNUMBER(R92)),"Cannot assess - residual incomplete",IF(MATCH(S92,BandName,0)&gt;=MATCH(AppetiteThreshold,BandName,0),"Above appetite - escalation required","Within appetite"))))</f>
        <v/>
      </c>
      <c r="AB92" s="50"/>
      <c r="AC92" s="54" t="str">
        <f aca="false">IF(A92="","",IF(AB92="","No decision referenced",IFERROR(INDEX(DEC_FINAL,MATCH(AB92,DEC_ID,0))&amp;" - "&amp;INDEX(DEC_CURR,MATCH(AB92,DEC_ID,0)),"CHECK: Decision ID not found")))</f>
        <v/>
      </c>
      <c r="AD92" s="54" t="str">
        <f aca="false">IF(A92="","",IF(COUNTIF(TRT_RISK,A92)=0,"No treatment recorded",COUNTIF(TRT_RISK,A92)&amp;" action(s); "&amp;COUNTIFS(TRT_RISK,A92,TRT_OPEN,"Open")&amp;" open; "&amp;COUNTIFS(TRT_RISK,A92,TRT_OVERDUE,"Overdue")&amp;" overdue"))</f>
        <v/>
      </c>
      <c r="AE92" s="51"/>
      <c r="AF92" s="51"/>
      <c r="AG92" s="54" t="str">
        <f aca="false">IF(A92="","",IF(AI92="","Complete","Incomplete: "&amp;AI92))</f>
        <v/>
      </c>
      <c r="AH92" s="54" t="str">
        <f aca="false">IF(A92="","",IF(COUNTIF(RSK_ID,A92)&gt;1,"CHECK: duplicate ID",IF(B92="","CHECK: Supplier ID missing",IF(COUNTIF(INV_ID,B92)=0,"CHECK: Supplier ID not in inventory",IF(AND(ISNUMBER(R92),ISNUMBER(L92),R92&gt;L92),"CHECK: residual score exceeds inherent - confirm",IF(AND(ISNUMBER(AF92),AF92&lt;AsOf),"Review overdue (administrative)","OK"))))))</f>
        <v/>
      </c>
      <c r="AI92" s="52" t="str">
        <f aca="false">IF(A92="","",IF(I92="","risk owner; ","")&amp;IF(OR(J92="",K92=""),"inherent rating; ","")&amp;IF(N92="","inherent rationale; ","")&amp;IF(OR(P92="",Q92=""),"residual rating; ","")&amp;IF(AND(OR(P92&lt;&gt;"",Q92&lt;&gt;""),T92=""),"residual rationale; ","")&amp;IF(AND(OR(P92&lt;&gt;"",Q92&lt;&gt;""),U92=""),"assessment confidence; ","")&amp;IF(AE92="","assessment date; ",""))</f>
        <v/>
      </c>
      <c r="AJ92" s="52" t="str">
        <f aca="false">IF(OR(A92="",B92=""),"",IF(B92=RptSup,B92&amp;"|"&amp;COUNTIF($B$7:B92,B92),""))</f>
        <v/>
      </c>
    </row>
    <row r="93" customFormat="false" ht="15" hidden="false" customHeight="false" outlineLevel="0" collapsed="false">
      <c r="A93" s="50"/>
      <c r="B93" s="50"/>
      <c r="C93" s="59" t="str">
        <f aca="false">IF(B93="","",IFERROR(INDEX(INV_NAME,MATCH(B93,INV_ID,0)),"CHECK: Supplier ID not found"))</f>
        <v/>
      </c>
      <c r="D93" s="34"/>
      <c r="E93" s="34"/>
      <c r="F93" s="34"/>
      <c r="G93" s="34"/>
      <c r="H93" s="34"/>
      <c r="I93" s="34"/>
      <c r="J93" s="50"/>
      <c r="K93" s="50"/>
      <c r="L93" s="52" t="str">
        <f aca="false">IF(A93="","",IF(AND(ISNUMBER(J93),ISNUMBER(K93),J93&gt;=1,J93&lt;=5,K93&gt;=1,K93&lt;=5),J93*K93,"Incomplete"))</f>
        <v/>
      </c>
      <c r="M93" s="52" t="str">
        <f aca="false">IF(A93="","",IF(ISNUMBER(L93),LOOKUP(L93,BandMin,BandName),"Incomplete"))</f>
        <v/>
      </c>
      <c r="N93" s="34"/>
      <c r="O93" s="34"/>
      <c r="P93" s="50"/>
      <c r="Q93" s="50"/>
      <c r="R93" s="61" t="str">
        <f aca="false">IF(A93="","",IF(AND(ISNUMBER(P93),ISNUMBER(Q93),P93&gt;=1,P93&lt;=5,Q93&gt;=1,Q93&lt;=5),P93*Q93,"Incomplete"))</f>
        <v/>
      </c>
      <c r="S93" s="52" t="str">
        <f aca="false">IF(A93="","",IF(ISNUMBER(R93),LOOKUP(R93,BandMin,BandName),"Incomplete"))</f>
        <v/>
      </c>
      <c r="T93" s="34"/>
      <c r="U93" s="50"/>
      <c r="V93" s="50"/>
      <c r="W93" s="50"/>
      <c r="X93" s="52" t="str">
        <f aca="false">IF(A93="","",IF(AND(V93="",W93=""),"Not set",IF(AND(ISNUMBER(V93),ISNUMBER(W93),V93&gt;=1,V93&lt;=5,W93&gt;=1,W93&lt;=5),V93*W93,"Incomplete")))</f>
        <v/>
      </c>
      <c r="Y93" s="52" t="str">
        <f aca="false">IF(A93="","",IF(X93="Not set","Not set",IF(ISNUMBER(X93),LOOKUP(X93,BandMin,BandName),"Incomplete")))</f>
        <v/>
      </c>
      <c r="Z93" s="34"/>
      <c r="AA93" s="54" t="str">
        <f aca="false">IF(A93="","",IF(AppetiteThreshold="","Not configured",IF(NOT(ISNUMBER(R93)),"Cannot assess - residual incomplete",IF(MATCH(S93,BandName,0)&gt;=MATCH(AppetiteThreshold,BandName,0),"Above appetite - escalation required","Within appetite"))))</f>
        <v/>
      </c>
      <c r="AB93" s="50"/>
      <c r="AC93" s="54" t="str">
        <f aca="false">IF(A93="","",IF(AB93="","No decision referenced",IFERROR(INDEX(DEC_FINAL,MATCH(AB93,DEC_ID,0))&amp;" - "&amp;INDEX(DEC_CURR,MATCH(AB93,DEC_ID,0)),"CHECK: Decision ID not found")))</f>
        <v/>
      </c>
      <c r="AD93" s="54" t="str">
        <f aca="false">IF(A93="","",IF(COUNTIF(TRT_RISK,A93)=0,"No treatment recorded",COUNTIF(TRT_RISK,A93)&amp;" action(s); "&amp;COUNTIFS(TRT_RISK,A93,TRT_OPEN,"Open")&amp;" open; "&amp;COUNTIFS(TRT_RISK,A93,TRT_OVERDUE,"Overdue")&amp;" overdue"))</f>
        <v/>
      </c>
      <c r="AE93" s="51"/>
      <c r="AF93" s="51"/>
      <c r="AG93" s="54" t="str">
        <f aca="false">IF(A93="","",IF(AI93="","Complete","Incomplete: "&amp;AI93))</f>
        <v/>
      </c>
      <c r="AH93" s="54" t="str">
        <f aca="false">IF(A93="","",IF(COUNTIF(RSK_ID,A93)&gt;1,"CHECK: duplicate ID",IF(B93="","CHECK: Supplier ID missing",IF(COUNTIF(INV_ID,B93)=0,"CHECK: Supplier ID not in inventory",IF(AND(ISNUMBER(R93),ISNUMBER(L93),R93&gt;L93),"CHECK: residual score exceeds inherent - confirm",IF(AND(ISNUMBER(AF93),AF93&lt;AsOf),"Review overdue (administrative)","OK"))))))</f>
        <v/>
      </c>
      <c r="AI93" s="52" t="str">
        <f aca="false">IF(A93="","",IF(I93="","risk owner; ","")&amp;IF(OR(J93="",K93=""),"inherent rating; ","")&amp;IF(N93="","inherent rationale; ","")&amp;IF(OR(P93="",Q93=""),"residual rating; ","")&amp;IF(AND(OR(P93&lt;&gt;"",Q93&lt;&gt;""),T93=""),"residual rationale; ","")&amp;IF(AND(OR(P93&lt;&gt;"",Q93&lt;&gt;""),U93=""),"assessment confidence; ","")&amp;IF(AE93="","assessment date; ",""))</f>
        <v/>
      </c>
      <c r="AJ93" s="52" t="str">
        <f aca="false">IF(OR(A93="",B93=""),"",IF(B93=RptSup,B93&amp;"|"&amp;COUNTIF($B$7:B93,B93),""))</f>
        <v/>
      </c>
    </row>
    <row r="94" customFormat="false" ht="15" hidden="false" customHeight="false" outlineLevel="0" collapsed="false">
      <c r="A94" s="50"/>
      <c r="B94" s="50"/>
      <c r="C94" s="59" t="str">
        <f aca="false">IF(B94="","",IFERROR(INDEX(INV_NAME,MATCH(B94,INV_ID,0)),"CHECK: Supplier ID not found"))</f>
        <v/>
      </c>
      <c r="D94" s="34"/>
      <c r="E94" s="34"/>
      <c r="F94" s="34"/>
      <c r="G94" s="34"/>
      <c r="H94" s="34"/>
      <c r="I94" s="34"/>
      <c r="J94" s="50"/>
      <c r="K94" s="50"/>
      <c r="L94" s="52" t="str">
        <f aca="false">IF(A94="","",IF(AND(ISNUMBER(J94),ISNUMBER(K94),J94&gt;=1,J94&lt;=5,K94&gt;=1,K94&lt;=5),J94*K94,"Incomplete"))</f>
        <v/>
      </c>
      <c r="M94" s="52" t="str">
        <f aca="false">IF(A94="","",IF(ISNUMBER(L94),LOOKUP(L94,BandMin,BandName),"Incomplete"))</f>
        <v/>
      </c>
      <c r="N94" s="34"/>
      <c r="O94" s="34"/>
      <c r="P94" s="50"/>
      <c r="Q94" s="50"/>
      <c r="R94" s="61" t="str">
        <f aca="false">IF(A94="","",IF(AND(ISNUMBER(P94),ISNUMBER(Q94),P94&gt;=1,P94&lt;=5,Q94&gt;=1,Q94&lt;=5),P94*Q94,"Incomplete"))</f>
        <v/>
      </c>
      <c r="S94" s="52" t="str">
        <f aca="false">IF(A94="","",IF(ISNUMBER(R94),LOOKUP(R94,BandMin,BandName),"Incomplete"))</f>
        <v/>
      </c>
      <c r="T94" s="34"/>
      <c r="U94" s="50"/>
      <c r="V94" s="50"/>
      <c r="W94" s="50"/>
      <c r="X94" s="52" t="str">
        <f aca="false">IF(A94="","",IF(AND(V94="",W94=""),"Not set",IF(AND(ISNUMBER(V94),ISNUMBER(W94),V94&gt;=1,V94&lt;=5,W94&gt;=1,W94&lt;=5),V94*W94,"Incomplete")))</f>
        <v/>
      </c>
      <c r="Y94" s="52" t="str">
        <f aca="false">IF(A94="","",IF(X94="Not set","Not set",IF(ISNUMBER(X94),LOOKUP(X94,BandMin,BandName),"Incomplete")))</f>
        <v/>
      </c>
      <c r="Z94" s="34"/>
      <c r="AA94" s="54" t="str">
        <f aca="false">IF(A94="","",IF(AppetiteThreshold="","Not configured",IF(NOT(ISNUMBER(R94)),"Cannot assess - residual incomplete",IF(MATCH(S94,BandName,0)&gt;=MATCH(AppetiteThreshold,BandName,0),"Above appetite - escalation required","Within appetite"))))</f>
        <v/>
      </c>
      <c r="AB94" s="50"/>
      <c r="AC94" s="54" t="str">
        <f aca="false">IF(A94="","",IF(AB94="","No decision referenced",IFERROR(INDEX(DEC_FINAL,MATCH(AB94,DEC_ID,0))&amp;" - "&amp;INDEX(DEC_CURR,MATCH(AB94,DEC_ID,0)),"CHECK: Decision ID not found")))</f>
        <v/>
      </c>
      <c r="AD94" s="54" t="str">
        <f aca="false">IF(A94="","",IF(COUNTIF(TRT_RISK,A94)=0,"No treatment recorded",COUNTIF(TRT_RISK,A94)&amp;" action(s); "&amp;COUNTIFS(TRT_RISK,A94,TRT_OPEN,"Open")&amp;" open; "&amp;COUNTIFS(TRT_RISK,A94,TRT_OVERDUE,"Overdue")&amp;" overdue"))</f>
        <v/>
      </c>
      <c r="AE94" s="51"/>
      <c r="AF94" s="51"/>
      <c r="AG94" s="54" t="str">
        <f aca="false">IF(A94="","",IF(AI94="","Complete","Incomplete: "&amp;AI94))</f>
        <v/>
      </c>
      <c r="AH94" s="54" t="str">
        <f aca="false">IF(A94="","",IF(COUNTIF(RSK_ID,A94)&gt;1,"CHECK: duplicate ID",IF(B94="","CHECK: Supplier ID missing",IF(COUNTIF(INV_ID,B94)=0,"CHECK: Supplier ID not in inventory",IF(AND(ISNUMBER(R94),ISNUMBER(L94),R94&gt;L94),"CHECK: residual score exceeds inherent - confirm",IF(AND(ISNUMBER(AF94),AF94&lt;AsOf),"Review overdue (administrative)","OK"))))))</f>
        <v/>
      </c>
      <c r="AI94" s="52" t="str">
        <f aca="false">IF(A94="","",IF(I94="","risk owner; ","")&amp;IF(OR(J94="",K94=""),"inherent rating; ","")&amp;IF(N94="","inherent rationale; ","")&amp;IF(OR(P94="",Q94=""),"residual rating; ","")&amp;IF(AND(OR(P94&lt;&gt;"",Q94&lt;&gt;""),T94=""),"residual rationale; ","")&amp;IF(AND(OR(P94&lt;&gt;"",Q94&lt;&gt;""),U94=""),"assessment confidence; ","")&amp;IF(AE94="","assessment date; ",""))</f>
        <v/>
      </c>
      <c r="AJ94" s="52" t="str">
        <f aca="false">IF(OR(A94="",B94=""),"",IF(B94=RptSup,B94&amp;"|"&amp;COUNTIF($B$7:B94,B94),""))</f>
        <v/>
      </c>
    </row>
    <row r="95" customFormat="false" ht="15" hidden="false" customHeight="false" outlineLevel="0" collapsed="false">
      <c r="A95" s="50"/>
      <c r="B95" s="50"/>
      <c r="C95" s="59" t="str">
        <f aca="false">IF(B95="","",IFERROR(INDEX(INV_NAME,MATCH(B95,INV_ID,0)),"CHECK: Supplier ID not found"))</f>
        <v/>
      </c>
      <c r="D95" s="34"/>
      <c r="E95" s="34"/>
      <c r="F95" s="34"/>
      <c r="G95" s="34"/>
      <c r="H95" s="34"/>
      <c r="I95" s="34"/>
      <c r="J95" s="50"/>
      <c r="K95" s="50"/>
      <c r="L95" s="52" t="str">
        <f aca="false">IF(A95="","",IF(AND(ISNUMBER(J95),ISNUMBER(K95),J95&gt;=1,J95&lt;=5,K95&gt;=1,K95&lt;=5),J95*K95,"Incomplete"))</f>
        <v/>
      </c>
      <c r="M95" s="52" t="str">
        <f aca="false">IF(A95="","",IF(ISNUMBER(L95),LOOKUP(L95,BandMin,BandName),"Incomplete"))</f>
        <v/>
      </c>
      <c r="N95" s="34"/>
      <c r="O95" s="34"/>
      <c r="P95" s="50"/>
      <c r="Q95" s="50"/>
      <c r="R95" s="61" t="str">
        <f aca="false">IF(A95="","",IF(AND(ISNUMBER(P95),ISNUMBER(Q95),P95&gt;=1,P95&lt;=5,Q95&gt;=1,Q95&lt;=5),P95*Q95,"Incomplete"))</f>
        <v/>
      </c>
      <c r="S95" s="52" t="str">
        <f aca="false">IF(A95="","",IF(ISNUMBER(R95),LOOKUP(R95,BandMin,BandName),"Incomplete"))</f>
        <v/>
      </c>
      <c r="T95" s="34"/>
      <c r="U95" s="50"/>
      <c r="V95" s="50"/>
      <c r="W95" s="50"/>
      <c r="X95" s="52" t="str">
        <f aca="false">IF(A95="","",IF(AND(V95="",W95=""),"Not set",IF(AND(ISNUMBER(V95),ISNUMBER(W95),V95&gt;=1,V95&lt;=5,W95&gt;=1,W95&lt;=5),V95*W95,"Incomplete")))</f>
        <v/>
      </c>
      <c r="Y95" s="52" t="str">
        <f aca="false">IF(A95="","",IF(X95="Not set","Not set",IF(ISNUMBER(X95),LOOKUP(X95,BandMin,BandName),"Incomplete")))</f>
        <v/>
      </c>
      <c r="Z95" s="34"/>
      <c r="AA95" s="54" t="str">
        <f aca="false">IF(A95="","",IF(AppetiteThreshold="","Not configured",IF(NOT(ISNUMBER(R95)),"Cannot assess - residual incomplete",IF(MATCH(S95,BandName,0)&gt;=MATCH(AppetiteThreshold,BandName,0),"Above appetite - escalation required","Within appetite"))))</f>
        <v/>
      </c>
      <c r="AB95" s="50"/>
      <c r="AC95" s="54" t="str">
        <f aca="false">IF(A95="","",IF(AB95="","No decision referenced",IFERROR(INDEX(DEC_FINAL,MATCH(AB95,DEC_ID,0))&amp;" - "&amp;INDEX(DEC_CURR,MATCH(AB95,DEC_ID,0)),"CHECK: Decision ID not found")))</f>
        <v/>
      </c>
      <c r="AD95" s="54" t="str">
        <f aca="false">IF(A95="","",IF(COUNTIF(TRT_RISK,A95)=0,"No treatment recorded",COUNTIF(TRT_RISK,A95)&amp;" action(s); "&amp;COUNTIFS(TRT_RISK,A95,TRT_OPEN,"Open")&amp;" open; "&amp;COUNTIFS(TRT_RISK,A95,TRT_OVERDUE,"Overdue")&amp;" overdue"))</f>
        <v/>
      </c>
      <c r="AE95" s="51"/>
      <c r="AF95" s="51"/>
      <c r="AG95" s="54" t="str">
        <f aca="false">IF(A95="","",IF(AI95="","Complete","Incomplete: "&amp;AI95))</f>
        <v/>
      </c>
      <c r="AH95" s="54" t="str">
        <f aca="false">IF(A95="","",IF(COUNTIF(RSK_ID,A95)&gt;1,"CHECK: duplicate ID",IF(B95="","CHECK: Supplier ID missing",IF(COUNTIF(INV_ID,B95)=0,"CHECK: Supplier ID not in inventory",IF(AND(ISNUMBER(R95),ISNUMBER(L95),R95&gt;L95),"CHECK: residual score exceeds inherent - confirm",IF(AND(ISNUMBER(AF95),AF95&lt;AsOf),"Review overdue (administrative)","OK"))))))</f>
        <v/>
      </c>
      <c r="AI95" s="52" t="str">
        <f aca="false">IF(A95="","",IF(I95="","risk owner; ","")&amp;IF(OR(J95="",K95=""),"inherent rating; ","")&amp;IF(N95="","inherent rationale; ","")&amp;IF(OR(P95="",Q95=""),"residual rating; ","")&amp;IF(AND(OR(P95&lt;&gt;"",Q95&lt;&gt;""),T95=""),"residual rationale; ","")&amp;IF(AND(OR(P95&lt;&gt;"",Q95&lt;&gt;""),U95=""),"assessment confidence; ","")&amp;IF(AE95="","assessment date; ",""))</f>
        <v/>
      </c>
      <c r="AJ95" s="52" t="str">
        <f aca="false">IF(OR(A95="",B95=""),"",IF(B95=RptSup,B95&amp;"|"&amp;COUNTIF($B$7:B95,B95),""))</f>
        <v/>
      </c>
    </row>
    <row r="96" customFormat="false" ht="15" hidden="false" customHeight="false" outlineLevel="0" collapsed="false">
      <c r="A96" s="50"/>
      <c r="B96" s="50"/>
      <c r="C96" s="59" t="str">
        <f aca="false">IF(B96="","",IFERROR(INDEX(INV_NAME,MATCH(B96,INV_ID,0)),"CHECK: Supplier ID not found"))</f>
        <v/>
      </c>
      <c r="D96" s="34"/>
      <c r="E96" s="34"/>
      <c r="F96" s="34"/>
      <c r="G96" s="34"/>
      <c r="H96" s="34"/>
      <c r="I96" s="34"/>
      <c r="J96" s="50"/>
      <c r="K96" s="50"/>
      <c r="L96" s="52" t="str">
        <f aca="false">IF(A96="","",IF(AND(ISNUMBER(J96),ISNUMBER(K96),J96&gt;=1,J96&lt;=5,K96&gt;=1,K96&lt;=5),J96*K96,"Incomplete"))</f>
        <v/>
      </c>
      <c r="M96" s="52" t="str">
        <f aca="false">IF(A96="","",IF(ISNUMBER(L96),LOOKUP(L96,BandMin,BandName),"Incomplete"))</f>
        <v/>
      </c>
      <c r="N96" s="34"/>
      <c r="O96" s="34"/>
      <c r="P96" s="50"/>
      <c r="Q96" s="50"/>
      <c r="R96" s="61" t="str">
        <f aca="false">IF(A96="","",IF(AND(ISNUMBER(P96),ISNUMBER(Q96),P96&gt;=1,P96&lt;=5,Q96&gt;=1,Q96&lt;=5),P96*Q96,"Incomplete"))</f>
        <v/>
      </c>
      <c r="S96" s="52" t="str">
        <f aca="false">IF(A96="","",IF(ISNUMBER(R96),LOOKUP(R96,BandMin,BandName),"Incomplete"))</f>
        <v/>
      </c>
      <c r="T96" s="34"/>
      <c r="U96" s="50"/>
      <c r="V96" s="50"/>
      <c r="W96" s="50"/>
      <c r="X96" s="52" t="str">
        <f aca="false">IF(A96="","",IF(AND(V96="",W96=""),"Not set",IF(AND(ISNUMBER(V96),ISNUMBER(W96),V96&gt;=1,V96&lt;=5,W96&gt;=1,W96&lt;=5),V96*W96,"Incomplete")))</f>
        <v/>
      </c>
      <c r="Y96" s="52" t="str">
        <f aca="false">IF(A96="","",IF(X96="Not set","Not set",IF(ISNUMBER(X96),LOOKUP(X96,BandMin,BandName),"Incomplete")))</f>
        <v/>
      </c>
      <c r="Z96" s="34"/>
      <c r="AA96" s="54" t="str">
        <f aca="false">IF(A96="","",IF(AppetiteThreshold="","Not configured",IF(NOT(ISNUMBER(R96)),"Cannot assess - residual incomplete",IF(MATCH(S96,BandName,0)&gt;=MATCH(AppetiteThreshold,BandName,0),"Above appetite - escalation required","Within appetite"))))</f>
        <v/>
      </c>
      <c r="AB96" s="50"/>
      <c r="AC96" s="54" t="str">
        <f aca="false">IF(A96="","",IF(AB96="","No decision referenced",IFERROR(INDEX(DEC_FINAL,MATCH(AB96,DEC_ID,0))&amp;" - "&amp;INDEX(DEC_CURR,MATCH(AB96,DEC_ID,0)),"CHECK: Decision ID not found")))</f>
        <v/>
      </c>
      <c r="AD96" s="54" t="str">
        <f aca="false">IF(A96="","",IF(COUNTIF(TRT_RISK,A96)=0,"No treatment recorded",COUNTIF(TRT_RISK,A96)&amp;" action(s); "&amp;COUNTIFS(TRT_RISK,A96,TRT_OPEN,"Open")&amp;" open; "&amp;COUNTIFS(TRT_RISK,A96,TRT_OVERDUE,"Overdue")&amp;" overdue"))</f>
        <v/>
      </c>
      <c r="AE96" s="51"/>
      <c r="AF96" s="51"/>
      <c r="AG96" s="54" t="str">
        <f aca="false">IF(A96="","",IF(AI96="","Complete","Incomplete: "&amp;AI96))</f>
        <v/>
      </c>
      <c r="AH96" s="54" t="str">
        <f aca="false">IF(A96="","",IF(COUNTIF(RSK_ID,A96)&gt;1,"CHECK: duplicate ID",IF(B96="","CHECK: Supplier ID missing",IF(COUNTIF(INV_ID,B96)=0,"CHECK: Supplier ID not in inventory",IF(AND(ISNUMBER(R96),ISNUMBER(L96),R96&gt;L96),"CHECK: residual score exceeds inherent - confirm",IF(AND(ISNUMBER(AF96),AF96&lt;AsOf),"Review overdue (administrative)","OK"))))))</f>
        <v/>
      </c>
      <c r="AI96" s="52" t="str">
        <f aca="false">IF(A96="","",IF(I96="","risk owner; ","")&amp;IF(OR(J96="",K96=""),"inherent rating; ","")&amp;IF(N96="","inherent rationale; ","")&amp;IF(OR(P96="",Q96=""),"residual rating; ","")&amp;IF(AND(OR(P96&lt;&gt;"",Q96&lt;&gt;""),T96=""),"residual rationale; ","")&amp;IF(AND(OR(P96&lt;&gt;"",Q96&lt;&gt;""),U96=""),"assessment confidence; ","")&amp;IF(AE96="","assessment date; ",""))</f>
        <v/>
      </c>
      <c r="AJ96" s="52" t="str">
        <f aca="false">IF(OR(A96="",B96=""),"",IF(B96=RptSup,B96&amp;"|"&amp;COUNTIF($B$7:B96,B96),""))</f>
        <v/>
      </c>
    </row>
    <row r="97" customFormat="false" ht="15" hidden="false" customHeight="false" outlineLevel="0" collapsed="false">
      <c r="A97" s="50"/>
      <c r="B97" s="50"/>
      <c r="C97" s="59" t="str">
        <f aca="false">IF(B97="","",IFERROR(INDEX(INV_NAME,MATCH(B97,INV_ID,0)),"CHECK: Supplier ID not found"))</f>
        <v/>
      </c>
      <c r="D97" s="34"/>
      <c r="E97" s="34"/>
      <c r="F97" s="34"/>
      <c r="G97" s="34"/>
      <c r="H97" s="34"/>
      <c r="I97" s="34"/>
      <c r="J97" s="50"/>
      <c r="K97" s="50"/>
      <c r="L97" s="52" t="str">
        <f aca="false">IF(A97="","",IF(AND(ISNUMBER(J97),ISNUMBER(K97),J97&gt;=1,J97&lt;=5,K97&gt;=1,K97&lt;=5),J97*K97,"Incomplete"))</f>
        <v/>
      </c>
      <c r="M97" s="52" t="str">
        <f aca="false">IF(A97="","",IF(ISNUMBER(L97),LOOKUP(L97,BandMin,BandName),"Incomplete"))</f>
        <v/>
      </c>
      <c r="N97" s="34"/>
      <c r="O97" s="34"/>
      <c r="P97" s="50"/>
      <c r="Q97" s="50"/>
      <c r="R97" s="61" t="str">
        <f aca="false">IF(A97="","",IF(AND(ISNUMBER(P97),ISNUMBER(Q97),P97&gt;=1,P97&lt;=5,Q97&gt;=1,Q97&lt;=5),P97*Q97,"Incomplete"))</f>
        <v/>
      </c>
      <c r="S97" s="52" t="str">
        <f aca="false">IF(A97="","",IF(ISNUMBER(R97),LOOKUP(R97,BandMin,BandName),"Incomplete"))</f>
        <v/>
      </c>
      <c r="T97" s="34"/>
      <c r="U97" s="50"/>
      <c r="V97" s="50"/>
      <c r="W97" s="50"/>
      <c r="X97" s="52" t="str">
        <f aca="false">IF(A97="","",IF(AND(V97="",W97=""),"Not set",IF(AND(ISNUMBER(V97),ISNUMBER(W97),V97&gt;=1,V97&lt;=5,W97&gt;=1,W97&lt;=5),V97*W97,"Incomplete")))</f>
        <v/>
      </c>
      <c r="Y97" s="52" t="str">
        <f aca="false">IF(A97="","",IF(X97="Not set","Not set",IF(ISNUMBER(X97),LOOKUP(X97,BandMin,BandName),"Incomplete")))</f>
        <v/>
      </c>
      <c r="Z97" s="34"/>
      <c r="AA97" s="54" t="str">
        <f aca="false">IF(A97="","",IF(AppetiteThreshold="","Not configured",IF(NOT(ISNUMBER(R97)),"Cannot assess - residual incomplete",IF(MATCH(S97,BandName,0)&gt;=MATCH(AppetiteThreshold,BandName,0),"Above appetite - escalation required","Within appetite"))))</f>
        <v/>
      </c>
      <c r="AB97" s="50"/>
      <c r="AC97" s="54" t="str">
        <f aca="false">IF(A97="","",IF(AB97="","No decision referenced",IFERROR(INDEX(DEC_FINAL,MATCH(AB97,DEC_ID,0))&amp;" - "&amp;INDEX(DEC_CURR,MATCH(AB97,DEC_ID,0)),"CHECK: Decision ID not found")))</f>
        <v/>
      </c>
      <c r="AD97" s="54" t="str">
        <f aca="false">IF(A97="","",IF(COUNTIF(TRT_RISK,A97)=0,"No treatment recorded",COUNTIF(TRT_RISK,A97)&amp;" action(s); "&amp;COUNTIFS(TRT_RISK,A97,TRT_OPEN,"Open")&amp;" open; "&amp;COUNTIFS(TRT_RISK,A97,TRT_OVERDUE,"Overdue")&amp;" overdue"))</f>
        <v/>
      </c>
      <c r="AE97" s="51"/>
      <c r="AF97" s="51"/>
      <c r="AG97" s="54" t="str">
        <f aca="false">IF(A97="","",IF(AI97="","Complete","Incomplete: "&amp;AI97))</f>
        <v/>
      </c>
      <c r="AH97" s="54" t="str">
        <f aca="false">IF(A97="","",IF(COUNTIF(RSK_ID,A97)&gt;1,"CHECK: duplicate ID",IF(B97="","CHECK: Supplier ID missing",IF(COUNTIF(INV_ID,B97)=0,"CHECK: Supplier ID not in inventory",IF(AND(ISNUMBER(R97),ISNUMBER(L97),R97&gt;L97),"CHECK: residual score exceeds inherent - confirm",IF(AND(ISNUMBER(AF97),AF97&lt;AsOf),"Review overdue (administrative)","OK"))))))</f>
        <v/>
      </c>
      <c r="AI97" s="52" t="str">
        <f aca="false">IF(A97="","",IF(I97="","risk owner; ","")&amp;IF(OR(J97="",K97=""),"inherent rating; ","")&amp;IF(N97="","inherent rationale; ","")&amp;IF(OR(P97="",Q97=""),"residual rating; ","")&amp;IF(AND(OR(P97&lt;&gt;"",Q97&lt;&gt;""),T97=""),"residual rationale; ","")&amp;IF(AND(OR(P97&lt;&gt;"",Q97&lt;&gt;""),U97=""),"assessment confidence; ","")&amp;IF(AE97="","assessment date; ",""))</f>
        <v/>
      </c>
      <c r="AJ97" s="52" t="str">
        <f aca="false">IF(OR(A97="",B97=""),"",IF(B97=RptSup,B97&amp;"|"&amp;COUNTIF($B$7:B97,B97),""))</f>
        <v/>
      </c>
    </row>
    <row r="98" customFormat="false" ht="15" hidden="false" customHeight="false" outlineLevel="0" collapsed="false">
      <c r="A98" s="50"/>
      <c r="B98" s="50"/>
      <c r="C98" s="59" t="str">
        <f aca="false">IF(B98="","",IFERROR(INDEX(INV_NAME,MATCH(B98,INV_ID,0)),"CHECK: Supplier ID not found"))</f>
        <v/>
      </c>
      <c r="D98" s="34"/>
      <c r="E98" s="34"/>
      <c r="F98" s="34"/>
      <c r="G98" s="34"/>
      <c r="H98" s="34"/>
      <c r="I98" s="34"/>
      <c r="J98" s="50"/>
      <c r="K98" s="50"/>
      <c r="L98" s="52" t="str">
        <f aca="false">IF(A98="","",IF(AND(ISNUMBER(J98),ISNUMBER(K98),J98&gt;=1,J98&lt;=5,K98&gt;=1,K98&lt;=5),J98*K98,"Incomplete"))</f>
        <v/>
      </c>
      <c r="M98" s="52" t="str">
        <f aca="false">IF(A98="","",IF(ISNUMBER(L98),LOOKUP(L98,BandMin,BandName),"Incomplete"))</f>
        <v/>
      </c>
      <c r="N98" s="34"/>
      <c r="O98" s="34"/>
      <c r="P98" s="50"/>
      <c r="Q98" s="50"/>
      <c r="R98" s="61" t="str">
        <f aca="false">IF(A98="","",IF(AND(ISNUMBER(P98),ISNUMBER(Q98),P98&gt;=1,P98&lt;=5,Q98&gt;=1,Q98&lt;=5),P98*Q98,"Incomplete"))</f>
        <v/>
      </c>
      <c r="S98" s="52" t="str">
        <f aca="false">IF(A98="","",IF(ISNUMBER(R98),LOOKUP(R98,BandMin,BandName),"Incomplete"))</f>
        <v/>
      </c>
      <c r="T98" s="34"/>
      <c r="U98" s="50"/>
      <c r="V98" s="50"/>
      <c r="W98" s="50"/>
      <c r="X98" s="52" t="str">
        <f aca="false">IF(A98="","",IF(AND(V98="",W98=""),"Not set",IF(AND(ISNUMBER(V98),ISNUMBER(W98),V98&gt;=1,V98&lt;=5,W98&gt;=1,W98&lt;=5),V98*W98,"Incomplete")))</f>
        <v/>
      </c>
      <c r="Y98" s="52" t="str">
        <f aca="false">IF(A98="","",IF(X98="Not set","Not set",IF(ISNUMBER(X98),LOOKUP(X98,BandMin,BandName),"Incomplete")))</f>
        <v/>
      </c>
      <c r="Z98" s="34"/>
      <c r="AA98" s="54" t="str">
        <f aca="false">IF(A98="","",IF(AppetiteThreshold="","Not configured",IF(NOT(ISNUMBER(R98)),"Cannot assess - residual incomplete",IF(MATCH(S98,BandName,0)&gt;=MATCH(AppetiteThreshold,BandName,0),"Above appetite - escalation required","Within appetite"))))</f>
        <v/>
      </c>
      <c r="AB98" s="50"/>
      <c r="AC98" s="54" t="str">
        <f aca="false">IF(A98="","",IF(AB98="","No decision referenced",IFERROR(INDEX(DEC_FINAL,MATCH(AB98,DEC_ID,0))&amp;" - "&amp;INDEX(DEC_CURR,MATCH(AB98,DEC_ID,0)),"CHECK: Decision ID not found")))</f>
        <v/>
      </c>
      <c r="AD98" s="54" t="str">
        <f aca="false">IF(A98="","",IF(COUNTIF(TRT_RISK,A98)=0,"No treatment recorded",COUNTIF(TRT_RISK,A98)&amp;" action(s); "&amp;COUNTIFS(TRT_RISK,A98,TRT_OPEN,"Open")&amp;" open; "&amp;COUNTIFS(TRT_RISK,A98,TRT_OVERDUE,"Overdue")&amp;" overdue"))</f>
        <v/>
      </c>
      <c r="AE98" s="51"/>
      <c r="AF98" s="51"/>
      <c r="AG98" s="54" t="str">
        <f aca="false">IF(A98="","",IF(AI98="","Complete","Incomplete: "&amp;AI98))</f>
        <v/>
      </c>
      <c r="AH98" s="54" t="str">
        <f aca="false">IF(A98="","",IF(COUNTIF(RSK_ID,A98)&gt;1,"CHECK: duplicate ID",IF(B98="","CHECK: Supplier ID missing",IF(COUNTIF(INV_ID,B98)=0,"CHECK: Supplier ID not in inventory",IF(AND(ISNUMBER(R98),ISNUMBER(L98),R98&gt;L98),"CHECK: residual score exceeds inherent - confirm",IF(AND(ISNUMBER(AF98),AF98&lt;AsOf),"Review overdue (administrative)","OK"))))))</f>
        <v/>
      </c>
      <c r="AI98" s="52" t="str">
        <f aca="false">IF(A98="","",IF(I98="","risk owner; ","")&amp;IF(OR(J98="",K98=""),"inherent rating; ","")&amp;IF(N98="","inherent rationale; ","")&amp;IF(OR(P98="",Q98=""),"residual rating; ","")&amp;IF(AND(OR(P98&lt;&gt;"",Q98&lt;&gt;""),T98=""),"residual rationale; ","")&amp;IF(AND(OR(P98&lt;&gt;"",Q98&lt;&gt;""),U98=""),"assessment confidence; ","")&amp;IF(AE98="","assessment date; ",""))</f>
        <v/>
      </c>
      <c r="AJ98" s="52" t="str">
        <f aca="false">IF(OR(A98="",B98=""),"",IF(B98=RptSup,B98&amp;"|"&amp;COUNTIF($B$7:B98,B98),""))</f>
        <v/>
      </c>
    </row>
    <row r="99" customFormat="false" ht="15" hidden="false" customHeight="false" outlineLevel="0" collapsed="false">
      <c r="A99" s="50"/>
      <c r="B99" s="50"/>
      <c r="C99" s="59" t="str">
        <f aca="false">IF(B99="","",IFERROR(INDEX(INV_NAME,MATCH(B99,INV_ID,0)),"CHECK: Supplier ID not found"))</f>
        <v/>
      </c>
      <c r="D99" s="34"/>
      <c r="E99" s="34"/>
      <c r="F99" s="34"/>
      <c r="G99" s="34"/>
      <c r="H99" s="34"/>
      <c r="I99" s="34"/>
      <c r="J99" s="50"/>
      <c r="K99" s="50"/>
      <c r="L99" s="52" t="str">
        <f aca="false">IF(A99="","",IF(AND(ISNUMBER(J99),ISNUMBER(K99),J99&gt;=1,J99&lt;=5,K99&gt;=1,K99&lt;=5),J99*K99,"Incomplete"))</f>
        <v/>
      </c>
      <c r="M99" s="52" t="str">
        <f aca="false">IF(A99="","",IF(ISNUMBER(L99),LOOKUP(L99,BandMin,BandName),"Incomplete"))</f>
        <v/>
      </c>
      <c r="N99" s="34"/>
      <c r="O99" s="34"/>
      <c r="P99" s="50"/>
      <c r="Q99" s="50"/>
      <c r="R99" s="61" t="str">
        <f aca="false">IF(A99="","",IF(AND(ISNUMBER(P99),ISNUMBER(Q99),P99&gt;=1,P99&lt;=5,Q99&gt;=1,Q99&lt;=5),P99*Q99,"Incomplete"))</f>
        <v/>
      </c>
      <c r="S99" s="52" t="str">
        <f aca="false">IF(A99="","",IF(ISNUMBER(R99),LOOKUP(R99,BandMin,BandName),"Incomplete"))</f>
        <v/>
      </c>
      <c r="T99" s="34"/>
      <c r="U99" s="50"/>
      <c r="V99" s="50"/>
      <c r="W99" s="50"/>
      <c r="X99" s="52" t="str">
        <f aca="false">IF(A99="","",IF(AND(V99="",W99=""),"Not set",IF(AND(ISNUMBER(V99),ISNUMBER(W99),V99&gt;=1,V99&lt;=5,W99&gt;=1,W99&lt;=5),V99*W99,"Incomplete")))</f>
        <v/>
      </c>
      <c r="Y99" s="52" t="str">
        <f aca="false">IF(A99="","",IF(X99="Not set","Not set",IF(ISNUMBER(X99),LOOKUP(X99,BandMin,BandName),"Incomplete")))</f>
        <v/>
      </c>
      <c r="Z99" s="34"/>
      <c r="AA99" s="54" t="str">
        <f aca="false">IF(A99="","",IF(AppetiteThreshold="","Not configured",IF(NOT(ISNUMBER(R99)),"Cannot assess - residual incomplete",IF(MATCH(S99,BandName,0)&gt;=MATCH(AppetiteThreshold,BandName,0),"Above appetite - escalation required","Within appetite"))))</f>
        <v/>
      </c>
      <c r="AB99" s="50"/>
      <c r="AC99" s="54" t="str">
        <f aca="false">IF(A99="","",IF(AB99="","No decision referenced",IFERROR(INDEX(DEC_FINAL,MATCH(AB99,DEC_ID,0))&amp;" - "&amp;INDEX(DEC_CURR,MATCH(AB99,DEC_ID,0)),"CHECK: Decision ID not found")))</f>
        <v/>
      </c>
      <c r="AD99" s="54" t="str">
        <f aca="false">IF(A99="","",IF(COUNTIF(TRT_RISK,A99)=0,"No treatment recorded",COUNTIF(TRT_RISK,A99)&amp;" action(s); "&amp;COUNTIFS(TRT_RISK,A99,TRT_OPEN,"Open")&amp;" open; "&amp;COUNTIFS(TRT_RISK,A99,TRT_OVERDUE,"Overdue")&amp;" overdue"))</f>
        <v/>
      </c>
      <c r="AE99" s="51"/>
      <c r="AF99" s="51"/>
      <c r="AG99" s="54" t="str">
        <f aca="false">IF(A99="","",IF(AI99="","Complete","Incomplete: "&amp;AI99))</f>
        <v/>
      </c>
      <c r="AH99" s="54" t="str">
        <f aca="false">IF(A99="","",IF(COUNTIF(RSK_ID,A99)&gt;1,"CHECK: duplicate ID",IF(B99="","CHECK: Supplier ID missing",IF(COUNTIF(INV_ID,B99)=0,"CHECK: Supplier ID not in inventory",IF(AND(ISNUMBER(R99),ISNUMBER(L99),R99&gt;L99),"CHECK: residual score exceeds inherent - confirm",IF(AND(ISNUMBER(AF99),AF99&lt;AsOf),"Review overdue (administrative)","OK"))))))</f>
        <v/>
      </c>
      <c r="AI99" s="52" t="str">
        <f aca="false">IF(A99="","",IF(I99="","risk owner; ","")&amp;IF(OR(J99="",K99=""),"inherent rating; ","")&amp;IF(N99="","inherent rationale; ","")&amp;IF(OR(P99="",Q99=""),"residual rating; ","")&amp;IF(AND(OR(P99&lt;&gt;"",Q99&lt;&gt;""),T99=""),"residual rationale; ","")&amp;IF(AND(OR(P99&lt;&gt;"",Q99&lt;&gt;""),U99=""),"assessment confidence; ","")&amp;IF(AE99="","assessment date; ",""))</f>
        <v/>
      </c>
      <c r="AJ99" s="52" t="str">
        <f aca="false">IF(OR(A99="",B99=""),"",IF(B99=RptSup,B99&amp;"|"&amp;COUNTIF($B$7:B99,B99),""))</f>
        <v/>
      </c>
    </row>
    <row r="100" customFormat="false" ht="15" hidden="false" customHeight="false" outlineLevel="0" collapsed="false">
      <c r="A100" s="50"/>
      <c r="B100" s="50"/>
      <c r="C100" s="59" t="str">
        <f aca="false">IF(B100="","",IFERROR(INDEX(INV_NAME,MATCH(B100,INV_ID,0)),"CHECK: Supplier ID not found"))</f>
        <v/>
      </c>
      <c r="D100" s="34"/>
      <c r="E100" s="34"/>
      <c r="F100" s="34"/>
      <c r="G100" s="34"/>
      <c r="H100" s="34"/>
      <c r="I100" s="34"/>
      <c r="J100" s="50"/>
      <c r="K100" s="50"/>
      <c r="L100" s="52" t="str">
        <f aca="false">IF(A100="","",IF(AND(ISNUMBER(J100),ISNUMBER(K100),J100&gt;=1,J100&lt;=5,K100&gt;=1,K100&lt;=5),J100*K100,"Incomplete"))</f>
        <v/>
      </c>
      <c r="M100" s="52" t="str">
        <f aca="false">IF(A100="","",IF(ISNUMBER(L100),LOOKUP(L100,BandMin,BandName),"Incomplete"))</f>
        <v/>
      </c>
      <c r="N100" s="34"/>
      <c r="O100" s="34"/>
      <c r="P100" s="50"/>
      <c r="Q100" s="50"/>
      <c r="R100" s="61" t="str">
        <f aca="false">IF(A100="","",IF(AND(ISNUMBER(P100),ISNUMBER(Q100),P100&gt;=1,P100&lt;=5,Q100&gt;=1,Q100&lt;=5),P100*Q100,"Incomplete"))</f>
        <v/>
      </c>
      <c r="S100" s="52" t="str">
        <f aca="false">IF(A100="","",IF(ISNUMBER(R100),LOOKUP(R100,BandMin,BandName),"Incomplete"))</f>
        <v/>
      </c>
      <c r="T100" s="34"/>
      <c r="U100" s="50"/>
      <c r="V100" s="50"/>
      <c r="W100" s="50"/>
      <c r="X100" s="52" t="str">
        <f aca="false">IF(A100="","",IF(AND(V100="",W100=""),"Not set",IF(AND(ISNUMBER(V100),ISNUMBER(W100),V100&gt;=1,V100&lt;=5,W100&gt;=1,W100&lt;=5),V100*W100,"Incomplete")))</f>
        <v/>
      </c>
      <c r="Y100" s="52" t="str">
        <f aca="false">IF(A100="","",IF(X100="Not set","Not set",IF(ISNUMBER(X100),LOOKUP(X100,BandMin,BandName),"Incomplete")))</f>
        <v/>
      </c>
      <c r="Z100" s="34"/>
      <c r="AA100" s="54" t="str">
        <f aca="false">IF(A100="","",IF(AppetiteThreshold="","Not configured",IF(NOT(ISNUMBER(R100)),"Cannot assess - residual incomplete",IF(MATCH(S100,BandName,0)&gt;=MATCH(AppetiteThreshold,BandName,0),"Above appetite - escalation required","Within appetite"))))</f>
        <v/>
      </c>
      <c r="AB100" s="50"/>
      <c r="AC100" s="54" t="str">
        <f aca="false">IF(A100="","",IF(AB100="","No decision referenced",IFERROR(INDEX(DEC_FINAL,MATCH(AB100,DEC_ID,0))&amp;" - "&amp;INDEX(DEC_CURR,MATCH(AB100,DEC_ID,0)),"CHECK: Decision ID not found")))</f>
        <v/>
      </c>
      <c r="AD100" s="54" t="str">
        <f aca="false">IF(A100="","",IF(COUNTIF(TRT_RISK,A100)=0,"No treatment recorded",COUNTIF(TRT_RISK,A100)&amp;" action(s); "&amp;COUNTIFS(TRT_RISK,A100,TRT_OPEN,"Open")&amp;" open; "&amp;COUNTIFS(TRT_RISK,A100,TRT_OVERDUE,"Overdue")&amp;" overdue"))</f>
        <v/>
      </c>
      <c r="AE100" s="51"/>
      <c r="AF100" s="51"/>
      <c r="AG100" s="54" t="str">
        <f aca="false">IF(A100="","",IF(AI100="","Complete","Incomplete: "&amp;AI100))</f>
        <v/>
      </c>
      <c r="AH100" s="54" t="str">
        <f aca="false">IF(A100="","",IF(COUNTIF(RSK_ID,A100)&gt;1,"CHECK: duplicate ID",IF(B100="","CHECK: Supplier ID missing",IF(COUNTIF(INV_ID,B100)=0,"CHECK: Supplier ID not in inventory",IF(AND(ISNUMBER(R100),ISNUMBER(L100),R100&gt;L100),"CHECK: residual score exceeds inherent - confirm",IF(AND(ISNUMBER(AF100),AF100&lt;AsOf),"Review overdue (administrative)","OK"))))))</f>
        <v/>
      </c>
      <c r="AI100" s="52" t="str">
        <f aca="false">IF(A100="","",IF(I100="","risk owner; ","")&amp;IF(OR(J100="",K100=""),"inherent rating; ","")&amp;IF(N100="","inherent rationale; ","")&amp;IF(OR(P100="",Q100=""),"residual rating; ","")&amp;IF(AND(OR(P100&lt;&gt;"",Q100&lt;&gt;""),T100=""),"residual rationale; ","")&amp;IF(AND(OR(P100&lt;&gt;"",Q100&lt;&gt;""),U100=""),"assessment confidence; ","")&amp;IF(AE100="","assessment date; ",""))</f>
        <v/>
      </c>
      <c r="AJ100" s="52" t="str">
        <f aca="false">IF(OR(A100="",B100=""),"",IF(B100=RptSup,B100&amp;"|"&amp;COUNTIF($B$7:B100,B100),""))</f>
        <v/>
      </c>
    </row>
    <row r="101" customFormat="false" ht="15" hidden="false" customHeight="false" outlineLevel="0" collapsed="false">
      <c r="A101" s="50"/>
      <c r="B101" s="50"/>
      <c r="C101" s="59" t="str">
        <f aca="false">IF(B101="","",IFERROR(INDEX(INV_NAME,MATCH(B101,INV_ID,0)),"CHECK: Supplier ID not found"))</f>
        <v/>
      </c>
      <c r="D101" s="34"/>
      <c r="E101" s="34"/>
      <c r="F101" s="34"/>
      <c r="G101" s="34"/>
      <c r="H101" s="34"/>
      <c r="I101" s="34"/>
      <c r="J101" s="50"/>
      <c r="K101" s="50"/>
      <c r="L101" s="52" t="str">
        <f aca="false">IF(A101="","",IF(AND(ISNUMBER(J101),ISNUMBER(K101),J101&gt;=1,J101&lt;=5,K101&gt;=1,K101&lt;=5),J101*K101,"Incomplete"))</f>
        <v/>
      </c>
      <c r="M101" s="52" t="str">
        <f aca="false">IF(A101="","",IF(ISNUMBER(L101),LOOKUP(L101,BandMin,BandName),"Incomplete"))</f>
        <v/>
      </c>
      <c r="N101" s="34"/>
      <c r="O101" s="34"/>
      <c r="P101" s="50"/>
      <c r="Q101" s="50"/>
      <c r="R101" s="61" t="str">
        <f aca="false">IF(A101="","",IF(AND(ISNUMBER(P101),ISNUMBER(Q101),P101&gt;=1,P101&lt;=5,Q101&gt;=1,Q101&lt;=5),P101*Q101,"Incomplete"))</f>
        <v/>
      </c>
      <c r="S101" s="52" t="str">
        <f aca="false">IF(A101="","",IF(ISNUMBER(R101),LOOKUP(R101,BandMin,BandName),"Incomplete"))</f>
        <v/>
      </c>
      <c r="T101" s="34"/>
      <c r="U101" s="50"/>
      <c r="V101" s="50"/>
      <c r="W101" s="50"/>
      <c r="X101" s="52" t="str">
        <f aca="false">IF(A101="","",IF(AND(V101="",W101=""),"Not set",IF(AND(ISNUMBER(V101),ISNUMBER(W101),V101&gt;=1,V101&lt;=5,W101&gt;=1,W101&lt;=5),V101*W101,"Incomplete")))</f>
        <v/>
      </c>
      <c r="Y101" s="52" t="str">
        <f aca="false">IF(A101="","",IF(X101="Not set","Not set",IF(ISNUMBER(X101),LOOKUP(X101,BandMin,BandName),"Incomplete")))</f>
        <v/>
      </c>
      <c r="Z101" s="34"/>
      <c r="AA101" s="54" t="str">
        <f aca="false">IF(A101="","",IF(AppetiteThreshold="","Not configured",IF(NOT(ISNUMBER(R101)),"Cannot assess - residual incomplete",IF(MATCH(S101,BandName,0)&gt;=MATCH(AppetiteThreshold,BandName,0),"Above appetite - escalation required","Within appetite"))))</f>
        <v/>
      </c>
      <c r="AB101" s="50"/>
      <c r="AC101" s="54" t="str">
        <f aca="false">IF(A101="","",IF(AB101="","No decision referenced",IFERROR(INDEX(DEC_FINAL,MATCH(AB101,DEC_ID,0))&amp;" - "&amp;INDEX(DEC_CURR,MATCH(AB101,DEC_ID,0)),"CHECK: Decision ID not found")))</f>
        <v/>
      </c>
      <c r="AD101" s="54" t="str">
        <f aca="false">IF(A101="","",IF(COUNTIF(TRT_RISK,A101)=0,"No treatment recorded",COUNTIF(TRT_RISK,A101)&amp;" action(s); "&amp;COUNTIFS(TRT_RISK,A101,TRT_OPEN,"Open")&amp;" open; "&amp;COUNTIFS(TRT_RISK,A101,TRT_OVERDUE,"Overdue")&amp;" overdue"))</f>
        <v/>
      </c>
      <c r="AE101" s="51"/>
      <c r="AF101" s="51"/>
      <c r="AG101" s="54" t="str">
        <f aca="false">IF(A101="","",IF(AI101="","Complete","Incomplete: "&amp;AI101))</f>
        <v/>
      </c>
      <c r="AH101" s="54" t="str">
        <f aca="false">IF(A101="","",IF(COUNTIF(RSK_ID,A101)&gt;1,"CHECK: duplicate ID",IF(B101="","CHECK: Supplier ID missing",IF(COUNTIF(INV_ID,B101)=0,"CHECK: Supplier ID not in inventory",IF(AND(ISNUMBER(R101),ISNUMBER(L101),R101&gt;L101),"CHECK: residual score exceeds inherent - confirm",IF(AND(ISNUMBER(AF101),AF101&lt;AsOf),"Review overdue (administrative)","OK"))))))</f>
        <v/>
      </c>
      <c r="AI101" s="52" t="str">
        <f aca="false">IF(A101="","",IF(I101="","risk owner; ","")&amp;IF(OR(J101="",K101=""),"inherent rating; ","")&amp;IF(N101="","inherent rationale; ","")&amp;IF(OR(P101="",Q101=""),"residual rating; ","")&amp;IF(AND(OR(P101&lt;&gt;"",Q101&lt;&gt;""),T101=""),"residual rationale; ","")&amp;IF(AND(OR(P101&lt;&gt;"",Q101&lt;&gt;""),U101=""),"assessment confidence; ","")&amp;IF(AE101="","assessment date; ",""))</f>
        <v/>
      </c>
      <c r="AJ101" s="52" t="str">
        <f aca="false">IF(OR(A101="",B101=""),"",IF(B101=RptSup,B101&amp;"|"&amp;COUNTIF($B$7:B101,B101),""))</f>
        <v/>
      </c>
    </row>
    <row r="102" customFormat="false" ht="15" hidden="false" customHeight="false" outlineLevel="0" collapsed="false">
      <c r="A102" s="50"/>
      <c r="B102" s="50"/>
      <c r="C102" s="59" t="str">
        <f aca="false">IF(B102="","",IFERROR(INDEX(INV_NAME,MATCH(B102,INV_ID,0)),"CHECK: Supplier ID not found"))</f>
        <v/>
      </c>
      <c r="D102" s="34"/>
      <c r="E102" s="34"/>
      <c r="F102" s="34"/>
      <c r="G102" s="34"/>
      <c r="H102" s="34"/>
      <c r="I102" s="34"/>
      <c r="J102" s="50"/>
      <c r="K102" s="50"/>
      <c r="L102" s="52" t="str">
        <f aca="false">IF(A102="","",IF(AND(ISNUMBER(J102),ISNUMBER(K102),J102&gt;=1,J102&lt;=5,K102&gt;=1,K102&lt;=5),J102*K102,"Incomplete"))</f>
        <v/>
      </c>
      <c r="M102" s="52" t="str">
        <f aca="false">IF(A102="","",IF(ISNUMBER(L102),LOOKUP(L102,BandMin,BandName),"Incomplete"))</f>
        <v/>
      </c>
      <c r="N102" s="34"/>
      <c r="O102" s="34"/>
      <c r="P102" s="50"/>
      <c r="Q102" s="50"/>
      <c r="R102" s="61" t="str">
        <f aca="false">IF(A102="","",IF(AND(ISNUMBER(P102),ISNUMBER(Q102),P102&gt;=1,P102&lt;=5,Q102&gt;=1,Q102&lt;=5),P102*Q102,"Incomplete"))</f>
        <v/>
      </c>
      <c r="S102" s="52" t="str">
        <f aca="false">IF(A102="","",IF(ISNUMBER(R102),LOOKUP(R102,BandMin,BandName),"Incomplete"))</f>
        <v/>
      </c>
      <c r="T102" s="34"/>
      <c r="U102" s="50"/>
      <c r="V102" s="50"/>
      <c r="W102" s="50"/>
      <c r="X102" s="52" t="str">
        <f aca="false">IF(A102="","",IF(AND(V102="",W102=""),"Not set",IF(AND(ISNUMBER(V102),ISNUMBER(W102),V102&gt;=1,V102&lt;=5,W102&gt;=1,W102&lt;=5),V102*W102,"Incomplete")))</f>
        <v/>
      </c>
      <c r="Y102" s="52" t="str">
        <f aca="false">IF(A102="","",IF(X102="Not set","Not set",IF(ISNUMBER(X102),LOOKUP(X102,BandMin,BandName),"Incomplete")))</f>
        <v/>
      </c>
      <c r="Z102" s="34"/>
      <c r="AA102" s="54" t="str">
        <f aca="false">IF(A102="","",IF(AppetiteThreshold="","Not configured",IF(NOT(ISNUMBER(R102)),"Cannot assess - residual incomplete",IF(MATCH(S102,BandName,0)&gt;=MATCH(AppetiteThreshold,BandName,0),"Above appetite - escalation required","Within appetite"))))</f>
        <v/>
      </c>
      <c r="AB102" s="50"/>
      <c r="AC102" s="54" t="str">
        <f aca="false">IF(A102="","",IF(AB102="","No decision referenced",IFERROR(INDEX(DEC_FINAL,MATCH(AB102,DEC_ID,0))&amp;" - "&amp;INDEX(DEC_CURR,MATCH(AB102,DEC_ID,0)),"CHECK: Decision ID not found")))</f>
        <v/>
      </c>
      <c r="AD102" s="54" t="str">
        <f aca="false">IF(A102="","",IF(COUNTIF(TRT_RISK,A102)=0,"No treatment recorded",COUNTIF(TRT_RISK,A102)&amp;" action(s); "&amp;COUNTIFS(TRT_RISK,A102,TRT_OPEN,"Open")&amp;" open; "&amp;COUNTIFS(TRT_RISK,A102,TRT_OVERDUE,"Overdue")&amp;" overdue"))</f>
        <v/>
      </c>
      <c r="AE102" s="51"/>
      <c r="AF102" s="51"/>
      <c r="AG102" s="54" t="str">
        <f aca="false">IF(A102="","",IF(AI102="","Complete","Incomplete: "&amp;AI102))</f>
        <v/>
      </c>
      <c r="AH102" s="54" t="str">
        <f aca="false">IF(A102="","",IF(COUNTIF(RSK_ID,A102)&gt;1,"CHECK: duplicate ID",IF(B102="","CHECK: Supplier ID missing",IF(COUNTIF(INV_ID,B102)=0,"CHECK: Supplier ID not in inventory",IF(AND(ISNUMBER(R102),ISNUMBER(L102),R102&gt;L102),"CHECK: residual score exceeds inherent - confirm",IF(AND(ISNUMBER(AF102),AF102&lt;AsOf),"Review overdue (administrative)","OK"))))))</f>
        <v/>
      </c>
      <c r="AI102" s="52" t="str">
        <f aca="false">IF(A102="","",IF(I102="","risk owner; ","")&amp;IF(OR(J102="",K102=""),"inherent rating; ","")&amp;IF(N102="","inherent rationale; ","")&amp;IF(OR(P102="",Q102=""),"residual rating; ","")&amp;IF(AND(OR(P102&lt;&gt;"",Q102&lt;&gt;""),T102=""),"residual rationale; ","")&amp;IF(AND(OR(P102&lt;&gt;"",Q102&lt;&gt;""),U102=""),"assessment confidence; ","")&amp;IF(AE102="","assessment date; ",""))</f>
        <v/>
      </c>
      <c r="AJ102" s="52" t="str">
        <f aca="false">IF(OR(A102="",B102=""),"",IF(B102=RptSup,B102&amp;"|"&amp;COUNTIF($B$7:B102,B102),""))</f>
        <v/>
      </c>
    </row>
    <row r="103" customFormat="false" ht="15" hidden="false" customHeight="false" outlineLevel="0" collapsed="false">
      <c r="A103" s="50"/>
      <c r="B103" s="50"/>
      <c r="C103" s="59" t="str">
        <f aca="false">IF(B103="","",IFERROR(INDEX(INV_NAME,MATCH(B103,INV_ID,0)),"CHECK: Supplier ID not found"))</f>
        <v/>
      </c>
      <c r="D103" s="34"/>
      <c r="E103" s="34"/>
      <c r="F103" s="34"/>
      <c r="G103" s="34"/>
      <c r="H103" s="34"/>
      <c r="I103" s="34"/>
      <c r="J103" s="50"/>
      <c r="K103" s="50"/>
      <c r="L103" s="52" t="str">
        <f aca="false">IF(A103="","",IF(AND(ISNUMBER(J103),ISNUMBER(K103),J103&gt;=1,J103&lt;=5,K103&gt;=1,K103&lt;=5),J103*K103,"Incomplete"))</f>
        <v/>
      </c>
      <c r="M103" s="52" t="str">
        <f aca="false">IF(A103="","",IF(ISNUMBER(L103),LOOKUP(L103,BandMin,BandName),"Incomplete"))</f>
        <v/>
      </c>
      <c r="N103" s="34"/>
      <c r="O103" s="34"/>
      <c r="P103" s="50"/>
      <c r="Q103" s="50"/>
      <c r="R103" s="61" t="str">
        <f aca="false">IF(A103="","",IF(AND(ISNUMBER(P103),ISNUMBER(Q103),P103&gt;=1,P103&lt;=5,Q103&gt;=1,Q103&lt;=5),P103*Q103,"Incomplete"))</f>
        <v/>
      </c>
      <c r="S103" s="52" t="str">
        <f aca="false">IF(A103="","",IF(ISNUMBER(R103),LOOKUP(R103,BandMin,BandName),"Incomplete"))</f>
        <v/>
      </c>
      <c r="T103" s="34"/>
      <c r="U103" s="50"/>
      <c r="V103" s="50"/>
      <c r="W103" s="50"/>
      <c r="X103" s="52" t="str">
        <f aca="false">IF(A103="","",IF(AND(V103="",W103=""),"Not set",IF(AND(ISNUMBER(V103),ISNUMBER(W103),V103&gt;=1,V103&lt;=5,W103&gt;=1,W103&lt;=5),V103*W103,"Incomplete")))</f>
        <v/>
      </c>
      <c r="Y103" s="52" t="str">
        <f aca="false">IF(A103="","",IF(X103="Not set","Not set",IF(ISNUMBER(X103),LOOKUP(X103,BandMin,BandName),"Incomplete")))</f>
        <v/>
      </c>
      <c r="Z103" s="34"/>
      <c r="AA103" s="54" t="str">
        <f aca="false">IF(A103="","",IF(AppetiteThreshold="","Not configured",IF(NOT(ISNUMBER(R103)),"Cannot assess - residual incomplete",IF(MATCH(S103,BandName,0)&gt;=MATCH(AppetiteThreshold,BandName,0),"Above appetite - escalation required","Within appetite"))))</f>
        <v/>
      </c>
      <c r="AB103" s="50"/>
      <c r="AC103" s="54" t="str">
        <f aca="false">IF(A103="","",IF(AB103="","No decision referenced",IFERROR(INDEX(DEC_FINAL,MATCH(AB103,DEC_ID,0))&amp;" - "&amp;INDEX(DEC_CURR,MATCH(AB103,DEC_ID,0)),"CHECK: Decision ID not found")))</f>
        <v/>
      </c>
      <c r="AD103" s="54" t="str">
        <f aca="false">IF(A103="","",IF(COUNTIF(TRT_RISK,A103)=0,"No treatment recorded",COUNTIF(TRT_RISK,A103)&amp;" action(s); "&amp;COUNTIFS(TRT_RISK,A103,TRT_OPEN,"Open")&amp;" open; "&amp;COUNTIFS(TRT_RISK,A103,TRT_OVERDUE,"Overdue")&amp;" overdue"))</f>
        <v/>
      </c>
      <c r="AE103" s="51"/>
      <c r="AF103" s="51"/>
      <c r="AG103" s="54" t="str">
        <f aca="false">IF(A103="","",IF(AI103="","Complete","Incomplete: "&amp;AI103))</f>
        <v/>
      </c>
      <c r="AH103" s="54" t="str">
        <f aca="false">IF(A103="","",IF(COUNTIF(RSK_ID,A103)&gt;1,"CHECK: duplicate ID",IF(B103="","CHECK: Supplier ID missing",IF(COUNTIF(INV_ID,B103)=0,"CHECK: Supplier ID not in inventory",IF(AND(ISNUMBER(R103),ISNUMBER(L103),R103&gt;L103),"CHECK: residual score exceeds inherent - confirm",IF(AND(ISNUMBER(AF103),AF103&lt;AsOf),"Review overdue (administrative)","OK"))))))</f>
        <v/>
      </c>
      <c r="AI103" s="52" t="str">
        <f aca="false">IF(A103="","",IF(I103="","risk owner; ","")&amp;IF(OR(J103="",K103=""),"inherent rating; ","")&amp;IF(N103="","inherent rationale; ","")&amp;IF(OR(P103="",Q103=""),"residual rating; ","")&amp;IF(AND(OR(P103&lt;&gt;"",Q103&lt;&gt;""),T103=""),"residual rationale; ","")&amp;IF(AND(OR(P103&lt;&gt;"",Q103&lt;&gt;""),U103=""),"assessment confidence; ","")&amp;IF(AE103="","assessment date; ",""))</f>
        <v/>
      </c>
      <c r="AJ103" s="52" t="str">
        <f aca="false">IF(OR(A103="",B103=""),"",IF(B103=RptSup,B103&amp;"|"&amp;COUNTIF($B$7:B103,B103),""))</f>
        <v/>
      </c>
    </row>
    <row r="104" customFormat="false" ht="15" hidden="false" customHeight="false" outlineLevel="0" collapsed="false">
      <c r="A104" s="50"/>
      <c r="B104" s="50"/>
      <c r="C104" s="59" t="str">
        <f aca="false">IF(B104="","",IFERROR(INDEX(INV_NAME,MATCH(B104,INV_ID,0)),"CHECK: Supplier ID not found"))</f>
        <v/>
      </c>
      <c r="D104" s="34"/>
      <c r="E104" s="34"/>
      <c r="F104" s="34"/>
      <c r="G104" s="34"/>
      <c r="H104" s="34"/>
      <c r="I104" s="34"/>
      <c r="J104" s="50"/>
      <c r="K104" s="50"/>
      <c r="L104" s="52" t="str">
        <f aca="false">IF(A104="","",IF(AND(ISNUMBER(J104),ISNUMBER(K104),J104&gt;=1,J104&lt;=5,K104&gt;=1,K104&lt;=5),J104*K104,"Incomplete"))</f>
        <v/>
      </c>
      <c r="M104" s="52" t="str">
        <f aca="false">IF(A104="","",IF(ISNUMBER(L104),LOOKUP(L104,BandMin,BandName),"Incomplete"))</f>
        <v/>
      </c>
      <c r="N104" s="34"/>
      <c r="O104" s="34"/>
      <c r="P104" s="50"/>
      <c r="Q104" s="50"/>
      <c r="R104" s="61" t="str">
        <f aca="false">IF(A104="","",IF(AND(ISNUMBER(P104),ISNUMBER(Q104),P104&gt;=1,P104&lt;=5,Q104&gt;=1,Q104&lt;=5),P104*Q104,"Incomplete"))</f>
        <v/>
      </c>
      <c r="S104" s="52" t="str">
        <f aca="false">IF(A104="","",IF(ISNUMBER(R104),LOOKUP(R104,BandMin,BandName),"Incomplete"))</f>
        <v/>
      </c>
      <c r="T104" s="34"/>
      <c r="U104" s="50"/>
      <c r="V104" s="50"/>
      <c r="W104" s="50"/>
      <c r="X104" s="52" t="str">
        <f aca="false">IF(A104="","",IF(AND(V104="",W104=""),"Not set",IF(AND(ISNUMBER(V104),ISNUMBER(W104),V104&gt;=1,V104&lt;=5,W104&gt;=1,W104&lt;=5),V104*W104,"Incomplete")))</f>
        <v/>
      </c>
      <c r="Y104" s="52" t="str">
        <f aca="false">IF(A104="","",IF(X104="Not set","Not set",IF(ISNUMBER(X104),LOOKUP(X104,BandMin,BandName),"Incomplete")))</f>
        <v/>
      </c>
      <c r="Z104" s="34"/>
      <c r="AA104" s="54" t="str">
        <f aca="false">IF(A104="","",IF(AppetiteThreshold="","Not configured",IF(NOT(ISNUMBER(R104)),"Cannot assess - residual incomplete",IF(MATCH(S104,BandName,0)&gt;=MATCH(AppetiteThreshold,BandName,0),"Above appetite - escalation required","Within appetite"))))</f>
        <v/>
      </c>
      <c r="AB104" s="50"/>
      <c r="AC104" s="54" t="str">
        <f aca="false">IF(A104="","",IF(AB104="","No decision referenced",IFERROR(INDEX(DEC_FINAL,MATCH(AB104,DEC_ID,0))&amp;" - "&amp;INDEX(DEC_CURR,MATCH(AB104,DEC_ID,0)),"CHECK: Decision ID not found")))</f>
        <v/>
      </c>
      <c r="AD104" s="54" t="str">
        <f aca="false">IF(A104="","",IF(COUNTIF(TRT_RISK,A104)=0,"No treatment recorded",COUNTIF(TRT_RISK,A104)&amp;" action(s); "&amp;COUNTIFS(TRT_RISK,A104,TRT_OPEN,"Open")&amp;" open; "&amp;COUNTIFS(TRT_RISK,A104,TRT_OVERDUE,"Overdue")&amp;" overdue"))</f>
        <v/>
      </c>
      <c r="AE104" s="51"/>
      <c r="AF104" s="51"/>
      <c r="AG104" s="54" t="str">
        <f aca="false">IF(A104="","",IF(AI104="","Complete","Incomplete: "&amp;AI104))</f>
        <v/>
      </c>
      <c r="AH104" s="54" t="str">
        <f aca="false">IF(A104="","",IF(COUNTIF(RSK_ID,A104)&gt;1,"CHECK: duplicate ID",IF(B104="","CHECK: Supplier ID missing",IF(COUNTIF(INV_ID,B104)=0,"CHECK: Supplier ID not in inventory",IF(AND(ISNUMBER(R104),ISNUMBER(L104),R104&gt;L104),"CHECK: residual score exceeds inherent - confirm",IF(AND(ISNUMBER(AF104),AF104&lt;AsOf),"Review overdue (administrative)","OK"))))))</f>
        <v/>
      </c>
      <c r="AI104" s="52" t="str">
        <f aca="false">IF(A104="","",IF(I104="","risk owner; ","")&amp;IF(OR(J104="",K104=""),"inherent rating; ","")&amp;IF(N104="","inherent rationale; ","")&amp;IF(OR(P104="",Q104=""),"residual rating; ","")&amp;IF(AND(OR(P104&lt;&gt;"",Q104&lt;&gt;""),T104=""),"residual rationale; ","")&amp;IF(AND(OR(P104&lt;&gt;"",Q104&lt;&gt;""),U104=""),"assessment confidence; ","")&amp;IF(AE104="","assessment date; ",""))</f>
        <v/>
      </c>
      <c r="AJ104" s="52" t="str">
        <f aca="false">IF(OR(A104="",B104=""),"",IF(B104=RptSup,B104&amp;"|"&amp;COUNTIF($B$7:B104,B104),""))</f>
        <v/>
      </c>
    </row>
    <row r="105" customFormat="false" ht="15" hidden="false" customHeight="false" outlineLevel="0" collapsed="false">
      <c r="A105" s="50"/>
      <c r="B105" s="50"/>
      <c r="C105" s="59" t="str">
        <f aca="false">IF(B105="","",IFERROR(INDEX(INV_NAME,MATCH(B105,INV_ID,0)),"CHECK: Supplier ID not found"))</f>
        <v/>
      </c>
      <c r="D105" s="34"/>
      <c r="E105" s="34"/>
      <c r="F105" s="34"/>
      <c r="G105" s="34"/>
      <c r="H105" s="34"/>
      <c r="I105" s="34"/>
      <c r="J105" s="50"/>
      <c r="K105" s="50"/>
      <c r="L105" s="52" t="str">
        <f aca="false">IF(A105="","",IF(AND(ISNUMBER(J105),ISNUMBER(K105),J105&gt;=1,J105&lt;=5,K105&gt;=1,K105&lt;=5),J105*K105,"Incomplete"))</f>
        <v/>
      </c>
      <c r="M105" s="52" t="str">
        <f aca="false">IF(A105="","",IF(ISNUMBER(L105),LOOKUP(L105,BandMin,BandName),"Incomplete"))</f>
        <v/>
      </c>
      <c r="N105" s="34"/>
      <c r="O105" s="34"/>
      <c r="P105" s="50"/>
      <c r="Q105" s="50"/>
      <c r="R105" s="61" t="str">
        <f aca="false">IF(A105="","",IF(AND(ISNUMBER(P105),ISNUMBER(Q105),P105&gt;=1,P105&lt;=5,Q105&gt;=1,Q105&lt;=5),P105*Q105,"Incomplete"))</f>
        <v/>
      </c>
      <c r="S105" s="52" t="str">
        <f aca="false">IF(A105="","",IF(ISNUMBER(R105),LOOKUP(R105,BandMin,BandName),"Incomplete"))</f>
        <v/>
      </c>
      <c r="T105" s="34"/>
      <c r="U105" s="50"/>
      <c r="V105" s="50"/>
      <c r="W105" s="50"/>
      <c r="X105" s="52" t="str">
        <f aca="false">IF(A105="","",IF(AND(V105="",W105=""),"Not set",IF(AND(ISNUMBER(V105),ISNUMBER(W105),V105&gt;=1,V105&lt;=5,W105&gt;=1,W105&lt;=5),V105*W105,"Incomplete")))</f>
        <v/>
      </c>
      <c r="Y105" s="52" t="str">
        <f aca="false">IF(A105="","",IF(X105="Not set","Not set",IF(ISNUMBER(X105),LOOKUP(X105,BandMin,BandName),"Incomplete")))</f>
        <v/>
      </c>
      <c r="Z105" s="34"/>
      <c r="AA105" s="54" t="str">
        <f aca="false">IF(A105="","",IF(AppetiteThreshold="","Not configured",IF(NOT(ISNUMBER(R105)),"Cannot assess - residual incomplete",IF(MATCH(S105,BandName,0)&gt;=MATCH(AppetiteThreshold,BandName,0),"Above appetite - escalation required","Within appetite"))))</f>
        <v/>
      </c>
      <c r="AB105" s="50"/>
      <c r="AC105" s="54" t="str">
        <f aca="false">IF(A105="","",IF(AB105="","No decision referenced",IFERROR(INDEX(DEC_FINAL,MATCH(AB105,DEC_ID,0))&amp;" - "&amp;INDEX(DEC_CURR,MATCH(AB105,DEC_ID,0)),"CHECK: Decision ID not found")))</f>
        <v/>
      </c>
      <c r="AD105" s="54" t="str">
        <f aca="false">IF(A105="","",IF(COUNTIF(TRT_RISK,A105)=0,"No treatment recorded",COUNTIF(TRT_RISK,A105)&amp;" action(s); "&amp;COUNTIFS(TRT_RISK,A105,TRT_OPEN,"Open")&amp;" open; "&amp;COUNTIFS(TRT_RISK,A105,TRT_OVERDUE,"Overdue")&amp;" overdue"))</f>
        <v/>
      </c>
      <c r="AE105" s="51"/>
      <c r="AF105" s="51"/>
      <c r="AG105" s="54" t="str">
        <f aca="false">IF(A105="","",IF(AI105="","Complete","Incomplete: "&amp;AI105))</f>
        <v/>
      </c>
      <c r="AH105" s="54" t="str">
        <f aca="false">IF(A105="","",IF(COUNTIF(RSK_ID,A105)&gt;1,"CHECK: duplicate ID",IF(B105="","CHECK: Supplier ID missing",IF(COUNTIF(INV_ID,B105)=0,"CHECK: Supplier ID not in inventory",IF(AND(ISNUMBER(R105),ISNUMBER(L105),R105&gt;L105),"CHECK: residual score exceeds inherent - confirm",IF(AND(ISNUMBER(AF105),AF105&lt;AsOf),"Review overdue (administrative)","OK"))))))</f>
        <v/>
      </c>
      <c r="AI105" s="52" t="str">
        <f aca="false">IF(A105="","",IF(I105="","risk owner; ","")&amp;IF(OR(J105="",K105=""),"inherent rating; ","")&amp;IF(N105="","inherent rationale; ","")&amp;IF(OR(P105="",Q105=""),"residual rating; ","")&amp;IF(AND(OR(P105&lt;&gt;"",Q105&lt;&gt;""),T105=""),"residual rationale; ","")&amp;IF(AND(OR(P105&lt;&gt;"",Q105&lt;&gt;""),U105=""),"assessment confidence; ","")&amp;IF(AE105="","assessment date; ",""))</f>
        <v/>
      </c>
      <c r="AJ105" s="52" t="str">
        <f aca="false">IF(OR(A105="",B105=""),"",IF(B105=RptSup,B105&amp;"|"&amp;COUNTIF($B$7:B105,B105),""))</f>
        <v/>
      </c>
    </row>
    <row r="106" customFormat="false" ht="15" hidden="false" customHeight="false" outlineLevel="0" collapsed="false">
      <c r="A106" s="50"/>
      <c r="B106" s="50"/>
      <c r="C106" s="59" t="str">
        <f aca="false">IF(B106="","",IFERROR(INDEX(INV_NAME,MATCH(B106,INV_ID,0)),"CHECK: Supplier ID not found"))</f>
        <v/>
      </c>
      <c r="D106" s="34"/>
      <c r="E106" s="34"/>
      <c r="F106" s="34"/>
      <c r="G106" s="34"/>
      <c r="H106" s="34"/>
      <c r="I106" s="34"/>
      <c r="J106" s="50"/>
      <c r="K106" s="50"/>
      <c r="L106" s="52" t="str">
        <f aca="false">IF(A106="","",IF(AND(ISNUMBER(J106),ISNUMBER(K106),J106&gt;=1,J106&lt;=5,K106&gt;=1,K106&lt;=5),J106*K106,"Incomplete"))</f>
        <v/>
      </c>
      <c r="M106" s="52" t="str">
        <f aca="false">IF(A106="","",IF(ISNUMBER(L106),LOOKUP(L106,BandMin,BandName),"Incomplete"))</f>
        <v/>
      </c>
      <c r="N106" s="34"/>
      <c r="O106" s="34"/>
      <c r="P106" s="50"/>
      <c r="Q106" s="50"/>
      <c r="R106" s="61" t="str">
        <f aca="false">IF(A106="","",IF(AND(ISNUMBER(P106),ISNUMBER(Q106),P106&gt;=1,P106&lt;=5,Q106&gt;=1,Q106&lt;=5),P106*Q106,"Incomplete"))</f>
        <v/>
      </c>
      <c r="S106" s="52" t="str">
        <f aca="false">IF(A106="","",IF(ISNUMBER(R106),LOOKUP(R106,BandMin,BandName),"Incomplete"))</f>
        <v/>
      </c>
      <c r="T106" s="34"/>
      <c r="U106" s="50"/>
      <c r="V106" s="50"/>
      <c r="W106" s="50"/>
      <c r="X106" s="52" t="str">
        <f aca="false">IF(A106="","",IF(AND(V106="",W106=""),"Not set",IF(AND(ISNUMBER(V106),ISNUMBER(W106),V106&gt;=1,V106&lt;=5,W106&gt;=1,W106&lt;=5),V106*W106,"Incomplete")))</f>
        <v/>
      </c>
      <c r="Y106" s="52" t="str">
        <f aca="false">IF(A106="","",IF(X106="Not set","Not set",IF(ISNUMBER(X106),LOOKUP(X106,BandMin,BandName),"Incomplete")))</f>
        <v/>
      </c>
      <c r="Z106" s="34"/>
      <c r="AA106" s="54" t="str">
        <f aca="false">IF(A106="","",IF(AppetiteThreshold="","Not configured",IF(NOT(ISNUMBER(R106)),"Cannot assess - residual incomplete",IF(MATCH(S106,BandName,0)&gt;=MATCH(AppetiteThreshold,BandName,0),"Above appetite - escalation required","Within appetite"))))</f>
        <v/>
      </c>
      <c r="AB106" s="50"/>
      <c r="AC106" s="54" t="str">
        <f aca="false">IF(A106="","",IF(AB106="","No decision referenced",IFERROR(INDEX(DEC_FINAL,MATCH(AB106,DEC_ID,0))&amp;" - "&amp;INDEX(DEC_CURR,MATCH(AB106,DEC_ID,0)),"CHECK: Decision ID not found")))</f>
        <v/>
      </c>
      <c r="AD106" s="54" t="str">
        <f aca="false">IF(A106="","",IF(COUNTIF(TRT_RISK,A106)=0,"No treatment recorded",COUNTIF(TRT_RISK,A106)&amp;" action(s); "&amp;COUNTIFS(TRT_RISK,A106,TRT_OPEN,"Open")&amp;" open; "&amp;COUNTIFS(TRT_RISK,A106,TRT_OVERDUE,"Overdue")&amp;" overdue"))</f>
        <v/>
      </c>
      <c r="AE106" s="51"/>
      <c r="AF106" s="51"/>
      <c r="AG106" s="54" t="str">
        <f aca="false">IF(A106="","",IF(AI106="","Complete","Incomplete: "&amp;AI106))</f>
        <v/>
      </c>
      <c r="AH106" s="54" t="str">
        <f aca="false">IF(A106="","",IF(COUNTIF(RSK_ID,A106)&gt;1,"CHECK: duplicate ID",IF(B106="","CHECK: Supplier ID missing",IF(COUNTIF(INV_ID,B106)=0,"CHECK: Supplier ID not in inventory",IF(AND(ISNUMBER(R106),ISNUMBER(L106),R106&gt;L106),"CHECK: residual score exceeds inherent - confirm",IF(AND(ISNUMBER(AF106),AF106&lt;AsOf),"Review overdue (administrative)","OK"))))))</f>
        <v/>
      </c>
      <c r="AI106" s="52" t="str">
        <f aca="false">IF(A106="","",IF(I106="","risk owner; ","")&amp;IF(OR(J106="",K106=""),"inherent rating; ","")&amp;IF(N106="","inherent rationale; ","")&amp;IF(OR(P106="",Q106=""),"residual rating; ","")&amp;IF(AND(OR(P106&lt;&gt;"",Q106&lt;&gt;""),T106=""),"residual rationale; ","")&amp;IF(AND(OR(P106&lt;&gt;"",Q106&lt;&gt;""),U106=""),"assessment confidence; ","")&amp;IF(AE106="","assessment date; ",""))</f>
        <v/>
      </c>
      <c r="AJ106" s="52" t="str">
        <f aca="false">IF(OR(A106="",B106=""),"",IF(B106=RptSup,B106&amp;"|"&amp;COUNTIF($B$7:B106,B106),""))</f>
        <v/>
      </c>
    </row>
    <row r="107" customFormat="false" ht="15" hidden="false" customHeight="false" outlineLevel="0" collapsed="false">
      <c r="A107" s="50"/>
      <c r="B107" s="50"/>
      <c r="C107" s="59" t="str">
        <f aca="false">IF(B107="","",IFERROR(INDEX(INV_NAME,MATCH(B107,INV_ID,0)),"CHECK: Supplier ID not found"))</f>
        <v/>
      </c>
      <c r="D107" s="34"/>
      <c r="E107" s="34"/>
      <c r="F107" s="34"/>
      <c r="G107" s="34"/>
      <c r="H107" s="34"/>
      <c r="I107" s="34"/>
      <c r="J107" s="50"/>
      <c r="K107" s="50"/>
      <c r="L107" s="52" t="str">
        <f aca="false">IF(A107="","",IF(AND(ISNUMBER(J107),ISNUMBER(K107),J107&gt;=1,J107&lt;=5,K107&gt;=1,K107&lt;=5),J107*K107,"Incomplete"))</f>
        <v/>
      </c>
      <c r="M107" s="52" t="str">
        <f aca="false">IF(A107="","",IF(ISNUMBER(L107),LOOKUP(L107,BandMin,BandName),"Incomplete"))</f>
        <v/>
      </c>
      <c r="N107" s="34"/>
      <c r="O107" s="34"/>
      <c r="P107" s="50"/>
      <c r="Q107" s="50"/>
      <c r="R107" s="61" t="str">
        <f aca="false">IF(A107="","",IF(AND(ISNUMBER(P107),ISNUMBER(Q107),P107&gt;=1,P107&lt;=5,Q107&gt;=1,Q107&lt;=5),P107*Q107,"Incomplete"))</f>
        <v/>
      </c>
      <c r="S107" s="52" t="str">
        <f aca="false">IF(A107="","",IF(ISNUMBER(R107),LOOKUP(R107,BandMin,BandName),"Incomplete"))</f>
        <v/>
      </c>
      <c r="T107" s="34"/>
      <c r="U107" s="50"/>
      <c r="V107" s="50"/>
      <c r="W107" s="50"/>
      <c r="X107" s="52" t="str">
        <f aca="false">IF(A107="","",IF(AND(V107="",W107=""),"Not set",IF(AND(ISNUMBER(V107),ISNUMBER(W107),V107&gt;=1,V107&lt;=5,W107&gt;=1,W107&lt;=5),V107*W107,"Incomplete")))</f>
        <v/>
      </c>
      <c r="Y107" s="52" t="str">
        <f aca="false">IF(A107="","",IF(X107="Not set","Not set",IF(ISNUMBER(X107),LOOKUP(X107,BandMin,BandName),"Incomplete")))</f>
        <v/>
      </c>
      <c r="Z107" s="34"/>
      <c r="AA107" s="54" t="str">
        <f aca="false">IF(A107="","",IF(AppetiteThreshold="","Not configured",IF(NOT(ISNUMBER(R107)),"Cannot assess - residual incomplete",IF(MATCH(S107,BandName,0)&gt;=MATCH(AppetiteThreshold,BandName,0),"Above appetite - escalation required","Within appetite"))))</f>
        <v/>
      </c>
      <c r="AB107" s="50"/>
      <c r="AC107" s="54" t="str">
        <f aca="false">IF(A107="","",IF(AB107="","No decision referenced",IFERROR(INDEX(DEC_FINAL,MATCH(AB107,DEC_ID,0))&amp;" - "&amp;INDEX(DEC_CURR,MATCH(AB107,DEC_ID,0)),"CHECK: Decision ID not found")))</f>
        <v/>
      </c>
      <c r="AD107" s="54" t="str">
        <f aca="false">IF(A107="","",IF(COUNTIF(TRT_RISK,A107)=0,"No treatment recorded",COUNTIF(TRT_RISK,A107)&amp;" action(s); "&amp;COUNTIFS(TRT_RISK,A107,TRT_OPEN,"Open")&amp;" open; "&amp;COUNTIFS(TRT_RISK,A107,TRT_OVERDUE,"Overdue")&amp;" overdue"))</f>
        <v/>
      </c>
      <c r="AE107" s="51"/>
      <c r="AF107" s="51"/>
      <c r="AG107" s="54" t="str">
        <f aca="false">IF(A107="","",IF(AI107="","Complete","Incomplete: "&amp;AI107))</f>
        <v/>
      </c>
      <c r="AH107" s="54" t="str">
        <f aca="false">IF(A107="","",IF(COUNTIF(RSK_ID,A107)&gt;1,"CHECK: duplicate ID",IF(B107="","CHECK: Supplier ID missing",IF(COUNTIF(INV_ID,B107)=0,"CHECK: Supplier ID not in inventory",IF(AND(ISNUMBER(R107),ISNUMBER(L107),R107&gt;L107),"CHECK: residual score exceeds inherent - confirm",IF(AND(ISNUMBER(AF107),AF107&lt;AsOf),"Review overdue (administrative)","OK"))))))</f>
        <v/>
      </c>
      <c r="AI107" s="52" t="str">
        <f aca="false">IF(A107="","",IF(I107="","risk owner; ","")&amp;IF(OR(J107="",K107=""),"inherent rating; ","")&amp;IF(N107="","inherent rationale; ","")&amp;IF(OR(P107="",Q107=""),"residual rating; ","")&amp;IF(AND(OR(P107&lt;&gt;"",Q107&lt;&gt;""),T107=""),"residual rationale; ","")&amp;IF(AND(OR(P107&lt;&gt;"",Q107&lt;&gt;""),U107=""),"assessment confidence; ","")&amp;IF(AE107="","assessment date; ",""))</f>
        <v/>
      </c>
      <c r="AJ107" s="52" t="str">
        <f aca="false">IF(OR(A107="",B107=""),"",IF(B107=RptSup,B107&amp;"|"&amp;COUNTIF($B$7:B107,B107),""))</f>
        <v/>
      </c>
    </row>
    <row r="108" customFormat="false" ht="15" hidden="false" customHeight="false" outlineLevel="0" collapsed="false">
      <c r="A108" s="50"/>
      <c r="B108" s="50"/>
      <c r="C108" s="59" t="str">
        <f aca="false">IF(B108="","",IFERROR(INDEX(INV_NAME,MATCH(B108,INV_ID,0)),"CHECK: Supplier ID not found"))</f>
        <v/>
      </c>
      <c r="D108" s="34"/>
      <c r="E108" s="34"/>
      <c r="F108" s="34"/>
      <c r="G108" s="34"/>
      <c r="H108" s="34"/>
      <c r="I108" s="34"/>
      <c r="J108" s="50"/>
      <c r="K108" s="50"/>
      <c r="L108" s="52" t="str">
        <f aca="false">IF(A108="","",IF(AND(ISNUMBER(J108),ISNUMBER(K108),J108&gt;=1,J108&lt;=5,K108&gt;=1,K108&lt;=5),J108*K108,"Incomplete"))</f>
        <v/>
      </c>
      <c r="M108" s="52" t="str">
        <f aca="false">IF(A108="","",IF(ISNUMBER(L108),LOOKUP(L108,BandMin,BandName),"Incomplete"))</f>
        <v/>
      </c>
      <c r="N108" s="34"/>
      <c r="O108" s="34"/>
      <c r="P108" s="50"/>
      <c r="Q108" s="50"/>
      <c r="R108" s="61" t="str">
        <f aca="false">IF(A108="","",IF(AND(ISNUMBER(P108),ISNUMBER(Q108),P108&gt;=1,P108&lt;=5,Q108&gt;=1,Q108&lt;=5),P108*Q108,"Incomplete"))</f>
        <v/>
      </c>
      <c r="S108" s="52" t="str">
        <f aca="false">IF(A108="","",IF(ISNUMBER(R108),LOOKUP(R108,BandMin,BandName),"Incomplete"))</f>
        <v/>
      </c>
      <c r="T108" s="34"/>
      <c r="U108" s="50"/>
      <c r="V108" s="50"/>
      <c r="W108" s="50"/>
      <c r="X108" s="52" t="str">
        <f aca="false">IF(A108="","",IF(AND(V108="",W108=""),"Not set",IF(AND(ISNUMBER(V108),ISNUMBER(W108),V108&gt;=1,V108&lt;=5,W108&gt;=1,W108&lt;=5),V108*W108,"Incomplete")))</f>
        <v/>
      </c>
      <c r="Y108" s="52" t="str">
        <f aca="false">IF(A108="","",IF(X108="Not set","Not set",IF(ISNUMBER(X108),LOOKUP(X108,BandMin,BandName),"Incomplete")))</f>
        <v/>
      </c>
      <c r="Z108" s="34"/>
      <c r="AA108" s="54" t="str">
        <f aca="false">IF(A108="","",IF(AppetiteThreshold="","Not configured",IF(NOT(ISNUMBER(R108)),"Cannot assess - residual incomplete",IF(MATCH(S108,BandName,0)&gt;=MATCH(AppetiteThreshold,BandName,0),"Above appetite - escalation required","Within appetite"))))</f>
        <v/>
      </c>
      <c r="AB108" s="50"/>
      <c r="AC108" s="54" t="str">
        <f aca="false">IF(A108="","",IF(AB108="","No decision referenced",IFERROR(INDEX(DEC_FINAL,MATCH(AB108,DEC_ID,0))&amp;" - "&amp;INDEX(DEC_CURR,MATCH(AB108,DEC_ID,0)),"CHECK: Decision ID not found")))</f>
        <v/>
      </c>
      <c r="AD108" s="54" t="str">
        <f aca="false">IF(A108="","",IF(COUNTIF(TRT_RISK,A108)=0,"No treatment recorded",COUNTIF(TRT_RISK,A108)&amp;" action(s); "&amp;COUNTIFS(TRT_RISK,A108,TRT_OPEN,"Open")&amp;" open; "&amp;COUNTIFS(TRT_RISK,A108,TRT_OVERDUE,"Overdue")&amp;" overdue"))</f>
        <v/>
      </c>
      <c r="AE108" s="51"/>
      <c r="AF108" s="51"/>
      <c r="AG108" s="54" t="str">
        <f aca="false">IF(A108="","",IF(AI108="","Complete","Incomplete: "&amp;AI108))</f>
        <v/>
      </c>
      <c r="AH108" s="54" t="str">
        <f aca="false">IF(A108="","",IF(COUNTIF(RSK_ID,A108)&gt;1,"CHECK: duplicate ID",IF(B108="","CHECK: Supplier ID missing",IF(COUNTIF(INV_ID,B108)=0,"CHECK: Supplier ID not in inventory",IF(AND(ISNUMBER(R108),ISNUMBER(L108),R108&gt;L108),"CHECK: residual score exceeds inherent - confirm",IF(AND(ISNUMBER(AF108),AF108&lt;AsOf),"Review overdue (administrative)","OK"))))))</f>
        <v/>
      </c>
      <c r="AI108" s="52" t="str">
        <f aca="false">IF(A108="","",IF(I108="","risk owner; ","")&amp;IF(OR(J108="",K108=""),"inherent rating; ","")&amp;IF(N108="","inherent rationale; ","")&amp;IF(OR(P108="",Q108=""),"residual rating; ","")&amp;IF(AND(OR(P108&lt;&gt;"",Q108&lt;&gt;""),T108=""),"residual rationale; ","")&amp;IF(AND(OR(P108&lt;&gt;"",Q108&lt;&gt;""),U108=""),"assessment confidence; ","")&amp;IF(AE108="","assessment date; ",""))</f>
        <v/>
      </c>
      <c r="AJ108" s="52" t="str">
        <f aca="false">IF(OR(A108="",B108=""),"",IF(B108=RptSup,B108&amp;"|"&amp;COUNTIF($B$7:B108,B108),""))</f>
        <v/>
      </c>
    </row>
    <row r="109" customFormat="false" ht="15" hidden="false" customHeight="false" outlineLevel="0" collapsed="false">
      <c r="A109" s="50"/>
      <c r="B109" s="50"/>
      <c r="C109" s="59" t="str">
        <f aca="false">IF(B109="","",IFERROR(INDEX(INV_NAME,MATCH(B109,INV_ID,0)),"CHECK: Supplier ID not found"))</f>
        <v/>
      </c>
      <c r="D109" s="34"/>
      <c r="E109" s="34"/>
      <c r="F109" s="34"/>
      <c r="G109" s="34"/>
      <c r="H109" s="34"/>
      <c r="I109" s="34"/>
      <c r="J109" s="50"/>
      <c r="K109" s="50"/>
      <c r="L109" s="52" t="str">
        <f aca="false">IF(A109="","",IF(AND(ISNUMBER(J109),ISNUMBER(K109),J109&gt;=1,J109&lt;=5,K109&gt;=1,K109&lt;=5),J109*K109,"Incomplete"))</f>
        <v/>
      </c>
      <c r="M109" s="52" t="str">
        <f aca="false">IF(A109="","",IF(ISNUMBER(L109),LOOKUP(L109,BandMin,BandName),"Incomplete"))</f>
        <v/>
      </c>
      <c r="N109" s="34"/>
      <c r="O109" s="34"/>
      <c r="P109" s="50"/>
      <c r="Q109" s="50"/>
      <c r="R109" s="61" t="str">
        <f aca="false">IF(A109="","",IF(AND(ISNUMBER(P109),ISNUMBER(Q109),P109&gt;=1,P109&lt;=5,Q109&gt;=1,Q109&lt;=5),P109*Q109,"Incomplete"))</f>
        <v/>
      </c>
      <c r="S109" s="52" t="str">
        <f aca="false">IF(A109="","",IF(ISNUMBER(R109),LOOKUP(R109,BandMin,BandName),"Incomplete"))</f>
        <v/>
      </c>
      <c r="T109" s="34"/>
      <c r="U109" s="50"/>
      <c r="V109" s="50"/>
      <c r="W109" s="50"/>
      <c r="X109" s="52" t="str">
        <f aca="false">IF(A109="","",IF(AND(V109="",W109=""),"Not set",IF(AND(ISNUMBER(V109),ISNUMBER(W109),V109&gt;=1,V109&lt;=5,W109&gt;=1,W109&lt;=5),V109*W109,"Incomplete")))</f>
        <v/>
      </c>
      <c r="Y109" s="52" t="str">
        <f aca="false">IF(A109="","",IF(X109="Not set","Not set",IF(ISNUMBER(X109),LOOKUP(X109,BandMin,BandName),"Incomplete")))</f>
        <v/>
      </c>
      <c r="Z109" s="34"/>
      <c r="AA109" s="54" t="str">
        <f aca="false">IF(A109="","",IF(AppetiteThreshold="","Not configured",IF(NOT(ISNUMBER(R109)),"Cannot assess - residual incomplete",IF(MATCH(S109,BandName,0)&gt;=MATCH(AppetiteThreshold,BandName,0),"Above appetite - escalation required","Within appetite"))))</f>
        <v/>
      </c>
      <c r="AB109" s="50"/>
      <c r="AC109" s="54" t="str">
        <f aca="false">IF(A109="","",IF(AB109="","No decision referenced",IFERROR(INDEX(DEC_FINAL,MATCH(AB109,DEC_ID,0))&amp;" - "&amp;INDEX(DEC_CURR,MATCH(AB109,DEC_ID,0)),"CHECK: Decision ID not found")))</f>
        <v/>
      </c>
      <c r="AD109" s="54" t="str">
        <f aca="false">IF(A109="","",IF(COUNTIF(TRT_RISK,A109)=0,"No treatment recorded",COUNTIF(TRT_RISK,A109)&amp;" action(s); "&amp;COUNTIFS(TRT_RISK,A109,TRT_OPEN,"Open")&amp;" open; "&amp;COUNTIFS(TRT_RISK,A109,TRT_OVERDUE,"Overdue")&amp;" overdue"))</f>
        <v/>
      </c>
      <c r="AE109" s="51"/>
      <c r="AF109" s="51"/>
      <c r="AG109" s="54" t="str">
        <f aca="false">IF(A109="","",IF(AI109="","Complete","Incomplete: "&amp;AI109))</f>
        <v/>
      </c>
      <c r="AH109" s="54" t="str">
        <f aca="false">IF(A109="","",IF(COUNTIF(RSK_ID,A109)&gt;1,"CHECK: duplicate ID",IF(B109="","CHECK: Supplier ID missing",IF(COUNTIF(INV_ID,B109)=0,"CHECK: Supplier ID not in inventory",IF(AND(ISNUMBER(R109),ISNUMBER(L109),R109&gt;L109),"CHECK: residual score exceeds inherent - confirm",IF(AND(ISNUMBER(AF109),AF109&lt;AsOf),"Review overdue (administrative)","OK"))))))</f>
        <v/>
      </c>
      <c r="AI109" s="52" t="str">
        <f aca="false">IF(A109="","",IF(I109="","risk owner; ","")&amp;IF(OR(J109="",K109=""),"inherent rating; ","")&amp;IF(N109="","inherent rationale; ","")&amp;IF(OR(P109="",Q109=""),"residual rating; ","")&amp;IF(AND(OR(P109&lt;&gt;"",Q109&lt;&gt;""),T109=""),"residual rationale; ","")&amp;IF(AND(OR(P109&lt;&gt;"",Q109&lt;&gt;""),U109=""),"assessment confidence; ","")&amp;IF(AE109="","assessment date; ",""))</f>
        <v/>
      </c>
      <c r="AJ109" s="52" t="str">
        <f aca="false">IF(OR(A109="",B109=""),"",IF(B109=RptSup,B109&amp;"|"&amp;COUNTIF($B$7:B109,B109),""))</f>
        <v/>
      </c>
    </row>
    <row r="110" customFormat="false" ht="15" hidden="false" customHeight="false" outlineLevel="0" collapsed="false">
      <c r="A110" s="50"/>
      <c r="B110" s="50"/>
      <c r="C110" s="59" t="str">
        <f aca="false">IF(B110="","",IFERROR(INDEX(INV_NAME,MATCH(B110,INV_ID,0)),"CHECK: Supplier ID not found"))</f>
        <v/>
      </c>
      <c r="D110" s="34"/>
      <c r="E110" s="34"/>
      <c r="F110" s="34"/>
      <c r="G110" s="34"/>
      <c r="H110" s="34"/>
      <c r="I110" s="34"/>
      <c r="J110" s="50"/>
      <c r="K110" s="50"/>
      <c r="L110" s="52" t="str">
        <f aca="false">IF(A110="","",IF(AND(ISNUMBER(J110),ISNUMBER(K110),J110&gt;=1,J110&lt;=5,K110&gt;=1,K110&lt;=5),J110*K110,"Incomplete"))</f>
        <v/>
      </c>
      <c r="M110" s="52" t="str">
        <f aca="false">IF(A110="","",IF(ISNUMBER(L110),LOOKUP(L110,BandMin,BandName),"Incomplete"))</f>
        <v/>
      </c>
      <c r="N110" s="34"/>
      <c r="O110" s="34"/>
      <c r="P110" s="50"/>
      <c r="Q110" s="50"/>
      <c r="R110" s="61" t="str">
        <f aca="false">IF(A110="","",IF(AND(ISNUMBER(P110),ISNUMBER(Q110),P110&gt;=1,P110&lt;=5,Q110&gt;=1,Q110&lt;=5),P110*Q110,"Incomplete"))</f>
        <v/>
      </c>
      <c r="S110" s="52" t="str">
        <f aca="false">IF(A110="","",IF(ISNUMBER(R110),LOOKUP(R110,BandMin,BandName),"Incomplete"))</f>
        <v/>
      </c>
      <c r="T110" s="34"/>
      <c r="U110" s="50"/>
      <c r="V110" s="50"/>
      <c r="W110" s="50"/>
      <c r="X110" s="52" t="str">
        <f aca="false">IF(A110="","",IF(AND(V110="",W110=""),"Not set",IF(AND(ISNUMBER(V110),ISNUMBER(W110),V110&gt;=1,V110&lt;=5,W110&gt;=1,W110&lt;=5),V110*W110,"Incomplete")))</f>
        <v/>
      </c>
      <c r="Y110" s="52" t="str">
        <f aca="false">IF(A110="","",IF(X110="Not set","Not set",IF(ISNUMBER(X110),LOOKUP(X110,BandMin,BandName),"Incomplete")))</f>
        <v/>
      </c>
      <c r="Z110" s="34"/>
      <c r="AA110" s="54" t="str">
        <f aca="false">IF(A110="","",IF(AppetiteThreshold="","Not configured",IF(NOT(ISNUMBER(R110)),"Cannot assess - residual incomplete",IF(MATCH(S110,BandName,0)&gt;=MATCH(AppetiteThreshold,BandName,0),"Above appetite - escalation required","Within appetite"))))</f>
        <v/>
      </c>
      <c r="AB110" s="50"/>
      <c r="AC110" s="54" t="str">
        <f aca="false">IF(A110="","",IF(AB110="","No decision referenced",IFERROR(INDEX(DEC_FINAL,MATCH(AB110,DEC_ID,0))&amp;" - "&amp;INDEX(DEC_CURR,MATCH(AB110,DEC_ID,0)),"CHECK: Decision ID not found")))</f>
        <v/>
      </c>
      <c r="AD110" s="54" t="str">
        <f aca="false">IF(A110="","",IF(COUNTIF(TRT_RISK,A110)=0,"No treatment recorded",COUNTIF(TRT_RISK,A110)&amp;" action(s); "&amp;COUNTIFS(TRT_RISK,A110,TRT_OPEN,"Open")&amp;" open; "&amp;COUNTIFS(TRT_RISK,A110,TRT_OVERDUE,"Overdue")&amp;" overdue"))</f>
        <v/>
      </c>
      <c r="AE110" s="51"/>
      <c r="AF110" s="51"/>
      <c r="AG110" s="54" t="str">
        <f aca="false">IF(A110="","",IF(AI110="","Complete","Incomplete: "&amp;AI110))</f>
        <v/>
      </c>
      <c r="AH110" s="54" t="str">
        <f aca="false">IF(A110="","",IF(COUNTIF(RSK_ID,A110)&gt;1,"CHECK: duplicate ID",IF(B110="","CHECK: Supplier ID missing",IF(COUNTIF(INV_ID,B110)=0,"CHECK: Supplier ID not in inventory",IF(AND(ISNUMBER(R110),ISNUMBER(L110),R110&gt;L110),"CHECK: residual score exceeds inherent - confirm",IF(AND(ISNUMBER(AF110),AF110&lt;AsOf),"Review overdue (administrative)","OK"))))))</f>
        <v/>
      </c>
      <c r="AI110" s="52" t="str">
        <f aca="false">IF(A110="","",IF(I110="","risk owner; ","")&amp;IF(OR(J110="",K110=""),"inherent rating; ","")&amp;IF(N110="","inherent rationale; ","")&amp;IF(OR(P110="",Q110=""),"residual rating; ","")&amp;IF(AND(OR(P110&lt;&gt;"",Q110&lt;&gt;""),T110=""),"residual rationale; ","")&amp;IF(AND(OR(P110&lt;&gt;"",Q110&lt;&gt;""),U110=""),"assessment confidence; ","")&amp;IF(AE110="","assessment date; ",""))</f>
        <v/>
      </c>
      <c r="AJ110" s="52" t="str">
        <f aca="false">IF(OR(A110="",B110=""),"",IF(B110=RptSup,B110&amp;"|"&amp;COUNTIF($B$7:B110,B110),""))</f>
        <v/>
      </c>
    </row>
    <row r="111" customFormat="false" ht="15" hidden="false" customHeight="false" outlineLevel="0" collapsed="false">
      <c r="A111" s="50"/>
      <c r="B111" s="50"/>
      <c r="C111" s="59" t="str">
        <f aca="false">IF(B111="","",IFERROR(INDEX(INV_NAME,MATCH(B111,INV_ID,0)),"CHECK: Supplier ID not found"))</f>
        <v/>
      </c>
      <c r="D111" s="34"/>
      <c r="E111" s="34"/>
      <c r="F111" s="34"/>
      <c r="G111" s="34"/>
      <c r="H111" s="34"/>
      <c r="I111" s="34"/>
      <c r="J111" s="50"/>
      <c r="K111" s="50"/>
      <c r="L111" s="52" t="str">
        <f aca="false">IF(A111="","",IF(AND(ISNUMBER(J111),ISNUMBER(K111),J111&gt;=1,J111&lt;=5,K111&gt;=1,K111&lt;=5),J111*K111,"Incomplete"))</f>
        <v/>
      </c>
      <c r="M111" s="52" t="str">
        <f aca="false">IF(A111="","",IF(ISNUMBER(L111),LOOKUP(L111,BandMin,BandName),"Incomplete"))</f>
        <v/>
      </c>
      <c r="N111" s="34"/>
      <c r="O111" s="34"/>
      <c r="P111" s="50"/>
      <c r="Q111" s="50"/>
      <c r="R111" s="61" t="str">
        <f aca="false">IF(A111="","",IF(AND(ISNUMBER(P111),ISNUMBER(Q111),P111&gt;=1,P111&lt;=5,Q111&gt;=1,Q111&lt;=5),P111*Q111,"Incomplete"))</f>
        <v/>
      </c>
      <c r="S111" s="52" t="str">
        <f aca="false">IF(A111="","",IF(ISNUMBER(R111),LOOKUP(R111,BandMin,BandName),"Incomplete"))</f>
        <v/>
      </c>
      <c r="T111" s="34"/>
      <c r="U111" s="50"/>
      <c r="V111" s="50"/>
      <c r="W111" s="50"/>
      <c r="X111" s="52" t="str">
        <f aca="false">IF(A111="","",IF(AND(V111="",W111=""),"Not set",IF(AND(ISNUMBER(V111),ISNUMBER(W111),V111&gt;=1,V111&lt;=5,W111&gt;=1,W111&lt;=5),V111*W111,"Incomplete")))</f>
        <v/>
      </c>
      <c r="Y111" s="52" t="str">
        <f aca="false">IF(A111="","",IF(X111="Not set","Not set",IF(ISNUMBER(X111),LOOKUP(X111,BandMin,BandName),"Incomplete")))</f>
        <v/>
      </c>
      <c r="Z111" s="34"/>
      <c r="AA111" s="54" t="str">
        <f aca="false">IF(A111="","",IF(AppetiteThreshold="","Not configured",IF(NOT(ISNUMBER(R111)),"Cannot assess - residual incomplete",IF(MATCH(S111,BandName,0)&gt;=MATCH(AppetiteThreshold,BandName,0),"Above appetite - escalation required","Within appetite"))))</f>
        <v/>
      </c>
      <c r="AB111" s="50"/>
      <c r="AC111" s="54" t="str">
        <f aca="false">IF(A111="","",IF(AB111="","No decision referenced",IFERROR(INDEX(DEC_FINAL,MATCH(AB111,DEC_ID,0))&amp;" - "&amp;INDEX(DEC_CURR,MATCH(AB111,DEC_ID,0)),"CHECK: Decision ID not found")))</f>
        <v/>
      </c>
      <c r="AD111" s="54" t="str">
        <f aca="false">IF(A111="","",IF(COUNTIF(TRT_RISK,A111)=0,"No treatment recorded",COUNTIF(TRT_RISK,A111)&amp;" action(s); "&amp;COUNTIFS(TRT_RISK,A111,TRT_OPEN,"Open")&amp;" open; "&amp;COUNTIFS(TRT_RISK,A111,TRT_OVERDUE,"Overdue")&amp;" overdue"))</f>
        <v/>
      </c>
      <c r="AE111" s="51"/>
      <c r="AF111" s="51"/>
      <c r="AG111" s="54" t="str">
        <f aca="false">IF(A111="","",IF(AI111="","Complete","Incomplete: "&amp;AI111))</f>
        <v/>
      </c>
      <c r="AH111" s="54" t="str">
        <f aca="false">IF(A111="","",IF(COUNTIF(RSK_ID,A111)&gt;1,"CHECK: duplicate ID",IF(B111="","CHECK: Supplier ID missing",IF(COUNTIF(INV_ID,B111)=0,"CHECK: Supplier ID not in inventory",IF(AND(ISNUMBER(R111),ISNUMBER(L111),R111&gt;L111),"CHECK: residual score exceeds inherent - confirm",IF(AND(ISNUMBER(AF111),AF111&lt;AsOf),"Review overdue (administrative)","OK"))))))</f>
        <v/>
      </c>
      <c r="AI111" s="52" t="str">
        <f aca="false">IF(A111="","",IF(I111="","risk owner; ","")&amp;IF(OR(J111="",K111=""),"inherent rating; ","")&amp;IF(N111="","inherent rationale; ","")&amp;IF(OR(P111="",Q111=""),"residual rating; ","")&amp;IF(AND(OR(P111&lt;&gt;"",Q111&lt;&gt;""),T111=""),"residual rationale; ","")&amp;IF(AND(OR(P111&lt;&gt;"",Q111&lt;&gt;""),U111=""),"assessment confidence; ","")&amp;IF(AE111="","assessment date; ",""))</f>
        <v/>
      </c>
      <c r="AJ111" s="52" t="str">
        <f aca="false">IF(OR(A111="",B111=""),"",IF(B111=RptSup,B111&amp;"|"&amp;COUNTIF($B$7:B111,B111),""))</f>
        <v/>
      </c>
    </row>
    <row r="112" customFormat="false" ht="15" hidden="false" customHeight="false" outlineLevel="0" collapsed="false">
      <c r="A112" s="50"/>
      <c r="B112" s="50"/>
      <c r="C112" s="59" t="str">
        <f aca="false">IF(B112="","",IFERROR(INDEX(INV_NAME,MATCH(B112,INV_ID,0)),"CHECK: Supplier ID not found"))</f>
        <v/>
      </c>
      <c r="D112" s="34"/>
      <c r="E112" s="34"/>
      <c r="F112" s="34"/>
      <c r="G112" s="34"/>
      <c r="H112" s="34"/>
      <c r="I112" s="34"/>
      <c r="J112" s="50"/>
      <c r="K112" s="50"/>
      <c r="L112" s="52" t="str">
        <f aca="false">IF(A112="","",IF(AND(ISNUMBER(J112),ISNUMBER(K112),J112&gt;=1,J112&lt;=5,K112&gt;=1,K112&lt;=5),J112*K112,"Incomplete"))</f>
        <v/>
      </c>
      <c r="M112" s="52" t="str">
        <f aca="false">IF(A112="","",IF(ISNUMBER(L112),LOOKUP(L112,BandMin,BandName),"Incomplete"))</f>
        <v/>
      </c>
      <c r="N112" s="34"/>
      <c r="O112" s="34"/>
      <c r="P112" s="50"/>
      <c r="Q112" s="50"/>
      <c r="R112" s="61" t="str">
        <f aca="false">IF(A112="","",IF(AND(ISNUMBER(P112),ISNUMBER(Q112),P112&gt;=1,P112&lt;=5,Q112&gt;=1,Q112&lt;=5),P112*Q112,"Incomplete"))</f>
        <v/>
      </c>
      <c r="S112" s="52" t="str">
        <f aca="false">IF(A112="","",IF(ISNUMBER(R112),LOOKUP(R112,BandMin,BandName),"Incomplete"))</f>
        <v/>
      </c>
      <c r="T112" s="34"/>
      <c r="U112" s="50"/>
      <c r="V112" s="50"/>
      <c r="W112" s="50"/>
      <c r="X112" s="52" t="str">
        <f aca="false">IF(A112="","",IF(AND(V112="",W112=""),"Not set",IF(AND(ISNUMBER(V112),ISNUMBER(W112),V112&gt;=1,V112&lt;=5,W112&gt;=1,W112&lt;=5),V112*W112,"Incomplete")))</f>
        <v/>
      </c>
      <c r="Y112" s="52" t="str">
        <f aca="false">IF(A112="","",IF(X112="Not set","Not set",IF(ISNUMBER(X112),LOOKUP(X112,BandMin,BandName),"Incomplete")))</f>
        <v/>
      </c>
      <c r="Z112" s="34"/>
      <c r="AA112" s="54" t="str">
        <f aca="false">IF(A112="","",IF(AppetiteThreshold="","Not configured",IF(NOT(ISNUMBER(R112)),"Cannot assess - residual incomplete",IF(MATCH(S112,BandName,0)&gt;=MATCH(AppetiteThreshold,BandName,0),"Above appetite - escalation required","Within appetite"))))</f>
        <v/>
      </c>
      <c r="AB112" s="50"/>
      <c r="AC112" s="54" t="str">
        <f aca="false">IF(A112="","",IF(AB112="","No decision referenced",IFERROR(INDEX(DEC_FINAL,MATCH(AB112,DEC_ID,0))&amp;" - "&amp;INDEX(DEC_CURR,MATCH(AB112,DEC_ID,0)),"CHECK: Decision ID not found")))</f>
        <v/>
      </c>
      <c r="AD112" s="54" t="str">
        <f aca="false">IF(A112="","",IF(COUNTIF(TRT_RISK,A112)=0,"No treatment recorded",COUNTIF(TRT_RISK,A112)&amp;" action(s); "&amp;COUNTIFS(TRT_RISK,A112,TRT_OPEN,"Open")&amp;" open; "&amp;COUNTIFS(TRT_RISK,A112,TRT_OVERDUE,"Overdue")&amp;" overdue"))</f>
        <v/>
      </c>
      <c r="AE112" s="51"/>
      <c r="AF112" s="51"/>
      <c r="AG112" s="54" t="str">
        <f aca="false">IF(A112="","",IF(AI112="","Complete","Incomplete: "&amp;AI112))</f>
        <v/>
      </c>
      <c r="AH112" s="54" t="str">
        <f aca="false">IF(A112="","",IF(COUNTIF(RSK_ID,A112)&gt;1,"CHECK: duplicate ID",IF(B112="","CHECK: Supplier ID missing",IF(COUNTIF(INV_ID,B112)=0,"CHECK: Supplier ID not in inventory",IF(AND(ISNUMBER(R112),ISNUMBER(L112),R112&gt;L112),"CHECK: residual score exceeds inherent - confirm",IF(AND(ISNUMBER(AF112),AF112&lt;AsOf),"Review overdue (administrative)","OK"))))))</f>
        <v/>
      </c>
      <c r="AI112" s="52" t="str">
        <f aca="false">IF(A112="","",IF(I112="","risk owner; ","")&amp;IF(OR(J112="",K112=""),"inherent rating; ","")&amp;IF(N112="","inherent rationale; ","")&amp;IF(OR(P112="",Q112=""),"residual rating; ","")&amp;IF(AND(OR(P112&lt;&gt;"",Q112&lt;&gt;""),T112=""),"residual rationale; ","")&amp;IF(AND(OR(P112&lt;&gt;"",Q112&lt;&gt;""),U112=""),"assessment confidence; ","")&amp;IF(AE112="","assessment date; ",""))</f>
        <v/>
      </c>
      <c r="AJ112" s="52" t="str">
        <f aca="false">IF(OR(A112="",B112=""),"",IF(B112=RptSup,B112&amp;"|"&amp;COUNTIF($B$7:B112,B112),""))</f>
        <v/>
      </c>
    </row>
    <row r="113" customFormat="false" ht="15" hidden="false" customHeight="false" outlineLevel="0" collapsed="false">
      <c r="A113" s="50"/>
      <c r="B113" s="50"/>
      <c r="C113" s="59" t="str">
        <f aca="false">IF(B113="","",IFERROR(INDEX(INV_NAME,MATCH(B113,INV_ID,0)),"CHECK: Supplier ID not found"))</f>
        <v/>
      </c>
      <c r="D113" s="34"/>
      <c r="E113" s="34"/>
      <c r="F113" s="34"/>
      <c r="G113" s="34"/>
      <c r="H113" s="34"/>
      <c r="I113" s="34"/>
      <c r="J113" s="50"/>
      <c r="K113" s="50"/>
      <c r="L113" s="52" t="str">
        <f aca="false">IF(A113="","",IF(AND(ISNUMBER(J113),ISNUMBER(K113),J113&gt;=1,J113&lt;=5,K113&gt;=1,K113&lt;=5),J113*K113,"Incomplete"))</f>
        <v/>
      </c>
      <c r="M113" s="52" t="str">
        <f aca="false">IF(A113="","",IF(ISNUMBER(L113),LOOKUP(L113,BandMin,BandName),"Incomplete"))</f>
        <v/>
      </c>
      <c r="N113" s="34"/>
      <c r="O113" s="34"/>
      <c r="P113" s="50"/>
      <c r="Q113" s="50"/>
      <c r="R113" s="61" t="str">
        <f aca="false">IF(A113="","",IF(AND(ISNUMBER(P113),ISNUMBER(Q113),P113&gt;=1,P113&lt;=5,Q113&gt;=1,Q113&lt;=5),P113*Q113,"Incomplete"))</f>
        <v/>
      </c>
      <c r="S113" s="52" t="str">
        <f aca="false">IF(A113="","",IF(ISNUMBER(R113),LOOKUP(R113,BandMin,BandName),"Incomplete"))</f>
        <v/>
      </c>
      <c r="T113" s="34"/>
      <c r="U113" s="50"/>
      <c r="V113" s="50"/>
      <c r="W113" s="50"/>
      <c r="X113" s="52" t="str">
        <f aca="false">IF(A113="","",IF(AND(V113="",W113=""),"Not set",IF(AND(ISNUMBER(V113),ISNUMBER(W113),V113&gt;=1,V113&lt;=5,W113&gt;=1,W113&lt;=5),V113*W113,"Incomplete")))</f>
        <v/>
      </c>
      <c r="Y113" s="52" t="str">
        <f aca="false">IF(A113="","",IF(X113="Not set","Not set",IF(ISNUMBER(X113),LOOKUP(X113,BandMin,BandName),"Incomplete")))</f>
        <v/>
      </c>
      <c r="Z113" s="34"/>
      <c r="AA113" s="54" t="str">
        <f aca="false">IF(A113="","",IF(AppetiteThreshold="","Not configured",IF(NOT(ISNUMBER(R113)),"Cannot assess - residual incomplete",IF(MATCH(S113,BandName,0)&gt;=MATCH(AppetiteThreshold,BandName,0),"Above appetite - escalation required","Within appetite"))))</f>
        <v/>
      </c>
      <c r="AB113" s="50"/>
      <c r="AC113" s="54" t="str">
        <f aca="false">IF(A113="","",IF(AB113="","No decision referenced",IFERROR(INDEX(DEC_FINAL,MATCH(AB113,DEC_ID,0))&amp;" - "&amp;INDEX(DEC_CURR,MATCH(AB113,DEC_ID,0)),"CHECK: Decision ID not found")))</f>
        <v/>
      </c>
      <c r="AD113" s="54" t="str">
        <f aca="false">IF(A113="","",IF(COUNTIF(TRT_RISK,A113)=0,"No treatment recorded",COUNTIF(TRT_RISK,A113)&amp;" action(s); "&amp;COUNTIFS(TRT_RISK,A113,TRT_OPEN,"Open")&amp;" open; "&amp;COUNTIFS(TRT_RISK,A113,TRT_OVERDUE,"Overdue")&amp;" overdue"))</f>
        <v/>
      </c>
      <c r="AE113" s="51"/>
      <c r="AF113" s="51"/>
      <c r="AG113" s="54" t="str">
        <f aca="false">IF(A113="","",IF(AI113="","Complete","Incomplete: "&amp;AI113))</f>
        <v/>
      </c>
      <c r="AH113" s="54" t="str">
        <f aca="false">IF(A113="","",IF(COUNTIF(RSK_ID,A113)&gt;1,"CHECK: duplicate ID",IF(B113="","CHECK: Supplier ID missing",IF(COUNTIF(INV_ID,B113)=0,"CHECK: Supplier ID not in inventory",IF(AND(ISNUMBER(R113),ISNUMBER(L113),R113&gt;L113),"CHECK: residual score exceeds inherent - confirm",IF(AND(ISNUMBER(AF113),AF113&lt;AsOf),"Review overdue (administrative)","OK"))))))</f>
        <v/>
      </c>
      <c r="AI113" s="52" t="str">
        <f aca="false">IF(A113="","",IF(I113="","risk owner; ","")&amp;IF(OR(J113="",K113=""),"inherent rating; ","")&amp;IF(N113="","inherent rationale; ","")&amp;IF(OR(P113="",Q113=""),"residual rating; ","")&amp;IF(AND(OR(P113&lt;&gt;"",Q113&lt;&gt;""),T113=""),"residual rationale; ","")&amp;IF(AND(OR(P113&lt;&gt;"",Q113&lt;&gt;""),U113=""),"assessment confidence; ","")&amp;IF(AE113="","assessment date; ",""))</f>
        <v/>
      </c>
      <c r="AJ113" s="52" t="str">
        <f aca="false">IF(OR(A113="",B113=""),"",IF(B113=RptSup,B113&amp;"|"&amp;COUNTIF($B$7:B113,B113),""))</f>
        <v/>
      </c>
    </row>
    <row r="114" customFormat="false" ht="15" hidden="false" customHeight="false" outlineLevel="0" collapsed="false">
      <c r="A114" s="50"/>
      <c r="B114" s="50"/>
      <c r="C114" s="59" t="str">
        <f aca="false">IF(B114="","",IFERROR(INDEX(INV_NAME,MATCH(B114,INV_ID,0)),"CHECK: Supplier ID not found"))</f>
        <v/>
      </c>
      <c r="D114" s="34"/>
      <c r="E114" s="34"/>
      <c r="F114" s="34"/>
      <c r="G114" s="34"/>
      <c r="H114" s="34"/>
      <c r="I114" s="34"/>
      <c r="J114" s="50"/>
      <c r="K114" s="50"/>
      <c r="L114" s="52" t="str">
        <f aca="false">IF(A114="","",IF(AND(ISNUMBER(J114),ISNUMBER(K114),J114&gt;=1,J114&lt;=5,K114&gt;=1,K114&lt;=5),J114*K114,"Incomplete"))</f>
        <v/>
      </c>
      <c r="M114" s="52" t="str">
        <f aca="false">IF(A114="","",IF(ISNUMBER(L114),LOOKUP(L114,BandMin,BandName),"Incomplete"))</f>
        <v/>
      </c>
      <c r="N114" s="34"/>
      <c r="O114" s="34"/>
      <c r="P114" s="50"/>
      <c r="Q114" s="50"/>
      <c r="R114" s="61" t="str">
        <f aca="false">IF(A114="","",IF(AND(ISNUMBER(P114),ISNUMBER(Q114),P114&gt;=1,P114&lt;=5,Q114&gt;=1,Q114&lt;=5),P114*Q114,"Incomplete"))</f>
        <v/>
      </c>
      <c r="S114" s="52" t="str">
        <f aca="false">IF(A114="","",IF(ISNUMBER(R114),LOOKUP(R114,BandMin,BandName),"Incomplete"))</f>
        <v/>
      </c>
      <c r="T114" s="34"/>
      <c r="U114" s="50"/>
      <c r="V114" s="50"/>
      <c r="W114" s="50"/>
      <c r="X114" s="52" t="str">
        <f aca="false">IF(A114="","",IF(AND(V114="",W114=""),"Not set",IF(AND(ISNUMBER(V114),ISNUMBER(W114),V114&gt;=1,V114&lt;=5,W114&gt;=1,W114&lt;=5),V114*W114,"Incomplete")))</f>
        <v/>
      </c>
      <c r="Y114" s="52" t="str">
        <f aca="false">IF(A114="","",IF(X114="Not set","Not set",IF(ISNUMBER(X114),LOOKUP(X114,BandMin,BandName),"Incomplete")))</f>
        <v/>
      </c>
      <c r="Z114" s="34"/>
      <c r="AA114" s="54" t="str">
        <f aca="false">IF(A114="","",IF(AppetiteThreshold="","Not configured",IF(NOT(ISNUMBER(R114)),"Cannot assess - residual incomplete",IF(MATCH(S114,BandName,0)&gt;=MATCH(AppetiteThreshold,BandName,0),"Above appetite - escalation required","Within appetite"))))</f>
        <v/>
      </c>
      <c r="AB114" s="50"/>
      <c r="AC114" s="54" t="str">
        <f aca="false">IF(A114="","",IF(AB114="","No decision referenced",IFERROR(INDEX(DEC_FINAL,MATCH(AB114,DEC_ID,0))&amp;" - "&amp;INDEX(DEC_CURR,MATCH(AB114,DEC_ID,0)),"CHECK: Decision ID not found")))</f>
        <v/>
      </c>
      <c r="AD114" s="54" t="str">
        <f aca="false">IF(A114="","",IF(COUNTIF(TRT_RISK,A114)=0,"No treatment recorded",COUNTIF(TRT_RISK,A114)&amp;" action(s); "&amp;COUNTIFS(TRT_RISK,A114,TRT_OPEN,"Open")&amp;" open; "&amp;COUNTIFS(TRT_RISK,A114,TRT_OVERDUE,"Overdue")&amp;" overdue"))</f>
        <v/>
      </c>
      <c r="AE114" s="51"/>
      <c r="AF114" s="51"/>
      <c r="AG114" s="54" t="str">
        <f aca="false">IF(A114="","",IF(AI114="","Complete","Incomplete: "&amp;AI114))</f>
        <v/>
      </c>
      <c r="AH114" s="54" t="str">
        <f aca="false">IF(A114="","",IF(COUNTIF(RSK_ID,A114)&gt;1,"CHECK: duplicate ID",IF(B114="","CHECK: Supplier ID missing",IF(COUNTIF(INV_ID,B114)=0,"CHECK: Supplier ID not in inventory",IF(AND(ISNUMBER(R114),ISNUMBER(L114),R114&gt;L114),"CHECK: residual score exceeds inherent - confirm",IF(AND(ISNUMBER(AF114),AF114&lt;AsOf),"Review overdue (administrative)","OK"))))))</f>
        <v/>
      </c>
      <c r="AI114" s="52" t="str">
        <f aca="false">IF(A114="","",IF(I114="","risk owner; ","")&amp;IF(OR(J114="",K114=""),"inherent rating; ","")&amp;IF(N114="","inherent rationale; ","")&amp;IF(OR(P114="",Q114=""),"residual rating; ","")&amp;IF(AND(OR(P114&lt;&gt;"",Q114&lt;&gt;""),T114=""),"residual rationale; ","")&amp;IF(AND(OR(P114&lt;&gt;"",Q114&lt;&gt;""),U114=""),"assessment confidence; ","")&amp;IF(AE114="","assessment date; ",""))</f>
        <v/>
      </c>
      <c r="AJ114" s="52" t="str">
        <f aca="false">IF(OR(A114="",B114=""),"",IF(B114=RptSup,B114&amp;"|"&amp;COUNTIF($B$7:B114,B114),""))</f>
        <v/>
      </c>
    </row>
    <row r="115" customFormat="false" ht="15" hidden="false" customHeight="false" outlineLevel="0" collapsed="false">
      <c r="A115" s="50"/>
      <c r="B115" s="50"/>
      <c r="C115" s="59" t="str">
        <f aca="false">IF(B115="","",IFERROR(INDEX(INV_NAME,MATCH(B115,INV_ID,0)),"CHECK: Supplier ID not found"))</f>
        <v/>
      </c>
      <c r="D115" s="34"/>
      <c r="E115" s="34"/>
      <c r="F115" s="34"/>
      <c r="G115" s="34"/>
      <c r="H115" s="34"/>
      <c r="I115" s="34"/>
      <c r="J115" s="50"/>
      <c r="K115" s="50"/>
      <c r="L115" s="52" t="str">
        <f aca="false">IF(A115="","",IF(AND(ISNUMBER(J115),ISNUMBER(K115),J115&gt;=1,J115&lt;=5,K115&gt;=1,K115&lt;=5),J115*K115,"Incomplete"))</f>
        <v/>
      </c>
      <c r="M115" s="52" t="str">
        <f aca="false">IF(A115="","",IF(ISNUMBER(L115),LOOKUP(L115,BandMin,BandName),"Incomplete"))</f>
        <v/>
      </c>
      <c r="N115" s="34"/>
      <c r="O115" s="34"/>
      <c r="P115" s="50"/>
      <c r="Q115" s="50"/>
      <c r="R115" s="61" t="str">
        <f aca="false">IF(A115="","",IF(AND(ISNUMBER(P115),ISNUMBER(Q115),P115&gt;=1,P115&lt;=5,Q115&gt;=1,Q115&lt;=5),P115*Q115,"Incomplete"))</f>
        <v/>
      </c>
      <c r="S115" s="52" t="str">
        <f aca="false">IF(A115="","",IF(ISNUMBER(R115),LOOKUP(R115,BandMin,BandName),"Incomplete"))</f>
        <v/>
      </c>
      <c r="T115" s="34"/>
      <c r="U115" s="50"/>
      <c r="V115" s="50"/>
      <c r="W115" s="50"/>
      <c r="X115" s="52" t="str">
        <f aca="false">IF(A115="","",IF(AND(V115="",W115=""),"Not set",IF(AND(ISNUMBER(V115),ISNUMBER(W115),V115&gt;=1,V115&lt;=5,W115&gt;=1,W115&lt;=5),V115*W115,"Incomplete")))</f>
        <v/>
      </c>
      <c r="Y115" s="52" t="str">
        <f aca="false">IF(A115="","",IF(X115="Not set","Not set",IF(ISNUMBER(X115),LOOKUP(X115,BandMin,BandName),"Incomplete")))</f>
        <v/>
      </c>
      <c r="Z115" s="34"/>
      <c r="AA115" s="54" t="str">
        <f aca="false">IF(A115="","",IF(AppetiteThreshold="","Not configured",IF(NOT(ISNUMBER(R115)),"Cannot assess - residual incomplete",IF(MATCH(S115,BandName,0)&gt;=MATCH(AppetiteThreshold,BandName,0),"Above appetite - escalation required","Within appetite"))))</f>
        <v/>
      </c>
      <c r="AB115" s="50"/>
      <c r="AC115" s="54" t="str">
        <f aca="false">IF(A115="","",IF(AB115="","No decision referenced",IFERROR(INDEX(DEC_FINAL,MATCH(AB115,DEC_ID,0))&amp;" - "&amp;INDEX(DEC_CURR,MATCH(AB115,DEC_ID,0)),"CHECK: Decision ID not found")))</f>
        <v/>
      </c>
      <c r="AD115" s="54" t="str">
        <f aca="false">IF(A115="","",IF(COUNTIF(TRT_RISK,A115)=0,"No treatment recorded",COUNTIF(TRT_RISK,A115)&amp;" action(s); "&amp;COUNTIFS(TRT_RISK,A115,TRT_OPEN,"Open")&amp;" open; "&amp;COUNTIFS(TRT_RISK,A115,TRT_OVERDUE,"Overdue")&amp;" overdue"))</f>
        <v/>
      </c>
      <c r="AE115" s="51"/>
      <c r="AF115" s="51"/>
      <c r="AG115" s="54" t="str">
        <f aca="false">IF(A115="","",IF(AI115="","Complete","Incomplete: "&amp;AI115))</f>
        <v/>
      </c>
      <c r="AH115" s="54" t="str">
        <f aca="false">IF(A115="","",IF(COUNTIF(RSK_ID,A115)&gt;1,"CHECK: duplicate ID",IF(B115="","CHECK: Supplier ID missing",IF(COUNTIF(INV_ID,B115)=0,"CHECK: Supplier ID not in inventory",IF(AND(ISNUMBER(R115),ISNUMBER(L115),R115&gt;L115),"CHECK: residual score exceeds inherent - confirm",IF(AND(ISNUMBER(AF115),AF115&lt;AsOf),"Review overdue (administrative)","OK"))))))</f>
        <v/>
      </c>
      <c r="AI115" s="52" t="str">
        <f aca="false">IF(A115="","",IF(I115="","risk owner; ","")&amp;IF(OR(J115="",K115=""),"inherent rating; ","")&amp;IF(N115="","inherent rationale; ","")&amp;IF(OR(P115="",Q115=""),"residual rating; ","")&amp;IF(AND(OR(P115&lt;&gt;"",Q115&lt;&gt;""),T115=""),"residual rationale; ","")&amp;IF(AND(OR(P115&lt;&gt;"",Q115&lt;&gt;""),U115=""),"assessment confidence; ","")&amp;IF(AE115="","assessment date; ",""))</f>
        <v/>
      </c>
      <c r="AJ115" s="52" t="str">
        <f aca="false">IF(OR(A115="",B115=""),"",IF(B115=RptSup,B115&amp;"|"&amp;COUNTIF($B$7:B115,B115),""))</f>
        <v/>
      </c>
    </row>
    <row r="116" customFormat="false" ht="15" hidden="false" customHeight="false" outlineLevel="0" collapsed="false">
      <c r="A116" s="50"/>
      <c r="B116" s="50"/>
      <c r="C116" s="59" t="str">
        <f aca="false">IF(B116="","",IFERROR(INDEX(INV_NAME,MATCH(B116,INV_ID,0)),"CHECK: Supplier ID not found"))</f>
        <v/>
      </c>
      <c r="D116" s="34"/>
      <c r="E116" s="34"/>
      <c r="F116" s="34"/>
      <c r="G116" s="34"/>
      <c r="H116" s="34"/>
      <c r="I116" s="34"/>
      <c r="J116" s="50"/>
      <c r="K116" s="50"/>
      <c r="L116" s="52" t="str">
        <f aca="false">IF(A116="","",IF(AND(ISNUMBER(J116),ISNUMBER(K116),J116&gt;=1,J116&lt;=5,K116&gt;=1,K116&lt;=5),J116*K116,"Incomplete"))</f>
        <v/>
      </c>
      <c r="M116" s="52" t="str">
        <f aca="false">IF(A116="","",IF(ISNUMBER(L116),LOOKUP(L116,BandMin,BandName),"Incomplete"))</f>
        <v/>
      </c>
      <c r="N116" s="34"/>
      <c r="O116" s="34"/>
      <c r="P116" s="50"/>
      <c r="Q116" s="50"/>
      <c r="R116" s="61" t="str">
        <f aca="false">IF(A116="","",IF(AND(ISNUMBER(P116),ISNUMBER(Q116),P116&gt;=1,P116&lt;=5,Q116&gt;=1,Q116&lt;=5),P116*Q116,"Incomplete"))</f>
        <v/>
      </c>
      <c r="S116" s="52" t="str">
        <f aca="false">IF(A116="","",IF(ISNUMBER(R116),LOOKUP(R116,BandMin,BandName),"Incomplete"))</f>
        <v/>
      </c>
      <c r="T116" s="34"/>
      <c r="U116" s="50"/>
      <c r="V116" s="50"/>
      <c r="W116" s="50"/>
      <c r="X116" s="52" t="str">
        <f aca="false">IF(A116="","",IF(AND(V116="",W116=""),"Not set",IF(AND(ISNUMBER(V116),ISNUMBER(W116),V116&gt;=1,V116&lt;=5,W116&gt;=1,W116&lt;=5),V116*W116,"Incomplete")))</f>
        <v/>
      </c>
      <c r="Y116" s="52" t="str">
        <f aca="false">IF(A116="","",IF(X116="Not set","Not set",IF(ISNUMBER(X116),LOOKUP(X116,BandMin,BandName),"Incomplete")))</f>
        <v/>
      </c>
      <c r="Z116" s="34"/>
      <c r="AA116" s="54" t="str">
        <f aca="false">IF(A116="","",IF(AppetiteThreshold="","Not configured",IF(NOT(ISNUMBER(R116)),"Cannot assess - residual incomplete",IF(MATCH(S116,BandName,0)&gt;=MATCH(AppetiteThreshold,BandName,0),"Above appetite - escalation required","Within appetite"))))</f>
        <v/>
      </c>
      <c r="AB116" s="50"/>
      <c r="AC116" s="54" t="str">
        <f aca="false">IF(A116="","",IF(AB116="","No decision referenced",IFERROR(INDEX(DEC_FINAL,MATCH(AB116,DEC_ID,0))&amp;" - "&amp;INDEX(DEC_CURR,MATCH(AB116,DEC_ID,0)),"CHECK: Decision ID not found")))</f>
        <v/>
      </c>
      <c r="AD116" s="54" t="str">
        <f aca="false">IF(A116="","",IF(COUNTIF(TRT_RISK,A116)=0,"No treatment recorded",COUNTIF(TRT_RISK,A116)&amp;" action(s); "&amp;COUNTIFS(TRT_RISK,A116,TRT_OPEN,"Open")&amp;" open; "&amp;COUNTIFS(TRT_RISK,A116,TRT_OVERDUE,"Overdue")&amp;" overdue"))</f>
        <v/>
      </c>
      <c r="AE116" s="51"/>
      <c r="AF116" s="51"/>
      <c r="AG116" s="54" t="str">
        <f aca="false">IF(A116="","",IF(AI116="","Complete","Incomplete: "&amp;AI116))</f>
        <v/>
      </c>
      <c r="AH116" s="54" t="str">
        <f aca="false">IF(A116="","",IF(COUNTIF(RSK_ID,A116)&gt;1,"CHECK: duplicate ID",IF(B116="","CHECK: Supplier ID missing",IF(COUNTIF(INV_ID,B116)=0,"CHECK: Supplier ID not in inventory",IF(AND(ISNUMBER(R116),ISNUMBER(L116),R116&gt;L116),"CHECK: residual score exceeds inherent - confirm",IF(AND(ISNUMBER(AF116),AF116&lt;AsOf),"Review overdue (administrative)","OK"))))))</f>
        <v/>
      </c>
      <c r="AI116" s="52" t="str">
        <f aca="false">IF(A116="","",IF(I116="","risk owner; ","")&amp;IF(OR(J116="",K116=""),"inherent rating; ","")&amp;IF(N116="","inherent rationale; ","")&amp;IF(OR(P116="",Q116=""),"residual rating; ","")&amp;IF(AND(OR(P116&lt;&gt;"",Q116&lt;&gt;""),T116=""),"residual rationale; ","")&amp;IF(AND(OR(P116&lt;&gt;"",Q116&lt;&gt;""),U116=""),"assessment confidence; ","")&amp;IF(AE116="","assessment date; ",""))</f>
        <v/>
      </c>
      <c r="AJ116" s="52" t="str">
        <f aca="false">IF(OR(A116="",B116=""),"",IF(B116=RptSup,B116&amp;"|"&amp;COUNTIF($B$7:B116,B116),""))</f>
        <v/>
      </c>
    </row>
    <row r="117" customFormat="false" ht="15" hidden="false" customHeight="false" outlineLevel="0" collapsed="false">
      <c r="A117" s="50"/>
      <c r="B117" s="50"/>
      <c r="C117" s="59" t="str">
        <f aca="false">IF(B117="","",IFERROR(INDEX(INV_NAME,MATCH(B117,INV_ID,0)),"CHECK: Supplier ID not found"))</f>
        <v/>
      </c>
      <c r="D117" s="34"/>
      <c r="E117" s="34"/>
      <c r="F117" s="34"/>
      <c r="G117" s="34"/>
      <c r="H117" s="34"/>
      <c r="I117" s="34"/>
      <c r="J117" s="50"/>
      <c r="K117" s="50"/>
      <c r="L117" s="52" t="str">
        <f aca="false">IF(A117="","",IF(AND(ISNUMBER(J117),ISNUMBER(K117),J117&gt;=1,J117&lt;=5,K117&gt;=1,K117&lt;=5),J117*K117,"Incomplete"))</f>
        <v/>
      </c>
      <c r="M117" s="52" t="str">
        <f aca="false">IF(A117="","",IF(ISNUMBER(L117),LOOKUP(L117,BandMin,BandName),"Incomplete"))</f>
        <v/>
      </c>
      <c r="N117" s="34"/>
      <c r="O117" s="34"/>
      <c r="P117" s="50"/>
      <c r="Q117" s="50"/>
      <c r="R117" s="61" t="str">
        <f aca="false">IF(A117="","",IF(AND(ISNUMBER(P117),ISNUMBER(Q117),P117&gt;=1,P117&lt;=5,Q117&gt;=1,Q117&lt;=5),P117*Q117,"Incomplete"))</f>
        <v/>
      </c>
      <c r="S117" s="52" t="str">
        <f aca="false">IF(A117="","",IF(ISNUMBER(R117),LOOKUP(R117,BandMin,BandName),"Incomplete"))</f>
        <v/>
      </c>
      <c r="T117" s="34"/>
      <c r="U117" s="50"/>
      <c r="V117" s="50"/>
      <c r="W117" s="50"/>
      <c r="X117" s="52" t="str">
        <f aca="false">IF(A117="","",IF(AND(V117="",W117=""),"Not set",IF(AND(ISNUMBER(V117),ISNUMBER(W117),V117&gt;=1,V117&lt;=5,W117&gt;=1,W117&lt;=5),V117*W117,"Incomplete")))</f>
        <v/>
      </c>
      <c r="Y117" s="52" t="str">
        <f aca="false">IF(A117="","",IF(X117="Not set","Not set",IF(ISNUMBER(X117),LOOKUP(X117,BandMin,BandName),"Incomplete")))</f>
        <v/>
      </c>
      <c r="Z117" s="34"/>
      <c r="AA117" s="54" t="str">
        <f aca="false">IF(A117="","",IF(AppetiteThreshold="","Not configured",IF(NOT(ISNUMBER(R117)),"Cannot assess - residual incomplete",IF(MATCH(S117,BandName,0)&gt;=MATCH(AppetiteThreshold,BandName,0),"Above appetite - escalation required","Within appetite"))))</f>
        <v/>
      </c>
      <c r="AB117" s="50"/>
      <c r="AC117" s="54" t="str">
        <f aca="false">IF(A117="","",IF(AB117="","No decision referenced",IFERROR(INDEX(DEC_FINAL,MATCH(AB117,DEC_ID,0))&amp;" - "&amp;INDEX(DEC_CURR,MATCH(AB117,DEC_ID,0)),"CHECK: Decision ID not found")))</f>
        <v/>
      </c>
      <c r="AD117" s="54" t="str">
        <f aca="false">IF(A117="","",IF(COUNTIF(TRT_RISK,A117)=0,"No treatment recorded",COUNTIF(TRT_RISK,A117)&amp;" action(s); "&amp;COUNTIFS(TRT_RISK,A117,TRT_OPEN,"Open")&amp;" open; "&amp;COUNTIFS(TRT_RISK,A117,TRT_OVERDUE,"Overdue")&amp;" overdue"))</f>
        <v/>
      </c>
      <c r="AE117" s="51"/>
      <c r="AF117" s="51"/>
      <c r="AG117" s="54" t="str">
        <f aca="false">IF(A117="","",IF(AI117="","Complete","Incomplete: "&amp;AI117))</f>
        <v/>
      </c>
      <c r="AH117" s="54" t="str">
        <f aca="false">IF(A117="","",IF(COUNTIF(RSK_ID,A117)&gt;1,"CHECK: duplicate ID",IF(B117="","CHECK: Supplier ID missing",IF(COUNTIF(INV_ID,B117)=0,"CHECK: Supplier ID not in inventory",IF(AND(ISNUMBER(R117),ISNUMBER(L117),R117&gt;L117),"CHECK: residual score exceeds inherent - confirm",IF(AND(ISNUMBER(AF117),AF117&lt;AsOf),"Review overdue (administrative)","OK"))))))</f>
        <v/>
      </c>
      <c r="AI117" s="52" t="str">
        <f aca="false">IF(A117="","",IF(I117="","risk owner; ","")&amp;IF(OR(J117="",K117=""),"inherent rating; ","")&amp;IF(N117="","inherent rationale; ","")&amp;IF(OR(P117="",Q117=""),"residual rating; ","")&amp;IF(AND(OR(P117&lt;&gt;"",Q117&lt;&gt;""),T117=""),"residual rationale; ","")&amp;IF(AND(OR(P117&lt;&gt;"",Q117&lt;&gt;""),U117=""),"assessment confidence; ","")&amp;IF(AE117="","assessment date; ",""))</f>
        <v/>
      </c>
      <c r="AJ117" s="52" t="str">
        <f aca="false">IF(OR(A117="",B117=""),"",IF(B117=RptSup,B117&amp;"|"&amp;COUNTIF($B$7:B117,B117),""))</f>
        <v/>
      </c>
    </row>
    <row r="118" customFormat="false" ht="15" hidden="false" customHeight="false" outlineLevel="0" collapsed="false">
      <c r="A118" s="50"/>
      <c r="B118" s="50"/>
      <c r="C118" s="59" t="str">
        <f aca="false">IF(B118="","",IFERROR(INDEX(INV_NAME,MATCH(B118,INV_ID,0)),"CHECK: Supplier ID not found"))</f>
        <v/>
      </c>
      <c r="D118" s="34"/>
      <c r="E118" s="34"/>
      <c r="F118" s="34"/>
      <c r="G118" s="34"/>
      <c r="H118" s="34"/>
      <c r="I118" s="34"/>
      <c r="J118" s="50"/>
      <c r="K118" s="50"/>
      <c r="L118" s="52" t="str">
        <f aca="false">IF(A118="","",IF(AND(ISNUMBER(J118),ISNUMBER(K118),J118&gt;=1,J118&lt;=5,K118&gt;=1,K118&lt;=5),J118*K118,"Incomplete"))</f>
        <v/>
      </c>
      <c r="M118" s="52" t="str">
        <f aca="false">IF(A118="","",IF(ISNUMBER(L118),LOOKUP(L118,BandMin,BandName),"Incomplete"))</f>
        <v/>
      </c>
      <c r="N118" s="34"/>
      <c r="O118" s="34"/>
      <c r="P118" s="50"/>
      <c r="Q118" s="50"/>
      <c r="R118" s="61" t="str">
        <f aca="false">IF(A118="","",IF(AND(ISNUMBER(P118),ISNUMBER(Q118),P118&gt;=1,P118&lt;=5,Q118&gt;=1,Q118&lt;=5),P118*Q118,"Incomplete"))</f>
        <v/>
      </c>
      <c r="S118" s="52" t="str">
        <f aca="false">IF(A118="","",IF(ISNUMBER(R118),LOOKUP(R118,BandMin,BandName),"Incomplete"))</f>
        <v/>
      </c>
      <c r="T118" s="34"/>
      <c r="U118" s="50"/>
      <c r="V118" s="50"/>
      <c r="W118" s="50"/>
      <c r="X118" s="52" t="str">
        <f aca="false">IF(A118="","",IF(AND(V118="",W118=""),"Not set",IF(AND(ISNUMBER(V118),ISNUMBER(W118),V118&gt;=1,V118&lt;=5,W118&gt;=1,W118&lt;=5),V118*W118,"Incomplete")))</f>
        <v/>
      </c>
      <c r="Y118" s="52" t="str">
        <f aca="false">IF(A118="","",IF(X118="Not set","Not set",IF(ISNUMBER(X118),LOOKUP(X118,BandMin,BandName),"Incomplete")))</f>
        <v/>
      </c>
      <c r="Z118" s="34"/>
      <c r="AA118" s="54" t="str">
        <f aca="false">IF(A118="","",IF(AppetiteThreshold="","Not configured",IF(NOT(ISNUMBER(R118)),"Cannot assess - residual incomplete",IF(MATCH(S118,BandName,0)&gt;=MATCH(AppetiteThreshold,BandName,0),"Above appetite - escalation required","Within appetite"))))</f>
        <v/>
      </c>
      <c r="AB118" s="50"/>
      <c r="AC118" s="54" t="str">
        <f aca="false">IF(A118="","",IF(AB118="","No decision referenced",IFERROR(INDEX(DEC_FINAL,MATCH(AB118,DEC_ID,0))&amp;" - "&amp;INDEX(DEC_CURR,MATCH(AB118,DEC_ID,0)),"CHECK: Decision ID not found")))</f>
        <v/>
      </c>
      <c r="AD118" s="54" t="str">
        <f aca="false">IF(A118="","",IF(COUNTIF(TRT_RISK,A118)=0,"No treatment recorded",COUNTIF(TRT_RISK,A118)&amp;" action(s); "&amp;COUNTIFS(TRT_RISK,A118,TRT_OPEN,"Open")&amp;" open; "&amp;COUNTIFS(TRT_RISK,A118,TRT_OVERDUE,"Overdue")&amp;" overdue"))</f>
        <v/>
      </c>
      <c r="AE118" s="51"/>
      <c r="AF118" s="51"/>
      <c r="AG118" s="54" t="str">
        <f aca="false">IF(A118="","",IF(AI118="","Complete","Incomplete: "&amp;AI118))</f>
        <v/>
      </c>
      <c r="AH118" s="54" t="str">
        <f aca="false">IF(A118="","",IF(COUNTIF(RSK_ID,A118)&gt;1,"CHECK: duplicate ID",IF(B118="","CHECK: Supplier ID missing",IF(COUNTIF(INV_ID,B118)=0,"CHECK: Supplier ID not in inventory",IF(AND(ISNUMBER(R118),ISNUMBER(L118),R118&gt;L118),"CHECK: residual score exceeds inherent - confirm",IF(AND(ISNUMBER(AF118),AF118&lt;AsOf),"Review overdue (administrative)","OK"))))))</f>
        <v/>
      </c>
      <c r="AI118" s="52" t="str">
        <f aca="false">IF(A118="","",IF(I118="","risk owner; ","")&amp;IF(OR(J118="",K118=""),"inherent rating; ","")&amp;IF(N118="","inherent rationale; ","")&amp;IF(OR(P118="",Q118=""),"residual rating; ","")&amp;IF(AND(OR(P118&lt;&gt;"",Q118&lt;&gt;""),T118=""),"residual rationale; ","")&amp;IF(AND(OR(P118&lt;&gt;"",Q118&lt;&gt;""),U118=""),"assessment confidence; ","")&amp;IF(AE118="","assessment date; ",""))</f>
        <v/>
      </c>
      <c r="AJ118" s="52" t="str">
        <f aca="false">IF(OR(A118="",B118=""),"",IF(B118=RptSup,B118&amp;"|"&amp;COUNTIF($B$7:B118,B118),""))</f>
        <v/>
      </c>
    </row>
    <row r="119" customFormat="false" ht="15" hidden="false" customHeight="false" outlineLevel="0" collapsed="false">
      <c r="A119" s="50"/>
      <c r="B119" s="50"/>
      <c r="C119" s="59" t="str">
        <f aca="false">IF(B119="","",IFERROR(INDEX(INV_NAME,MATCH(B119,INV_ID,0)),"CHECK: Supplier ID not found"))</f>
        <v/>
      </c>
      <c r="D119" s="34"/>
      <c r="E119" s="34"/>
      <c r="F119" s="34"/>
      <c r="G119" s="34"/>
      <c r="H119" s="34"/>
      <c r="I119" s="34"/>
      <c r="J119" s="50"/>
      <c r="K119" s="50"/>
      <c r="L119" s="52" t="str">
        <f aca="false">IF(A119="","",IF(AND(ISNUMBER(J119),ISNUMBER(K119),J119&gt;=1,J119&lt;=5,K119&gt;=1,K119&lt;=5),J119*K119,"Incomplete"))</f>
        <v/>
      </c>
      <c r="M119" s="52" t="str">
        <f aca="false">IF(A119="","",IF(ISNUMBER(L119),LOOKUP(L119,BandMin,BandName),"Incomplete"))</f>
        <v/>
      </c>
      <c r="N119" s="34"/>
      <c r="O119" s="34"/>
      <c r="P119" s="50"/>
      <c r="Q119" s="50"/>
      <c r="R119" s="61" t="str">
        <f aca="false">IF(A119="","",IF(AND(ISNUMBER(P119),ISNUMBER(Q119),P119&gt;=1,P119&lt;=5,Q119&gt;=1,Q119&lt;=5),P119*Q119,"Incomplete"))</f>
        <v/>
      </c>
      <c r="S119" s="52" t="str">
        <f aca="false">IF(A119="","",IF(ISNUMBER(R119),LOOKUP(R119,BandMin,BandName),"Incomplete"))</f>
        <v/>
      </c>
      <c r="T119" s="34"/>
      <c r="U119" s="50"/>
      <c r="V119" s="50"/>
      <c r="W119" s="50"/>
      <c r="X119" s="52" t="str">
        <f aca="false">IF(A119="","",IF(AND(V119="",W119=""),"Not set",IF(AND(ISNUMBER(V119),ISNUMBER(W119),V119&gt;=1,V119&lt;=5,W119&gt;=1,W119&lt;=5),V119*W119,"Incomplete")))</f>
        <v/>
      </c>
      <c r="Y119" s="52" t="str">
        <f aca="false">IF(A119="","",IF(X119="Not set","Not set",IF(ISNUMBER(X119),LOOKUP(X119,BandMin,BandName),"Incomplete")))</f>
        <v/>
      </c>
      <c r="Z119" s="34"/>
      <c r="AA119" s="54" t="str">
        <f aca="false">IF(A119="","",IF(AppetiteThreshold="","Not configured",IF(NOT(ISNUMBER(R119)),"Cannot assess - residual incomplete",IF(MATCH(S119,BandName,0)&gt;=MATCH(AppetiteThreshold,BandName,0),"Above appetite - escalation required","Within appetite"))))</f>
        <v/>
      </c>
      <c r="AB119" s="50"/>
      <c r="AC119" s="54" t="str">
        <f aca="false">IF(A119="","",IF(AB119="","No decision referenced",IFERROR(INDEX(DEC_FINAL,MATCH(AB119,DEC_ID,0))&amp;" - "&amp;INDEX(DEC_CURR,MATCH(AB119,DEC_ID,0)),"CHECK: Decision ID not found")))</f>
        <v/>
      </c>
      <c r="AD119" s="54" t="str">
        <f aca="false">IF(A119="","",IF(COUNTIF(TRT_RISK,A119)=0,"No treatment recorded",COUNTIF(TRT_RISK,A119)&amp;" action(s); "&amp;COUNTIFS(TRT_RISK,A119,TRT_OPEN,"Open")&amp;" open; "&amp;COUNTIFS(TRT_RISK,A119,TRT_OVERDUE,"Overdue")&amp;" overdue"))</f>
        <v/>
      </c>
      <c r="AE119" s="51"/>
      <c r="AF119" s="51"/>
      <c r="AG119" s="54" t="str">
        <f aca="false">IF(A119="","",IF(AI119="","Complete","Incomplete: "&amp;AI119))</f>
        <v/>
      </c>
      <c r="AH119" s="54" t="str">
        <f aca="false">IF(A119="","",IF(COUNTIF(RSK_ID,A119)&gt;1,"CHECK: duplicate ID",IF(B119="","CHECK: Supplier ID missing",IF(COUNTIF(INV_ID,B119)=0,"CHECK: Supplier ID not in inventory",IF(AND(ISNUMBER(R119),ISNUMBER(L119),R119&gt;L119),"CHECK: residual score exceeds inherent - confirm",IF(AND(ISNUMBER(AF119),AF119&lt;AsOf),"Review overdue (administrative)","OK"))))))</f>
        <v/>
      </c>
      <c r="AI119" s="52" t="str">
        <f aca="false">IF(A119="","",IF(I119="","risk owner; ","")&amp;IF(OR(J119="",K119=""),"inherent rating; ","")&amp;IF(N119="","inherent rationale; ","")&amp;IF(OR(P119="",Q119=""),"residual rating; ","")&amp;IF(AND(OR(P119&lt;&gt;"",Q119&lt;&gt;""),T119=""),"residual rationale; ","")&amp;IF(AND(OR(P119&lt;&gt;"",Q119&lt;&gt;""),U119=""),"assessment confidence; ","")&amp;IF(AE119="","assessment date; ",""))</f>
        <v/>
      </c>
      <c r="AJ119" s="52" t="str">
        <f aca="false">IF(OR(A119="",B119=""),"",IF(B119=RptSup,B119&amp;"|"&amp;COUNTIF($B$7:B119,B119),""))</f>
        <v/>
      </c>
    </row>
    <row r="120" customFormat="false" ht="15" hidden="false" customHeight="false" outlineLevel="0" collapsed="false">
      <c r="A120" s="50"/>
      <c r="B120" s="50"/>
      <c r="C120" s="59" t="str">
        <f aca="false">IF(B120="","",IFERROR(INDEX(INV_NAME,MATCH(B120,INV_ID,0)),"CHECK: Supplier ID not found"))</f>
        <v/>
      </c>
      <c r="D120" s="34"/>
      <c r="E120" s="34"/>
      <c r="F120" s="34"/>
      <c r="G120" s="34"/>
      <c r="H120" s="34"/>
      <c r="I120" s="34"/>
      <c r="J120" s="50"/>
      <c r="K120" s="50"/>
      <c r="L120" s="52" t="str">
        <f aca="false">IF(A120="","",IF(AND(ISNUMBER(J120),ISNUMBER(K120),J120&gt;=1,J120&lt;=5,K120&gt;=1,K120&lt;=5),J120*K120,"Incomplete"))</f>
        <v/>
      </c>
      <c r="M120" s="52" t="str">
        <f aca="false">IF(A120="","",IF(ISNUMBER(L120),LOOKUP(L120,BandMin,BandName),"Incomplete"))</f>
        <v/>
      </c>
      <c r="N120" s="34"/>
      <c r="O120" s="34"/>
      <c r="P120" s="50"/>
      <c r="Q120" s="50"/>
      <c r="R120" s="61" t="str">
        <f aca="false">IF(A120="","",IF(AND(ISNUMBER(P120),ISNUMBER(Q120),P120&gt;=1,P120&lt;=5,Q120&gt;=1,Q120&lt;=5),P120*Q120,"Incomplete"))</f>
        <v/>
      </c>
      <c r="S120" s="52" t="str">
        <f aca="false">IF(A120="","",IF(ISNUMBER(R120),LOOKUP(R120,BandMin,BandName),"Incomplete"))</f>
        <v/>
      </c>
      <c r="T120" s="34"/>
      <c r="U120" s="50"/>
      <c r="V120" s="50"/>
      <c r="W120" s="50"/>
      <c r="X120" s="52" t="str">
        <f aca="false">IF(A120="","",IF(AND(V120="",W120=""),"Not set",IF(AND(ISNUMBER(V120),ISNUMBER(W120),V120&gt;=1,V120&lt;=5,W120&gt;=1,W120&lt;=5),V120*W120,"Incomplete")))</f>
        <v/>
      </c>
      <c r="Y120" s="52" t="str">
        <f aca="false">IF(A120="","",IF(X120="Not set","Not set",IF(ISNUMBER(X120),LOOKUP(X120,BandMin,BandName),"Incomplete")))</f>
        <v/>
      </c>
      <c r="Z120" s="34"/>
      <c r="AA120" s="54" t="str">
        <f aca="false">IF(A120="","",IF(AppetiteThreshold="","Not configured",IF(NOT(ISNUMBER(R120)),"Cannot assess - residual incomplete",IF(MATCH(S120,BandName,0)&gt;=MATCH(AppetiteThreshold,BandName,0),"Above appetite - escalation required","Within appetite"))))</f>
        <v/>
      </c>
      <c r="AB120" s="50"/>
      <c r="AC120" s="54" t="str">
        <f aca="false">IF(A120="","",IF(AB120="","No decision referenced",IFERROR(INDEX(DEC_FINAL,MATCH(AB120,DEC_ID,0))&amp;" - "&amp;INDEX(DEC_CURR,MATCH(AB120,DEC_ID,0)),"CHECK: Decision ID not found")))</f>
        <v/>
      </c>
      <c r="AD120" s="54" t="str">
        <f aca="false">IF(A120="","",IF(COUNTIF(TRT_RISK,A120)=0,"No treatment recorded",COUNTIF(TRT_RISK,A120)&amp;" action(s); "&amp;COUNTIFS(TRT_RISK,A120,TRT_OPEN,"Open")&amp;" open; "&amp;COUNTIFS(TRT_RISK,A120,TRT_OVERDUE,"Overdue")&amp;" overdue"))</f>
        <v/>
      </c>
      <c r="AE120" s="51"/>
      <c r="AF120" s="51"/>
      <c r="AG120" s="54" t="str">
        <f aca="false">IF(A120="","",IF(AI120="","Complete","Incomplete: "&amp;AI120))</f>
        <v/>
      </c>
      <c r="AH120" s="54" t="str">
        <f aca="false">IF(A120="","",IF(COUNTIF(RSK_ID,A120)&gt;1,"CHECK: duplicate ID",IF(B120="","CHECK: Supplier ID missing",IF(COUNTIF(INV_ID,B120)=0,"CHECK: Supplier ID not in inventory",IF(AND(ISNUMBER(R120),ISNUMBER(L120),R120&gt;L120),"CHECK: residual score exceeds inherent - confirm",IF(AND(ISNUMBER(AF120),AF120&lt;AsOf),"Review overdue (administrative)","OK"))))))</f>
        <v/>
      </c>
      <c r="AI120" s="52" t="str">
        <f aca="false">IF(A120="","",IF(I120="","risk owner; ","")&amp;IF(OR(J120="",K120=""),"inherent rating; ","")&amp;IF(N120="","inherent rationale; ","")&amp;IF(OR(P120="",Q120=""),"residual rating; ","")&amp;IF(AND(OR(P120&lt;&gt;"",Q120&lt;&gt;""),T120=""),"residual rationale; ","")&amp;IF(AND(OR(P120&lt;&gt;"",Q120&lt;&gt;""),U120=""),"assessment confidence; ","")&amp;IF(AE120="","assessment date; ",""))</f>
        <v/>
      </c>
      <c r="AJ120" s="52" t="str">
        <f aca="false">IF(OR(A120="",B120=""),"",IF(B120=RptSup,B120&amp;"|"&amp;COUNTIF($B$7:B120,B120),""))</f>
        <v/>
      </c>
    </row>
    <row r="121" customFormat="false" ht="15" hidden="false" customHeight="false" outlineLevel="0" collapsed="false">
      <c r="A121" s="50"/>
      <c r="B121" s="50"/>
      <c r="C121" s="59" t="str">
        <f aca="false">IF(B121="","",IFERROR(INDEX(INV_NAME,MATCH(B121,INV_ID,0)),"CHECK: Supplier ID not found"))</f>
        <v/>
      </c>
      <c r="D121" s="34"/>
      <c r="E121" s="34"/>
      <c r="F121" s="34"/>
      <c r="G121" s="34"/>
      <c r="H121" s="34"/>
      <c r="I121" s="34"/>
      <c r="J121" s="50"/>
      <c r="K121" s="50"/>
      <c r="L121" s="52" t="str">
        <f aca="false">IF(A121="","",IF(AND(ISNUMBER(J121),ISNUMBER(K121),J121&gt;=1,J121&lt;=5,K121&gt;=1,K121&lt;=5),J121*K121,"Incomplete"))</f>
        <v/>
      </c>
      <c r="M121" s="52" t="str">
        <f aca="false">IF(A121="","",IF(ISNUMBER(L121),LOOKUP(L121,BandMin,BandName),"Incomplete"))</f>
        <v/>
      </c>
      <c r="N121" s="34"/>
      <c r="O121" s="34"/>
      <c r="P121" s="50"/>
      <c r="Q121" s="50"/>
      <c r="R121" s="61" t="str">
        <f aca="false">IF(A121="","",IF(AND(ISNUMBER(P121),ISNUMBER(Q121),P121&gt;=1,P121&lt;=5,Q121&gt;=1,Q121&lt;=5),P121*Q121,"Incomplete"))</f>
        <v/>
      </c>
      <c r="S121" s="52" t="str">
        <f aca="false">IF(A121="","",IF(ISNUMBER(R121),LOOKUP(R121,BandMin,BandName),"Incomplete"))</f>
        <v/>
      </c>
      <c r="T121" s="34"/>
      <c r="U121" s="50"/>
      <c r="V121" s="50"/>
      <c r="W121" s="50"/>
      <c r="X121" s="52" t="str">
        <f aca="false">IF(A121="","",IF(AND(V121="",W121=""),"Not set",IF(AND(ISNUMBER(V121),ISNUMBER(W121),V121&gt;=1,V121&lt;=5,W121&gt;=1,W121&lt;=5),V121*W121,"Incomplete")))</f>
        <v/>
      </c>
      <c r="Y121" s="52" t="str">
        <f aca="false">IF(A121="","",IF(X121="Not set","Not set",IF(ISNUMBER(X121),LOOKUP(X121,BandMin,BandName),"Incomplete")))</f>
        <v/>
      </c>
      <c r="Z121" s="34"/>
      <c r="AA121" s="54" t="str">
        <f aca="false">IF(A121="","",IF(AppetiteThreshold="","Not configured",IF(NOT(ISNUMBER(R121)),"Cannot assess - residual incomplete",IF(MATCH(S121,BandName,0)&gt;=MATCH(AppetiteThreshold,BandName,0),"Above appetite - escalation required","Within appetite"))))</f>
        <v/>
      </c>
      <c r="AB121" s="50"/>
      <c r="AC121" s="54" t="str">
        <f aca="false">IF(A121="","",IF(AB121="","No decision referenced",IFERROR(INDEX(DEC_FINAL,MATCH(AB121,DEC_ID,0))&amp;" - "&amp;INDEX(DEC_CURR,MATCH(AB121,DEC_ID,0)),"CHECK: Decision ID not found")))</f>
        <v/>
      </c>
      <c r="AD121" s="54" t="str">
        <f aca="false">IF(A121="","",IF(COUNTIF(TRT_RISK,A121)=0,"No treatment recorded",COUNTIF(TRT_RISK,A121)&amp;" action(s); "&amp;COUNTIFS(TRT_RISK,A121,TRT_OPEN,"Open")&amp;" open; "&amp;COUNTIFS(TRT_RISK,A121,TRT_OVERDUE,"Overdue")&amp;" overdue"))</f>
        <v/>
      </c>
      <c r="AE121" s="51"/>
      <c r="AF121" s="51"/>
      <c r="AG121" s="54" t="str">
        <f aca="false">IF(A121="","",IF(AI121="","Complete","Incomplete: "&amp;AI121))</f>
        <v/>
      </c>
      <c r="AH121" s="54" t="str">
        <f aca="false">IF(A121="","",IF(COUNTIF(RSK_ID,A121)&gt;1,"CHECK: duplicate ID",IF(B121="","CHECK: Supplier ID missing",IF(COUNTIF(INV_ID,B121)=0,"CHECK: Supplier ID not in inventory",IF(AND(ISNUMBER(R121),ISNUMBER(L121),R121&gt;L121),"CHECK: residual score exceeds inherent - confirm",IF(AND(ISNUMBER(AF121),AF121&lt;AsOf),"Review overdue (administrative)","OK"))))))</f>
        <v/>
      </c>
      <c r="AI121" s="52" t="str">
        <f aca="false">IF(A121="","",IF(I121="","risk owner; ","")&amp;IF(OR(J121="",K121=""),"inherent rating; ","")&amp;IF(N121="","inherent rationale; ","")&amp;IF(OR(P121="",Q121=""),"residual rating; ","")&amp;IF(AND(OR(P121&lt;&gt;"",Q121&lt;&gt;""),T121=""),"residual rationale; ","")&amp;IF(AND(OR(P121&lt;&gt;"",Q121&lt;&gt;""),U121=""),"assessment confidence; ","")&amp;IF(AE121="","assessment date; ",""))</f>
        <v/>
      </c>
      <c r="AJ121" s="52" t="str">
        <f aca="false">IF(OR(A121="",B121=""),"",IF(B121=RptSup,B121&amp;"|"&amp;COUNTIF($B$7:B121,B121),""))</f>
        <v/>
      </c>
    </row>
    <row r="122" customFormat="false" ht="15" hidden="false" customHeight="false" outlineLevel="0" collapsed="false">
      <c r="A122" s="50"/>
      <c r="B122" s="50"/>
      <c r="C122" s="59" t="str">
        <f aca="false">IF(B122="","",IFERROR(INDEX(INV_NAME,MATCH(B122,INV_ID,0)),"CHECK: Supplier ID not found"))</f>
        <v/>
      </c>
      <c r="D122" s="34"/>
      <c r="E122" s="34"/>
      <c r="F122" s="34"/>
      <c r="G122" s="34"/>
      <c r="H122" s="34"/>
      <c r="I122" s="34"/>
      <c r="J122" s="50"/>
      <c r="K122" s="50"/>
      <c r="L122" s="52" t="str">
        <f aca="false">IF(A122="","",IF(AND(ISNUMBER(J122),ISNUMBER(K122),J122&gt;=1,J122&lt;=5,K122&gt;=1,K122&lt;=5),J122*K122,"Incomplete"))</f>
        <v/>
      </c>
      <c r="M122" s="52" t="str">
        <f aca="false">IF(A122="","",IF(ISNUMBER(L122),LOOKUP(L122,BandMin,BandName),"Incomplete"))</f>
        <v/>
      </c>
      <c r="N122" s="34"/>
      <c r="O122" s="34"/>
      <c r="P122" s="50"/>
      <c r="Q122" s="50"/>
      <c r="R122" s="61" t="str">
        <f aca="false">IF(A122="","",IF(AND(ISNUMBER(P122),ISNUMBER(Q122),P122&gt;=1,P122&lt;=5,Q122&gt;=1,Q122&lt;=5),P122*Q122,"Incomplete"))</f>
        <v/>
      </c>
      <c r="S122" s="52" t="str">
        <f aca="false">IF(A122="","",IF(ISNUMBER(R122),LOOKUP(R122,BandMin,BandName),"Incomplete"))</f>
        <v/>
      </c>
      <c r="T122" s="34"/>
      <c r="U122" s="50"/>
      <c r="V122" s="50"/>
      <c r="W122" s="50"/>
      <c r="X122" s="52" t="str">
        <f aca="false">IF(A122="","",IF(AND(V122="",W122=""),"Not set",IF(AND(ISNUMBER(V122),ISNUMBER(W122),V122&gt;=1,V122&lt;=5,W122&gt;=1,W122&lt;=5),V122*W122,"Incomplete")))</f>
        <v/>
      </c>
      <c r="Y122" s="52" t="str">
        <f aca="false">IF(A122="","",IF(X122="Not set","Not set",IF(ISNUMBER(X122),LOOKUP(X122,BandMin,BandName),"Incomplete")))</f>
        <v/>
      </c>
      <c r="Z122" s="34"/>
      <c r="AA122" s="54" t="str">
        <f aca="false">IF(A122="","",IF(AppetiteThreshold="","Not configured",IF(NOT(ISNUMBER(R122)),"Cannot assess - residual incomplete",IF(MATCH(S122,BandName,0)&gt;=MATCH(AppetiteThreshold,BandName,0),"Above appetite - escalation required","Within appetite"))))</f>
        <v/>
      </c>
      <c r="AB122" s="50"/>
      <c r="AC122" s="54" t="str">
        <f aca="false">IF(A122="","",IF(AB122="","No decision referenced",IFERROR(INDEX(DEC_FINAL,MATCH(AB122,DEC_ID,0))&amp;" - "&amp;INDEX(DEC_CURR,MATCH(AB122,DEC_ID,0)),"CHECK: Decision ID not found")))</f>
        <v/>
      </c>
      <c r="AD122" s="54" t="str">
        <f aca="false">IF(A122="","",IF(COUNTIF(TRT_RISK,A122)=0,"No treatment recorded",COUNTIF(TRT_RISK,A122)&amp;" action(s); "&amp;COUNTIFS(TRT_RISK,A122,TRT_OPEN,"Open")&amp;" open; "&amp;COUNTIFS(TRT_RISK,A122,TRT_OVERDUE,"Overdue")&amp;" overdue"))</f>
        <v/>
      </c>
      <c r="AE122" s="51"/>
      <c r="AF122" s="51"/>
      <c r="AG122" s="54" t="str">
        <f aca="false">IF(A122="","",IF(AI122="","Complete","Incomplete: "&amp;AI122))</f>
        <v/>
      </c>
      <c r="AH122" s="54" t="str">
        <f aca="false">IF(A122="","",IF(COUNTIF(RSK_ID,A122)&gt;1,"CHECK: duplicate ID",IF(B122="","CHECK: Supplier ID missing",IF(COUNTIF(INV_ID,B122)=0,"CHECK: Supplier ID not in inventory",IF(AND(ISNUMBER(R122),ISNUMBER(L122),R122&gt;L122),"CHECK: residual score exceeds inherent - confirm",IF(AND(ISNUMBER(AF122),AF122&lt;AsOf),"Review overdue (administrative)","OK"))))))</f>
        <v/>
      </c>
      <c r="AI122" s="52" t="str">
        <f aca="false">IF(A122="","",IF(I122="","risk owner; ","")&amp;IF(OR(J122="",K122=""),"inherent rating; ","")&amp;IF(N122="","inherent rationale; ","")&amp;IF(OR(P122="",Q122=""),"residual rating; ","")&amp;IF(AND(OR(P122&lt;&gt;"",Q122&lt;&gt;""),T122=""),"residual rationale; ","")&amp;IF(AND(OR(P122&lt;&gt;"",Q122&lt;&gt;""),U122=""),"assessment confidence; ","")&amp;IF(AE122="","assessment date; ",""))</f>
        <v/>
      </c>
      <c r="AJ122" s="52" t="str">
        <f aca="false">IF(OR(A122="",B122=""),"",IF(B122=RptSup,B122&amp;"|"&amp;COUNTIF($B$7:B122,B122),""))</f>
        <v/>
      </c>
    </row>
    <row r="123" customFormat="false" ht="15" hidden="false" customHeight="false" outlineLevel="0" collapsed="false">
      <c r="A123" s="50"/>
      <c r="B123" s="50"/>
      <c r="C123" s="59" t="str">
        <f aca="false">IF(B123="","",IFERROR(INDEX(INV_NAME,MATCH(B123,INV_ID,0)),"CHECK: Supplier ID not found"))</f>
        <v/>
      </c>
      <c r="D123" s="34"/>
      <c r="E123" s="34"/>
      <c r="F123" s="34"/>
      <c r="G123" s="34"/>
      <c r="H123" s="34"/>
      <c r="I123" s="34"/>
      <c r="J123" s="50"/>
      <c r="K123" s="50"/>
      <c r="L123" s="52" t="str">
        <f aca="false">IF(A123="","",IF(AND(ISNUMBER(J123),ISNUMBER(K123),J123&gt;=1,J123&lt;=5,K123&gt;=1,K123&lt;=5),J123*K123,"Incomplete"))</f>
        <v/>
      </c>
      <c r="M123" s="52" t="str">
        <f aca="false">IF(A123="","",IF(ISNUMBER(L123),LOOKUP(L123,BandMin,BandName),"Incomplete"))</f>
        <v/>
      </c>
      <c r="N123" s="34"/>
      <c r="O123" s="34"/>
      <c r="P123" s="50"/>
      <c r="Q123" s="50"/>
      <c r="R123" s="61" t="str">
        <f aca="false">IF(A123="","",IF(AND(ISNUMBER(P123),ISNUMBER(Q123),P123&gt;=1,P123&lt;=5,Q123&gt;=1,Q123&lt;=5),P123*Q123,"Incomplete"))</f>
        <v/>
      </c>
      <c r="S123" s="52" t="str">
        <f aca="false">IF(A123="","",IF(ISNUMBER(R123),LOOKUP(R123,BandMin,BandName),"Incomplete"))</f>
        <v/>
      </c>
      <c r="T123" s="34"/>
      <c r="U123" s="50"/>
      <c r="V123" s="50"/>
      <c r="W123" s="50"/>
      <c r="X123" s="52" t="str">
        <f aca="false">IF(A123="","",IF(AND(V123="",W123=""),"Not set",IF(AND(ISNUMBER(V123),ISNUMBER(W123),V123&gt;=1,V123&lt;=5,W123&gt;=1,W123&lt;=5),V123*W123,"Incomplete")))</f>
        <v/>
      </c>
      <c r="Y123" s="52" t="str">
        <f aca="false">IF(A123="","",IF(X123="Not set","Not set",IF(ISNUMBER(X123),LOOKUP(X123,BandMin,BandName),"Incomplete")))</f>
        <v/>
      </c>
      <c r="Z123" s="34"/>
      <c r="AA123" s="54" t="str">
        <f aca="false">IF(A123="","",IF(AppetiteThreshold="","Not configured",IF(NOT(ISNUMBER(R123)),"Cannot assess - residual incomplete",IF(MATCH(S123,BandName,0)&gt;=MATCH(AppetiteThreshold,BandName,0),"Above appetite - escalation required","Within appetite"))))</f>
        <v/>
      </c>
      <c r="AB123" s="50"/>
      <c r="AC123" s="54" t="str">
        <f aca="false">IF(A123="","",IF(AB123="","No decision referenced",IFERROR(INDEX(DEC_FINAL,MATCH(AB123,DEC_ID,0))&amp;" - "&amp;INDEX(DEC_CURR,MATCH(AB123,DEC_ID,0)),"CHECK: Decision ID not found")))</f>
        <v/>
      </c>
      <c r="AD123" s="54" t="str">
        <f aca="false">IF(A123="","",IF(COUNTIF(TRT_RISK,A123)=0,"No treatment recorded",COUNTIF(TRT_RISK,A123)&amp;" action(s); "&amp;COUNTIFS(TRT_RISK,A123,TRT_OPEN,"Open")&amp;" open; "&amp;COUNTIFS(TRT_RISK,A123,TRT_OVERDUE,"Overdue")&amp;" overdue"))</f>
        <v/>
      </c>
      <c r="AE123" s="51"/>
      <c r="AF123" s="51"/>
      <c r="AG123" s="54" t="str">
        <f aca="false">IF(A123="","",IF(AI123="","Complete","Incomplete: "&amp;AI123))</f>
        <v/>
      </c>
      <c r="AH123" s="54" t="str">
        <f aca="false">IF(A123="","",IF(COUNTIF(RSK_ID,A123)&gt;1,"CHECK: duplicate ID",IF(B123="","CHECK: Supplier ID missing",IF(COUNTIF(INV_ID,B123)=0,"CHECK: Supplier ID not in inventory",IF(AND(ISNUMBER(R123),ISNUMBER(L123),R123&gt;L123),"CHECK: residual score exceeds inherent - confirm",IF(AND(ISNUMBER(AF123),AF123&lt;AsOf),"Review overdue (administrative)","OK"))))))</f>
        <v/>
      </c>
      <c r="AI123" s="52" t="str">
        <f aca="false">IF(A123="","",IF(I123="","risk owner; ","")&amp;IF(OR(J123="",K123=""),"inherent rating; ","")&amp;IF(N123="","inherent rationale; ","")&amp;IF(OR(P123="",Q123=""),"residual rating; ","")&amp;IF(AND(OR(P123&lt;&gt;"",Q123&lt;&gt;""),T123=""),"residual rationale; ","")&amp;IF(AND(OR(P123&lt;&gt;"",Q123&lt;&gt;""),U123=""),"assessment confidence; ","")&amp;IF(AE123="","assessment date; ",""))</f>
        <v/>
      </c>
      <c r="AJ123" s="52" t="str">
        <f aca="false">IF(OR(A123="",B123=""),"",IF(B123=RptSup,B123&amp;"|"&amp;COUNTIF($B$7:B123,B123),""))</f>
        <v/>
      </c>
    </row>
    <row r="124" customFormat="false" ht="15" hidden="false" customHeight="false" outlineLevel="0" collapsed="false">
      <c r="A124" s="50"/>
      <c r="B124" s="50"/>
      <c r="C124" s="59" t="str">
        <f aca="false">IF(B124="","",IFERROR(INDEX(INV_NAME,MATCH(B124,INV_ID,0)),"CHECK: Supplier ID not found"))</f>
        <v/>
      </c>
      <c r="D124" s="34"/>
      <c r="E124" s="34"/>
      <c r="F124" s="34"/>
      <c r="G124" s="34"/>
      <c r="H124" s="34"/>
      <c r="I124" s="34"/>
      <c r="J124" s="50"/>
      <c r="K124" s="50"/>
      <c r="L124" s="52" t="str">
        <f aca="false">IF(A124="","",IF(AND(ISNUMBER(J124),ISNUMBER(K124),J124&gt;=1,J124&lt;=5,K124&gt;=1,K124&lt;=5),J124*K124,"Incomplete"))</f>
        <v/>
      </c>
      <c r="M124" s="52" t="str">
        <f aca="false">IF(A124="","",IF(ISNUMBER(L124),LOOKUP(L124,BandMin,BandName),"Incomplete"))</f>
        <v/>
      </c>
      <c r="N124" s="34"/>
      <c r="O124" s="34"/>
      <c r="P124" s="50"/>
      <c r="Q124" s="50"/>
      <c r="R124" s="61" t="str">
        <f aca="false">IF(A124="","",IF(AND(ISNUMBER(P124),ISNUMBER(Q124),P124&gt;=1,P124&lt;=5,Q124&gt;=1,Q124&lt;=5),P124*Q124,"Incomplete"))</f>
        <v/>
      </c>
      <c r="S124" s="52" t="str">
        <f aca="false">IF(A124="","",IF(ISNUMBER(R124),LOOKUP(R124,BandMin,BandName),"Incomplete"))</f>
        <v/>
      </c>
      <c r="T124" s="34"/>
      <c r="U124" s="50"/>
      <c r="V124" s="50"/>
      <c r="W124" s="50"/>
      <c r="X124" s="52" t="str">
        <f aca="false">IF(A124="","",IF(AND(V124="",W124=""),"Not set",IF(AND(ISNUMBER(V124),ISNUMBER(W124),V124&gt;=1,V124&lt;=5,W124&gt;=1,W124&lt;=5),V124*W124,"Incomplete")))</f>
        <v/>
      </c>
      <c r="Y124" s="52" t="str">
        <f aca="false">IF(A124="","",IF(X124="Not set","Not set",IF(ISNUMBER(X124),LOOKUP(X124,BandMin,BandName),"Incomplete")))</f>
        <v/>
      </c>
      <c r="Z124" s="34"/>
      <c r="AA124" s="54" t="str">
        <f aca="false">IF(A124="","",IF(AppetiteThreshold="","Not configured",IF(NOT(ISNUMBER(R124)),"Cannot assess - residual incomplete",IF(MATCH(S124,BandName,0)&gt;=MATCH(AppetiteThreshold,BandName,0),"Above appetite - escalation required","Within appetite"))))</f>
        <v/>
      </c>
      <c r="AB124" s="50"/>
      <c r="AC124" s="54" t="str">
        <f aca="false">IF(A124="","",IF(AB124="","No decision referenced",IFERROR(INDEX(DEC_FINAL,MATCH(AB124,DEC_ID,0))&amp;" - "&amp;INDEX(DEC_CURR,MATCH(AB124,DEC_ID,0)),"CHECK: Decision ID not found")))</f>
        <v/>
      </c>
      <c r="AD124" s="54" t="str">
        <f aca="false">IF(A124="","",IF(COUNTIF(TRT_RISK,A124)=0,"No treatment recorded",COUNTIF(TRT_RISK,A124)&amp;" action(s); "&amp;COUNTIFS(TRT_RISK,A124,TRT_OPEN,"Open")&amp;" open; "&amp;COUNTIFS(TRT_RISK,A124,TRT_OVERDUE,"Overdue")&amp;" overdue"))</f>
        <v/>
      </c>
      <c r="AE124" s="51"/>
      <c r="AF124" s="51"/>
      <c r="AG124" s="54" t="str">
        <f aca="false">IF(A124="","",IF(AI124="","Complete","Incomplete: "&amp;AI124))</f>
        <v/>
      </c>
      <c r="AH124" s="54" t="str">
        <f aca="false">IF(A124="","",IF(COUNTIF(RSK_ID,A124)&gt;1,"CHECK: duplicate ID",IF(B124="","CHECK: Supplier ID missing",IF(COUNTIF(INV_ID,B124)=0,"CHECK: Supplier ID not in inventory",IF(AND(ISNUMBER(R124),ISNUMBER(L124),R124&gt;L124),"CHECK: residual score exceeds inherent - confirm",IF(AND(ISNUMBER(AF124),AF124&lt;AsOf),"Review overdue (administrative)","OK"))))))</f>
        <v/>
      </c>
      <c r="AI124" s="52" t="str">
        <f aca="false">IF(A124="","",IF(I124="","risk owner; ","")&amp;IF(OR(J124="",K124=""),"inherent rating; ","")&amp;IF(N124="","inherent rationale; ","")&amp;IF(OR(P124="",Q124=""),"residual rating; ","")&amp;IF(AND(OR(P124&lt;&gt;"",Q124&lt;&gt;""),T124=""),"residual rationale; ","")&amp;IF(AND(OR(P124&lt;&gt;"",Q124&lt;&gt;""),U124=""),"assessment confidence; ","")&amp;IF(AE124="","assessment date; ",""))</f>
        <v/>
      </c>
      <c r="AJ124" s="52" t="str">
        <f aca="false">IF(OR(A124="",B124=""),"",IF(B124=RptSup,B124&amp;"|"&amp;COUNTIF($B$7:B124,B124),""))</f>
        <v/>
      </c>
    </row>
    <row r="125" customFormat="false" ht="15" hidden="false" customHeight="false" outlineLevel="0" collapsed="false">
      <c r="A125" s="50"/>
      <c r="B125" s="50"/>
      <c r="C125" s="59" t="str">
        <f aca="false">IF(B125="","",IFERROR(INDEX(INV_NAME,MATCH(B125,INV_ID,0)),"CHECK: Supplier ID not found"))</f>
        <v/>
      </c>
      <c r="D125" s="34"/>
      <c r="E125" s="34"/>
      <c r="F125" s="34"/>
      <c r="G125" s="34"/>
      <c r="H125" s="34"/>
      <c r="I125" s="34"/>
      <c r="J125" s="50"/>
      <c r="K125" s="50"/>
      <c r="L125" s="52" t="str">
        <f aca="false">IF(A125="","",IF(AND(ISNUMBER(J125),ISNUMBER(K125),J125&gt;=1,J125&lt;=5,K125&gt;=1,K125&lt;=5),J125*K125,"Incomplete"))</f>
        <v/>
      </c>
      <c r="M125" s="52" t="str">
        <f aca="false">IF(A125="","",IF(ISNUMBER(L125),LOOKUP(L125,BandMin,BandName),"Incomplete"))</f>
        <v/>
      </c>
      <c r="N125" s="34"/>
      <c r="O125" s="34"/>
      <c r="P125" s="50"/>
      <c r="Q125" s="50"/>
      <c r="R125" s="61" t="str">
        <f aca="false">IF(A125="","",IF(AND(ISNUMBER(P125),ISNUMBER(Q125),P125&gt;=1,P125&lt;=5,Q125&gt;=1,Q125&lt;=5),P125*Q125,"Incomplete"))</f>
        <v/>
      </c>
      <c r="S125" s="52" t="str">
        <f aca="false">IF(A125="","",IF(ISNUMBER(R125),LOOKUP(R125,BandMin,BandName),"Incomplete"))</f>
        <v/>
      </c>
      <c r="T125" s="34"/>
      <c r="U125" s="50"/>
      <c r="V125" s="50"/>
      <c r="W125" s="50"/>
      <c r="X125" s="52" t="str">
        <f aca="false">IF(A125="","",IF(AND(V125="",W125=""),"Not set",IF(AND(ISNUMBER(V125),ISNUMBER(W125),V125&gt;=1,V125&lt;=5,W125&gt;=1,W125&lt;=5),V125*W125,"Incomplete")))</f>
        <v/>
      </c>
      <c r="Y125" s="52" t="str">
        <f aca="false">IF(A125="","",IF(X125="Not set","Not set",IF(ISNUMBER(X125),LOOKUP(X125,BandMin,BandName),"Incomplete")))</f>
        <v/>
      </c>
      <c r="Z125" s="34"/>
      <c r="AA125" s="54" t="str">
        <f aca="false">IF(A125="","",IF(AppetiteThreshold="","Not configured",IF(NOT(ISNUMBER(R125)),"Cannot assess - residual incomplete",IF(MATCH(S125,BandName,0)&gt;=MATCH(AppetiteThreshold,BandName,0),"Above appetite - escalation required","Within appetite"))))</f>
        <v/>
      </c>
      <c r="AB125" s="50"/>
      <c r="AC125" s="54" t="str">
        <f aca="false">IF(A125="","",IF(AB125="","No decision referenced",IFERROR(INDEX(DEC_FINAL,MATCH(AB125,DEC_ID,0))&amp;" - "&amp;INDEX(DEC_CURR,MATCH(AB125,DEC_ID,0)),"CHECK: Decision ID not found")))</f>
        <v/>
      </c>
      <c r="AD125" s="54" t="str">
        <f aca="false">IF(A125="","",IF(COUNTIF(TRT_RISK,A125)=0,"No treatment recorded",COUNTIF(TRT_RISK,A125)&amp;" action(s); "&amp;COUNTIFS(TRT_RISK,A125,TRT_OPEN,"Open")&amp;" open; "&amp;COUNTIFS(TRT_RISK,A125,TRT_OVERDUE,"Overdue")&amp;" overdue"))</f>
        <v/>
      </c>
      <c r="AE125" s="51"/>
      <c r="AF125" s="51"/>
      <c r="AG125" s="54" t="str">
        <f aca="false">IF(A125="","",IF(AI125="","Complete","Incomplete: "&amp;AI125))</f>
        <v/>
      </c>
      <c r="AH125" s="54" t="str">
        <f aca="false">IF(A125="","",IF(COUNTIF(RSK_ID,A125)&gt;1,"CHECK: duplicate ID",IF(B125="","CHECK: Supplier ID missing",IF(COUNTIF(INV_ID,B125)=0,"CHECK: Supplier ID not in inventory",IF(AND(ISNUMBER(R125),ISNUMBER(L125),R125&gt;L125),"CHECK: residual score exceeds inherent - confirm",IF(AND(ISNUMBER(AF125),AF125&lt;AsOf),"Review overdue (administrative)","OK"))))))</f>
        <v/>
      </c>
      <c r="AI125" s="52" t="str">
        <f aca="false">IF(A125="","",IF(I125="","risk owner; ","")&amp;IF(OR(J125="",K125=""),"inherent rating; ","")&amp;IF(N125="","inherent rationale; ","")&amp;IF(OR(P125="",Q125=""),"residual rating; ","")&amp;IF(AND(OR(P125&lt;&gt;"",Q125&lt;&gt;""),T125=""),"residual rationale; ","")&amp;IF(AND(OR(P125&lt;&gt;"",Q125&lt;&gt;""),U125=""),"assessment confidence; ","")&amp;IF(AE125="","assessment date; ",""))</f>
        <v/>
      </c>
      <c r="AJ125" s="52" t="str">
        <f aca="false">IF(OR(A125="",B125=""),"",IF(B125=RptSup,B125&amp;"|"&amp;COUNTIF($B$7:B125,B125),""))</f>
        <v/>
      </c>
    </row>
    <row r="126" customFormat="false" ht="15" hidden="false" customHeight="false" outlineLevel="0" collapsed="false">
      <c r="A126" s="50"/>
      <c r="B126" s="50"/>
      <c r="C126" s="59" t="str">
        <f aca="false">IF(B126="","",IFERROR(INDEX(INV_NAME,MATCH(B126,INV_ID,0)),"CHECK: Supplier ID not found"))</f>
        <v/>
      </c>
      <c r="D126" s="34"/>
      <c r="E126" s="34"/>
      <c r="F126" s="34"/>
      <c r="G126" s="34"/>
      <c r="H126" s="34"/>
      <c r="I126" s="34"/>
      <c r="J126" s="50"/>
      <c r="K126" s="50"/>
      <c r="L126" s="52" t="str">
        <f aca="false">IF(A126="","",IF(AND(ISNUMBER(J126),ISNUMBER(K126),J126&gt;=1,J126&lt;=5,K126&gt;=1,K126&lt;=5),J126*K126,"Incomplete"))</f>
        <v/>
      </c>
      <c r="M126" s="52" t="str">
        <f aca="false">IF(A126="","",IF(ISNUMBER(L126),LOOKUP(L126,BandMin,BandName),"Incomplete"))</f>
        <v/>
      </c>
      <c r="N126" s="34"/>
      <c r="O126" s="34"/>
      <c r="P126" s="50"/>
      <c r="Q126" s="50"/>
      <c r="R126" s="61" t="str">
        <f aca="false">IF(A126="","",IF(AND(ISNUMBER(P126),ISNUMBER(Q126),P126&gt;=1,P126&lt;=5,Q126&gt;=1,Q126&lt;=5),P126*Q126,"Incomplete"))</f>
        <v/>
      </c>
      <c r="S126" s="52" t="str">
        <f aca="false">IF(A126="","",IF(ISNUMBER(R126),LOOKUP(R126,BandMin,BandName),"Incomplete"))</f>
        <v/>
      </c>
      <c r="T126" s="34"/>
      <c r="U126" s="50"/>
      <c r="V126" s="50"/>
      <c r="W126" s="50"/>
      <c r="X126" s="52" t="str">
        <f aca="false">IF(A126="","",IF(AND(V126="",W126=""),"Not set",IF(AND(ISNUMBER(V126),ISNUMBER(W126),V126&gt;=1,V126&lt;=5,W126&gt;=1,W126&lt;=5),V126*W126,"Incomplete")))</f>
        <v/>
      </c>
      <c r="Y126" s="52" t="str">
        <f aca="false">IF(A126="","",IF(X126="Not set","Not set",IF(ISNUMBER(X126),LOOKUP(X126,BandMin,BandName),"Incomplete")))</f>
        <v/>
      </c>
      <c r="Z126" s="34"/>
      <c r="AA126" s="54" t="str">
        <f aca="false">IF(A126="","",IF(AppetiteThreshold="","Not configured",IF(NOT(ISNUMBER(R126)),"Cannot assess - residual incomplete",IF(MATCH(S126,BandName,0)&gt;=MATCH(AppetiteThreshold,BandName,0),"Above appetite - escalation required","Within appetite"))))</f>
        <v/>
      </c>
      <c r="AB126" s="50"/>
      <c r="AC126" s="54" t="str">
        <f aca="false">IF(A126="","",IF(AB126="","No decision referenced",IFERROR(INDEX(DEC_FINAL,MATCH(AB126,DEC_ID,0))&amp;" - "&amp;INDEX(DEC_CURR,MATCH(AB126,DEC_ID,0)),"CHECK: Decision ID not found")))</f>
        <v/>
      </c>
      <c r="AD126" s="54" t="str">
        <f aca="false">IF(A126="","",IF(COUNTIF(TRT_RISK,A126)=0,"No treatment recorded",COUNTIF(TRT_RISK,A126)&amp;" action(s); "&amp;COUNTIFS(TRT_RISK,A126,TRT_OPEN,"Open")&amp;" open; "&amp;COUNTIFS(TRT_RISK,A126,TRT_OVERDUE,"Overdue")&amp;" overdue"))</f>
        <v/>
      </c>
      <c r="AE126" s="51"/>
      <c r="AF126" s="51"/>
      <c r="AG126" s="54" t="str">
        <f aca="false">IF(A126="","",IF(AI126="","Complete","Incomplete: "&amp;AI126))</f>
        <v/>
      </c>
      <c r="AH126" s="54" t="str">
        <f aca="false">IF(A126="","",IF(COUNTIF(RSK_ID,A126)&gt;1,"CHECK: duplicate ID",IF(B126="","CHECK: Supplier ID missing",IF(COUNTIF(INV_ID,B126)=0,"CHECK: Supplier ID not in inventory",IF(AND(ISNUMBER(R126),ISNUMBER(L126),R126&gt;L126),"CHECK: residual score exceeds inherent - confirm",IF(AND(ISNUMBER(AF126),AF126&lt;AsOf),"Review overdue (administrative)","OK"))))))</f>
        <v/>
      </c>
      <c r="AI126" s="52" t="str">
        <f aca="false">IF(A126="","",IF(I126="","risk owner; ","")&amp;IF(OR(J126="",K126=""),"inherent rating; ","")&amp;IF(N126="","inherent rationale; ","")&amp;IF(OR(P126="",Q126=""),"residual rating; ","")&amp;IF(AND(OR(P126&lt;&gt;"",Q126&lt;&gt;""),T126=""),"residual rationale; ","")&amp;IF(AND(OR(P126&lt;&gt;"",Q126&lt;&gt;""),U126=""),"assessment confidence; ","")&amp;IF(AE126="","assessment date; ",""))</f>
        <v/>
      </c>
      <c r="AJ126" s="52" t="str">
        <f aca="false">IF(OR(A126="",B126=""),"",IF(B126=RptSup,B126&amp;"|"&amp;COUNTIF($B$7:B126,B126),""))</f>
        <v/>
      </c>
    </row>
    <row r="127" customFormat="false" ht="15" hidden="false" customHeight="false" outlineLevel="0" collapsed="false">
      <c r="A127" s="50"/>
      <c r="B127" s="50"/>
      <c r="C127" s="59" t="str">
        <f aca="false">IF(B127="","",IFERROR(INDEX(INV_NAME,MATCH(B127,INV_ID,0)),"CHECK: Supplier ID not found"))</f>
        <v/>
      </c>
      <c r="D127" s="34"/>
      <c r="E127" s="34"/>
      <c r="F127" s="34"/>
      <c r="G127" s="34"/>
      <c r="H127" s="34"/>
      <c r="I127" s="34"/>
      <c r="J127" s="50"/>
      <c r="K127" s="50"/>
      <c r="L127" s="52" t="str">
        <f aca="false">IF(A127="","",IF(AND(ISNUMBER(J127),ISNUMBER(K127),J127&gt;=1,J127&lt;=5,K127&gt;=1,K127&lt;=5),J127*K127,"Incomplete"))</f>
        <v/>
      </c>
      <c r="M127" s="52" t="str">
        <f aca="false">IF(A127="","",IF(ISNUMBER(L127),LOOKUP(L127,BandMin,BandName),"Incomplete"))</f>
        <v/>
      </c>
      <c r="N127" s="34"/>
      <c r="O127" s="34"/>
      <c r="P127" s="50"/>
      <c r="Q127" s="50"/>
      <c r="R127" s="61" t="str">
        <f aca="false">IF(A127="","",IF(AND(ISNUMBER(P127),ISNUMBER(Q127),P127&gt;=1,P127&lt;=5,Q127&gt;=1,Q127&lt;=5),P127*Q127,"Incomplete"))</f>
        <v/>
      </c>
      <c r="S127" s="52" t="str">
        <f aca="false">IF(A127="","",IF(ISNUMBER(R127),LOOKUP(R127,BandMin,BandName),"Incomplete"))</f>
        <v/>
      </c>
      <c r="T127" s="34"/>
      <c r="U127" s="50"/>
      <c r="V127" s="50"/>
      <c r="W127" s="50"/>
      <c r="X127" s="52" t="str">
        <f aca="false">IF(A127="","",IF(AND(V127="",W127=""),"Not set",IF(AND(ISNUMBER(V127),ISNUMBER(W127),V127&gt;=1,V127&lt;=5,W127&gt;=1,W127&lt;=5),V127*W127,"Incomplete")))</f>
        <v/>
      </c>
      <c r="Y127" s="52" t="str">
        <f aca="false">IF(A127="","",IF(X127="Not set","Not set",IF(ISNUMBER(X127),LOOKUP(X127,BandMin,BandName),"Incomplete")))</f>
        <v/>
      </c>
      <c r="Z127" s="34"/>
      <c r="AA127" s="54" t="str">
        <f aca="false">IF(A127="","",IF(AppetiteThreshold="","Not configured",IF(NOT(ISNUMBER(R127)),"Cannot assess - residual incomplete",IF(MATCH(S127,BandName,0)&gt;=MATCH(AppetiteThreshold,BandName,0),"Above appetite - escalation required","Within appetite"))))</f>
        <v/>
      </c>
      <c r="AB127" s="50"/>
      <c r="AC127" s="54" t="str">
        <f aca="false">IF(A127="","",IF(AB127="","No decision referenced",IFERROR(INDEX(DEC_FINAL,MATCH(AB127,DEC_ID,0))&amp;" - "&amp;INDEX(DEC_CURR,MATCH(AB127,DEC_ID,0)),"CHECK: Decision ID not found")))</f>
        <v/>
      </c>
      <c r="AD127" s="54" t="str">
        <f aca="false">IF(A127="","",IF(COUNTIF(TRT_RISK,A127)=0,"No treatment recorded",COUNTIF(TRT_RISK,A127)&amp;" action(s); "&amp;COUNTIFS(TRT_RISK,A127,TRT_OPEN,"Open")&amp;" open; "&amp;COUNTIFS(TRT_RISK,A127,TRT_OVERDUE,"Overdue")&amp;" overdue"))</f>
        <v/>
      </c>
      <c r="AE127" s="51"/>
      <c r="AF127" s="51"/>
      <c r="AG127" s="54" t="str">
        <f aca="false">IF(A127="","",IF(AI127="","Complete","Incomplete: "&amp;AI127))</f>
        <v/>
      </c>
      <c r="AH127" s="54" t="str">
        <f aca="false">IF(A127="","",IF(COUNTIF(RSK_ID,A127)&gt;1,"CHECK: duplicate ID",IF(B127="","CHECK: Supplier ID missing",IF(COUNTIF(INV_ID,B127)=0,"CHECK: Supplier ID not in inventory",IF(AND(ISNUMBER(R127),ISNUMBER(L127),R127&gt;L127),"CHECK: residual score exceeds inherent - confirm",IF(AND(ISNUMBER(AF127),AF127&lt;AsOf),"Review overdue (administrative)","OK"))))))</f>
        <v/>
      </c>
      <c r="AI127" s="52" t="str">
        <f aca="false">IF(A127="","",IF(I127="","risk owner; ","")&amp;IF(OR(J127="",K127=""),"inherent rating; ","")&amp;IF(N127="","inherent rationale; ","")&amp;IF(OR(P127="",Q127=""),"residual rating; ","")&amp;IF(AND(OR(P127&lt;&gt;"",Q127&lt;&gt;""),T127=""),"residual rationale; ","")&amp;IF(AND(OR(P127&lt;&gt;"",Q127&lt;&gt;""),U127=""),"assessment confidence; ","")&amp;IF(AE127="","assessment date; ",""))</f>
        <v/>
      </c>
      <c r="AJ127" s="52" t="str">
        <f aca="false">IF(OR(A127="",B127=""),"",IF(B127=RptSup,B127&amp;"|"&amp;COUNTIF($B$7:B127,B127),""))</f>
        <v/>
      </c>
    </row>
    <row r="128" customFormat="false" ht="15" hidden="false" customHeight="false" outlineLevel="0" collapsed="false">
      <c r="A128" s="50"/>
      <c r="B128" s="50"/>
      <c r="C128" s="59" t="str">
        <f aca="false">IF(B128="","",IFERROR(INDEX(INV_NAME,MATCH(B128,INV_ID,0)),"CHECK: Supplier ID not found"))</f>
        <v/>
      </c>
      <c r="D128" s="34"/>
      <c r="E128" s="34"/>
      <c r="F128" s="34"/>
      <c r="G128" s="34"/>
      <c r="H128" s="34"/>
      <c r="I128" s="34"/>
      <c r="J128" s="50"/>
      <c r="K128" s="50"/>
      <c r="L128" s="52" t="str">
        <f aca="false">IF(A128="","",IF(AND(ISNUMBER(J128),ISNUMBER(K128),J128&gt;=1,J128&lt;=5,K128&gt;=1,K128&lt;=5),J128*K128,"Incomplete"))</f>
        <v/>
      </c>
      <c r="M128" s="52" t="str">
        <f aca="false">IF(A128="","",IF(ISNUMBER(L128),LOOKUP(L128,BandMin,BandName),"Incomplete"))</f>
        <v/>
      </c>
      <c r="N128" s="34"/>
      <c r="O128" s="34"/>
      <c r="P128" s="50"/>
      <c r="Q128" s="50"/>
      <c r="R128" s="61" t="str">
        <f aca="false">IF(A128="","",IF(AND(ISNUMBER(P128),ISNUMBER(Q128),P128&gt;=1,P128&lt;=5,Q128&gt;=1,Q128&lt;=5),P128*Q128,"Incomplete"))</f>
        <v/>
      </c>
      <c r="S128" s="52" t="str">
        <f aca="false">IF(A128="","",IF(ISNUMBER(R128),LOOKUP(R128,BandMin,BandName),"Incomplete"))</f>
        <v/>
      </c>
      <c r="T128" s="34"/>
      <c r="U128" s="50"/>
      <c r="V128" s="50"/>
      <c r="W128" s="50"/>
      <c r="X128" s="52" t="str">
        <f aca="false">IF(A128="","",IF(AND(V128="",W128=""),"Not set",IF(AND(ISNUMBER(V128),ISNUMBER(W128),V128&gt;=1,V128&lt;=5,W128&gt;=1,W128&lt;=5),V128*W128,"Incomplete")))</f>
        <v/>
      </c>
      <c r="Y128" s="52" t="str">
        <f aca="false">IF(A128="","",IF(X128="Not set","Not set",IF(ISNUMBER(X128),LOOKUP(X128,BandMin,BandName),"Incomplete")))</f>
        <v/>
      </c>
      <c r="Z128" s="34"/>
      <c r="AA128" s="54" t="str">
        <f aca="false">IF(A128="","",IF(AppetiteThreshold="","Not configured",IF(NOT(ISNUMBER(R128)),"Cannot assess - residual incomplete",IF(MATCH(S128,BandName,0)&gt;=MATCH(AppetiteThreshold,BandName,0),"Above appetite - escalation required","Within appetite"))))</f>
        <v/>
      </c>
      <c r="AB128" s="50"/>
      <c r="AC128" s="54" t="str">
        <f aca="false">IF(A128="","",IF(AB128="","No decision referenced",IFERROR(INDEX(DEC_FINAL,MATCH(AB128,DEC_ID,0))&amp;" - "&amp;INDEX(DEC_CURR,MATCH(AB128,DEC_ID,0)),"CHECK: Decision ID not found")))</f>
        <v/>
      </c>
      <c r="AD128" s="54" t="str">
        <f aca="false">IF(A128="","",IF(COUNTIF(TRT_RISK,A128)=0,"No treatment recorded",COUNTIF(TRT_RISK,A128)&amp;" action(s); "&amp;COUNTIFS(TRT_RISK,A128,TRT_OPEN,"Open")&amp;" open; "&amp;COUNTIFS(TRT_RISK,A128,TRT_OVERDUE,"Overdue")&amp;" overdue"))</f>
        <v/>
      </c>
      <c r="AE128" s="51"/>
      <c r="AF128" s="51"/>
      <c r="AG128" s="54" t="str">
        <f aca="false">IF(A128="","",IF(AI128="","Complete","Incomplete: "&amp;AI128))</f>
        <v/>
      </c>
      <c r="AH128" s="54" t="str">
        <f aca="false">IF(A128="","",IF(COUNTIF(RSK_ID,A128)&gt;1,"CHECK: duplicate ID",IF(B128="","CHECK: Supplier ID missing",IF(COUNTIF(INV_ID,B128)=0,"CHECK: Supplier ID not in inventory",IF(AND(ISNUMBER(R128),ISNUMBER(L128),R128&gt;L128),"CHECK: residual score exceeds inherent - confirm",IF(AND(ISNUMBER(AF128),AF128&lt;AsOf),"Review overdue (administrative)","OK"))))))</f>
        <v/>
      </c>
      <c r="AI128" s="52" t="str">
        <f aca="false">IF(A128="","",IF(I128="","risk owner; ","")&amp;IF(OR(J128="",K128=""),"inherent rating; ","")&amp;IF(N128="","inherent rationale; ","")&amp;IF(OR(P128="",Q128=""),"residual rating; ","")&amp;IF(AND(OR(P128&lt;&gt;"",Q128&lt;&gt;""),T128=""),"residual rationale; ","")&amp;IF(AND(OR(P128&lt;&gt;"",Q128&lt;&gt;""),U128=""),"assessment confidence; ","")&amp;IF(AE128="","assessment date; ",""))</f>
        <v/>
      </c>
      <c r="AJ128" s="52" t="str">
        <f aca="false">IF(OR(A128="",B128=""),"",IF(B128=RptSup,B128&amp;"|"&amp;COUNTIF($B$7:B128,B128),""))</f>
        <v/>
      </c>
    </row>
    <row r="129" customFormat="false" ht="15" hidden="false" customHeight="false" outlineLevel="0" collapsed="false">
      <c r="A129" s="50"/>
      <c r="B129" s="50"/>
      <c r="C129" s="59" t="str">
        <f aca="false">IF(B129="","",IFERROR(INDEX(INV_NAME,MATCH(B129,INV_ID,0)),"CHECK: Supplier ID not found"))</f>
        <v/>
      </c>
      <c r="D129" s="34"/>
      <c r="E129" s="34"/>
      <c r="F129" s="34"/>
      <c r="G129" s="34"/>
      <c r="H129" s="34"/>
      <c r="I129" s="34"/>
      <c r="J129" s="50"/>
      <c r="K129" s="50"/>
      <c r="L129" s="52" t="str">
        <f aca="false">IF(A129="","",IF(AND(ISNUMBER(J129),ISNUMBER(K129),J129&gt;=1,J129&lt;=5,K129&gt;=1,K129&lt;=5),J129*K129,"Incomplete"))</f>
        <v/>
      </c>
      <c r="M129" s="52" t="str">
        <f aca="false">IF(A129="","",IF(ISNUMBER(L129),LOOKUP(L129,BandMin,BandName),"Incomplete"))</f>
        <v/>
      </c>
      <c r="N129" s="34"/>
      <c r="O129" s="34"/>
      <c r="P129" s="50"/>
      <c r="Q129" s="50"/>
      <c r="R129" s="61" t="str">
        <f aca="false">IF(A129="","",IF(AND(ISNUMBER(P129),ISNUMBER(Q129),P129&gt;=1,P129&lt;=5,Q129&gt;=1,Q129&lt;=5),P129*Q129,"Incomplete"))</f>
        <v/>
      </c>
      <c r="S129" s="52" t="str">
        <f aca="false">IF(A129="","",IF(ISNUMBER(R129),LOOKUP(R129,BandMin,BandName),"Incomplete"))</f>
        <v/>
      </c>
      <c r="T129" s="34"/>
      <c r="U129" s="50"/>
      <c r="V129" s="50"/>
      <c r="W129" s="50"/>
      <c r="X129" s="52" t="str">
        <f aca="false">IF(A129="","",IF(AND(V129="",W129=""),"Not set",IF(AND(ISNUMBER(V129),ISNUMBER(W129),V129&gt;=1,V129&lt;=5,W129&gt;=1,W129&lt;=5),V129*W129,"Incomplete")))</f>
        <v/>
      </c>
      <c r="Y129" s="52" t="str">
        <f aca="false">IF(A129="","",IF(X129="Not set","Not set",IF(ISNUMBER(X129),LOOKUP(X129,BandMin,BandName),"Incomplete")))</f>
        <v/>
      </c>
      <c r="Z129" s="34"/>
      <c r="AA129" s="54" t="str">
        <f aca="false">IF(A129="","",IF(AppetiteThreshold="","Not configured",IF(NOT(ISNUMBER(R129)),"Cannot assess - residual incomplete",IF(MATCH(S129,BandName,0)&gt;=MATCH(AppetiteThreshold,BandName,0),"Above appetite - escalation required","Within appetite"))))</f>
        <v/>
      </c>
      <c r="AB129" s="50"/>
      <c r="AC129" s="54" t="str">
        <f aca="false">IF(A129="","",IF(AB129="","No decision referenced",IFERROR(INDEX(DEC_FINAL,MATCH(AB129,DEC_ID,0))&amp;" - "&amp;INDEX(DEC_CURR,MATCH(AB129,DEC_ID,0)),"CHECK: Decision ID not found")))</f>
        <v/>
      </c>
      <c r="AD129" s="54" t="str">
        <f aca="false">IF(A129="","",IF(COUNTIF(TRT_RISK,A129)=0,"No treatment recorded",COUNTIF(TRT_RISK,A129)&amp;" action(s); "&amp;COUNTIFS(TRT_RISK,A129,TRT_OPEN,"Open")&amp;" open; "&amp;COUNTIFS(TRT_RISK,A129,TRT_OVERDUE,"Overdue")&amp;" overdue"))</f>
        <v/>
      </c>
      <c r="AE129" s="51"/>
      <c r="AF129" s="51"/>
      <c r="AG129" s="54" t="str">
        <f aca="false">IF(A129="","",IF(AI129="","Complete","Incomplete: "&amp;AI129))</f>
        <v/>
      </c>
      <c r="AH129" s="54" t="str">
        <f aca="false">IF(A129="","",IF(COUNTIF(RSK_ID,A129)&gt;1,"CHECK: duplicate ID",IF(B129="","CHECK: Supplier ID missing",IF(COUNTIF(INV_ID,B129)=0,"CHECK: Supplier ID not in inventory",IF(AND(ISNUMBER(R129),ISNUMBER(L129),R129&gt;L129),"CHECK: residual score exceeds inherent - confirm",IF(AND(ISNUMBER(AF129),AF129&lt;AsOf),"Review overdue (administrative)","OK"))))))</f>
        <v/>
      </c>
      <c r="AI129" s="52" t="str">
        <f aca="false">IF(A129="","",IF(I129="","risk owner; ","")&amp;IF(OR(J129="",K129=""),"inherent rating; ","")&amp;IF(N129="","inherent rationale; ","")&amp;IF(OR(P129="",Q129=""),"residual rating; ","")&amp;IF(AND(OR(P129&lt;&gt;"",Q129&lt;&gt;""),T129=""),"residual rationale; ","")&amp;IF(AND(OR(P129&lt;&gt;"",Q129&lt;&gt;""),U129=""),"assessment confidence; ","")&amp;IF(AE129="","assessment date; ",""))</f>
        <v/>
      </c>
      <c r="AJ129" s="52" t="str">
        <f aca="false">IF(OR(A129="",B129=""),"",IF(B129=RptSup,B129&amp;"|"&amp;COUNTIF($B$7:B129,B129),""))</f>
        <v/>
      </c>
    </row>
    <row r="130" customFormat="false" ht="15" hidden="false" customHeight="false" outlineLevel="0" collapsed="false">
      <c r="A130" s="50"/>
      <c r="B130" s="50"/>
      <c r="C130" s="59" t="str">
        <f aca="false">IF(B130="","",IFERROR(INDEX(INV_NAME,MATCH(B130,INV_ID,0)),"CHECK: Supplier ID not found"))</f>
        <v/>
      </c>
      <c r="D130" s="34"/>
      <c r="E130" s="34"/>
      <c r="F130" s="34"/>
      <c r="G130" s="34"/>
      <c r="H130" s="34"/>
      <c r="I130" s="34"/>
      <c r="J130" s="50"/>
      <c r="K130" s="50"/>
      <c r="L130" s="52" t="str">
        <f aca="false">IF(A130="","",IF(AND(ISNUMBER(J130),ISNUMBER(K130),J130&gt;=1,J130&lt;=5,K130&gt;=1,K130&lt;=5),J130*K130,"Incomplete"))</f>
        <v/>
      </c>
      <c r="M130" s="52" t="str">
        <f aca="false">IF(A130="","",IF(ISNUMBER(L130),LOOKUP(L130,BandMin,BandName),"Incomplete"))</f>
        <v/>
      </c>
      <c r="N130" s="34"/>
      <c r="O130" s="34"/>
      <c r="P130" s="50"/>
      <c r="Q130" s="50"/>
      <c r="R130" s="61" t="str">
        <f aca="false">IF(A130="","",IF(AND(ISNUMBER(P130),ISNUMBER(Q130),P130&gt;=1,P130&lt;=5,Q130&gt;=1,Q130&lt;=5),P130*Q130,"Incomplete"))</f>
        <v/>
      </c>
      <c r="S130" s="52" t="str">
        <f aca="false">IF(A130="","",IF(ISNUMBER(R130),LOOKUP(R130,BandMin,BandName),"Incomplete"))</f>
        <v/>
      </c>
      <c r="T130" s="34"/>
      <c r="U130" s="50"/>
      <c r="V130" s="50"/>
      <c r="W130" s="50"/>
      <c r="X130" s="52" t="str">
        <f aca="false">IF(A130="","",IF(AND(V130="",W130=""),"Not set",IF(AND(ISNUMBER(V130),ISNUMBER(W130),V130&gt;=1,V130&lt;=5,W130&gt;=1,W130&lt;=5),V130*W130,"Incomplete")))</f>
        <v/>
      </c>
      <c r="Y130" s="52" t="str">
        <f aca="false">IF(A130="","",IF(X130="Not set","Not set",IF(ISNUMBER(X130),LOOKUP(X130,BandMin,BandName),"Incomplete")))</f>
        <v/>
      </c>
      <c r="Z130" s="34"/>
      <c r="AA130" s="54" t="str">
        <f aca="false">IF(A130="","",IF(AppetiteThreshold="","Not configured",IF(NOT(ISNUMBER(R130)),"Cannot assess - residual incomplete",IF(MATCH(S130,BandName,0)&gt;=MATCH(AppetiteThreshold,BandName,0),"Above appetite - escalation required","Within appetite"))))</f>
        <v/>
      </c>
      <c r="AB130" s="50"/>
      <c r="AC130" s="54" t="str">
        <f aca="false">IF(A130="","",IF(AB130="","No decision referenced",IFERROR(INDEX(DEC_FINAL,MATCH(AB130,DEC_ID,0))&amp;" - "&amp;INDEX(DEC_CURR,MATCH(AB130,DEC_ID,0)),"CHECK: Decision ID not found")))</f>
        <v/>
      </c>
      <c r="AD130" s="54" t="str">
        <f aca="false">IF(A130="","",IF(COUNTIF(TRT_RISK,A130)=0,"No treatment recorded",COUNTIF(TRT_RISK,A130)&amp;" action(s); "&amp;COUNTIFS(TRT_RISK,A130,TRT_OPEN,"Open")&amp;" open; "&amp;COUNTIFS(TRT_RISK,A130,TRT_OVERDUE,"Overdue")&amp;" overdue"))</f>
        <v/>
      </c>
      <c r="AE130" s="51"/>
      <c r="AF130" s="51"/>
      <c r="AG130" s="54" t="str">
        <f aca="false">IF(A130="","",IF(AI130="","Complete","Incomplete: "&amp;AI130))</f>
        <v/>
      </c>
      <c r="AH130" s="54" t="str">
        <f aca="false">IF(A130="","",IF(COUNTIF(RSK_ID,A130)&gt;1,"CHECK: duplicate ID",IF(B130="","CHECK: Supplier ID missing",IF(COUNTIF(INV_ID,B130)=0,"CHECK: Supplier ID not in inventory",IF(AND(ISNUMBER(R130),ISNUMBER(L130),R130&gt;L130),"CHECK: residual score exceeds inherent - confirm",IF(AND(ISNUMBER(AF130),AF130&lt;AsOf),"Review overdue (administrative)","OK"))))))</f>
        <v/>
      </c>
      <c r="AI130" s="52" t="str">
        <f aca="false">IF(A130="","",IF(I130="","risk owner; ","")&amp;IF(OR(J130="",K130=""),"inherent rating; ","")&amp;IF(N130="","inherent rationale; ","")&amp;IF(OR(P130="",Q130=""),"residual rating; ","")&amp;IF(AND(OR(P130&lt;&gt;"",Q130&lt;&gt;""),T130=""),"residual rationale; ","")&amp;IF(AND(OR(P130&lt;&gt;"",Q130&lt;&gt;""),U130=""),"assessment confidence; ","")&amp;IF(AE130="","assessment date; ",""))</f>
        <v/>
      </c>
      <c r="AJ130" s="52" t="str">
        <f aca="false">IF(OR(A130="",B130=""),"",IF(B130=RptSup,B130&amp;"|"&amp;COUNTIF($B$7:B130,B130),""))</f>
        <v/>
      </c>
    </row>
    <row r="131" customFormat="false" ht="15" hidden="false" customHeight="false" outlineLevel="0" collapsed="false">
      <c r="A131" s="50"/>
      <c r="B131" s="50"/>
      <c r="C131" s="59" t="str">
        <f aca="false">IF(B131="","",IFERROR(INDEX(INV_NAME,MATCH(B131,INV_ID,0)),"CHECK: Supplier ID not found"))</f>
        <v/>
      </c>
      <c r="D131" s="34"/>
      <c r="E131" s="34"/>
      <c r="F131" s="34"/>
      <c r="G131" s="34"/>
      <c r="H131" s="34"/>
      <c r="I131" s="34"/>
      <c r="J131" s="50"/>
      <c r="K131" s="50"/>
      <c r="L131" s="52" t="str">
        <f aca="false">IF(A131="","",IF(AND(ISNUMBER(J131),ISNUMBER(K131),J131&gt;=1,J131&lt;=5,K131&gt;=1,K131&lt;=5),J131*K131,"Incomplete"))</f>
        <v/>
      </c>
      <c r="M131" s="52" t="str">
        <f aca="false">IF(A131="","",IF(ISNUMBER(L131),LOOKUP(L131,BandMin,BandName),"Incomplete"))</f>
        <v/>
      </c>
      <c r="N131" s="34"/>
      <c r="O131" s="34"/>
      <c r="P131" s="50"/>
      <c r="Q131" s="50"/>
      <c r="R131" s="61" t="str">
        <f aca="false">IF(A131="","",IF(AND(ISNUMBER(P131),ISNUMBER(Q131),P131&gt;=1,P131&lt;=5,Q131&gt;=1,Q131&lt;=5),P131*Q131,"Incomplete"))</f>
        <v/>
      </c>
      <c r="S131" s="52" t="str">
        <f aca="false">IF(A131="","",IF(ISNUMBER(R131),LOOKUP(R131,BandMin,BandName),"Incomplete"))</f>
        <v/>
      </c>
      <c r="T131" s="34"/>
      <c r="U131" s="50"/>
      <c r="V131" s="50"/>
      <c r="W131" s="50"/>
      <c r="X131" s="52" t="str">
        <f aca="false">IF(A131="","",IF(AND(V131="",W131=""),"Not set",IF(AND(ISNUMBER(V131),ISNUMBER(W131),V131&gt;=1,V131&lt;=5,W131&gt;=1,W131&lt;=5),V131*W131,"Incomplete")))</f>
        <v/>
      </c>
      <c r="Y131" s="52" t="str">
        <f aca="false">IF(A131="","",IF(X131="Not set","Not set",IF(ISNUMBER(X131),LOOKUP(X131,BandMin,BandName),"Incomplete")))</f>
        <v/>
      </c>
      <c r="Z131" s="34"/>
      <c r="AA131" s="54" t="str">
        <f aca="false">IF(A131="","",IF(AppetiteThreshold="","Not configured",IF(NOT(ISNUMBER(R131)),"Cannot assess - residual incomplete",IF(MATCH(S131,BandName,0)&gt;=MATCH(AppetiteThreshold,BandName,0),"Above appetite - escalation required","Within appetite"))))</f>
        <v/>
      </c>
      <c r="AB131" s="50"/>
      <c r="AC131" s="54" t="str">
        <f aca="false">IF(A131="","",IF(AB131="","No decision referenced",IFERROR(INDEX(DEC_FINAL,MATCH(AB131,DEC_ID,0))&amp;" - "&amp;INDEX(DEC_CURR,MATCH(AB131,DEC_ID,0)),"CHECK: Decision ID not found")))</f>
        <v/>
      </c>
      <c r="AD131" s="54" t="str">
        <f aca="false">IF(A131="","",IF(COUNTIF(TRT_RISK,A131)=0,"No treatment recorded",COUNTIF(TRT_RISK,A131)&amp;" action(s); "&amp;COUNTIFS(TRT_RISK,A131,TRT_OPEN,"Open")&amp;" open; "&amp;COUNTIFS(TRT_RISK,A131,TRT_OVERDUE,"Overdue")&amp;" overdue"))</f>
        <v/>
      </c>
      <c r="AE131" s="51"/>
      <c r="AF131" s="51"/>
      <c r="AG131" s="54" t="str">
        <f aca="false">IF(A131="","",IF(AI131="","Complete","Incomplete: "&amp;AI131))</f>
        <v/>
      </c>
      <c r="AH131" s="54" t="str">
        <f aca="false">IF(A131="","",IF(COUNTIF(RSK_ID,A131)&gt;1,"CHECK: duplicate ID",IF(B131="","CHECK: Supplier ID missing",IF(COUNTIF(INV_ID,B131)=0,"CHECK: Supplier ID not in inventory",IF(AND(ISNUMBER(R131),ISNUMBER(L131),R131&gt;L131),"CHECK: residual score exceeds inherent - confirm",IF(AND(ISNUMBER(AF131),AF131&lt;AsOf),"Review overdue (administrative)","OK"))))))</f>
        <v/>
      </c>
      <c r="AI131" s="52" t="str">
        <f aca="false">IF(A131="","",IF(I131="","risk owner; ","")&amp;IF(OR(J131="",K131=""),"inherent rating; ","")&amp;IF(N131="","inherent rationale; ","")&amp;IF(OR(P131="",Q131=""),"residual rating; ","")&amp;IF(AND(OR(P131&lt;&gt;"",Q131&lt;&gt;""),T131=""),"residual rationale; ","")&amp;IF(AND(OR(P131&lt;&gt;"",Q131&lt;&gt;""),U131=""),"assessment confidence; ","")&amp;IF(AE131="","assessment date; ",""))</f>
        <v/>
      </c>
      <c r="AJ131" s="52" t="str">
        <f aca="false">IF(OR(A131="",B131=""),"",IF(B131=RptSup,B131&amp;"|"&amp;COUNTIF($B$7:B131,B131),""))</f>
        <v/>
      </c>
    </row>
    <row r="132" customFormat="false" ht="15" hidden="false" customHeight="false" outlineLevel="0" collapsed="false">
      <c r="A132" s="50"/>
      <c r="B132" s="50"/>
      <c r="C132" s="59" t="str">
        <f aca="false">IF(B132="","",IFERROR(INDEX(INV_NAME,MATCH(B132,INV_ID,0)),"CHECK: Supplier ID not found"))</f>
        <v/>
      </c>
      <c r="D132" s="34"/>
      <c r="E132" s="34"/>
      <c r="F132" s="34"/>
      <c r="G132" s="34"/>
      <c r="H132" s="34"/>
      <c r="I132" s="34"/>
      <c r="J132" s="50"/>
      <c r="K132" s="50"/>
      <c r="L132" s="52" t="str">
        <f aca="false">IF(A132="","",IF(AND(ISNUMBER(J132),ISNUMBER(K132),J132&gt;=1,J132&lt;=5,K132&gt;=1,K132&lt;=5),J132*K132,"Incomplete"))</f>
        <v/>
      </c>
      <c r="M132" s="52" t="str">
        <f aca="false">IF(A132="","",IF(ISNUMBER(L132),LOOKUP(L132,BandMin,BandName),"Incomplete"))</f>
        <v/>
      </c>
      <c r="N132" s="34"/>
      <c r="O132" s="34"/>
      <c r="P132" s="50"/>
      <c r="Q132" s="50"/>
      <c r="R132" s="61" t="str">
        <f aca="false">IF(A132="","",IF(AND(ISNUMBER(P132),ISNUMBER(Q132),P132&gt;=1,P132&lt;=5,Q132&gt;=1,Q132&lt;=5),P132*Q132,"Incomplete"))</f>
        <v/>
      </c>
      <c r="S132" s="52" t="str">
        <f aca="false">IF(A132="","",IF(ISNUMBER(R132),LOOKUP(R132,BandMin,BandName),"Incomplete"))</f>
        <v/>
      </c>
      <c r="T132" s="34"/>
      <c r="U132" s="50"/>
      <c r="V132" s="50"/>
      <c r="W132" s="50"/>
      <c r="X132" s="52" t="str">
        <f aca="false">IF(A132="","",IF(AND(V132="",W132=""),"Not set",IF(AND(ISNUMBER(V132),ISNUMBER(W132),V132&gt;=1,V132&lt;=5,W132&gt;=1,W132&lt;=5),V132*W132,"Incomplete")))</f>
        <v/>
      </c>
      <c r="Y132" s="52" t="str">
        <f aca="false">IF(A132="","",IF(X132="Not set","Not set",IF(ISNUMBER(X132),LOOKUP(X132,BandMin,BandName),"Incomplete")))</f>
        <v/>
      </c>
      <c r="Z132" s="34"/>
      <c r="AA132" s="54" t="str">
        <f aca="false">IF(A132="","",IF(AppetiteThreshold="","Not configured",IF(NOT(ISNUMBER(R132)),"Cannot assess - residual incomplete",IF(MATCH(S132,BandName,0)&gt;=MATCH(AppetiteThreshold,BandName,0),"Above appetite - escalation required","Within appetite"))))</f>
        <v/>
      </c>
      <c r="AB132" s="50"/>
      <c r="AC132" s="54" t="str">
        <f aca="false">IF(A132="","",IF(AB132="","No decision referenced",IFERROR(INDEX(DEC_FINAL,MATCH(AB132,DEC_ID,0))&amp;" - "&amp;INDEX(DEC_CURR,MATCH(AB132,DEC_ID,0)),"CHECK: Decision ID not found")))</f>
        <v/>
      </c>
      <c r="AD132" s="54" t="str">
        <f aca="false">IF(A132="","",IF(COUNTIF(TRT_RISK,A132)=0,"No treatment recorded",COUNTIF(TRT_RISK,A132)&amp;" action(s); "&amp;COUNTIFS(TRT_RISK,A132,TRT_OPEN,"Open")&amp;" open; "&amp;COUNTIFS(TRT_RISK,A132,TRT_OVERDUE,"Overdue")&amp;" overdue"))</f>
        <v/>
      </c>
      <c r="AE132" s="51"/>
      <c r="AF132" s="51"/>
      <c r="AG132" s="54" t="str">
        <f aca="false">IF(A132="","",IF(AI132="","Complete","Incomplete: "&amp;AI132))</f>
        <v/>
      </c>
      <c r="AH132" s="54" t="str">
        <f aca="false">IF(A132="","",IF(COUNTIF(RSK_ID,A132)&gt;1,"CHECK: duplicate ID",IF(B132="","CHECK: Supplier ID missing",IF(COUNTIF(INV_ID,B132)=0,"CHECK: Supplier ID not in inventory",IF(AND(ISNUMBER(R132),ISNUMBER(L132),R132&gt;L132),"CHECK: residual score exceeds inherent - confirm",IF(AND(ISNUMBER(AF132),AF132&lt;AsOf),"Review overdue (administrative)","OK"))))))</f>
        <v/>
      </c>
      <c r="AI132" s="52" t="str">
        <f aca="false">IF(A132="","",IF(I132="","risk owner; ","")&amp;IF(OR(J132="",K132=""),"inherent rating; ","")&amp;IF(N132="","inherent rationale; ","")&amp;IF(OR(P132="",Q132=""),"residual rating; ","")&amp;IF(AND(OR(P132&lt;&gt;"",Q132&lt;&gt;""),T132=""),"residual rationale; ","")&amp;IF(AND(OR(P132&lt;&gt;"",Q132&lt;&gt;""),U132=""),"assessment confidence; ","")&amp;IF(AE132="","assessment date; ",""))</f>
        <v/>
      </c>
      <c r="AJ132" s="52" t="str">
        <f aca="false">IF(OR(A132="",B132=""),"",IF(B132=RptSup,B132&amp;"|"&amp;COUNTIF($B$7:B132,B132),""))</f>
        <v/>
      </c>
    </row>
    <row r="133" customFormat="false" ht="15" hidden="false" customHeight="false" outlineLevel="0" collapsed="false">
      <c r="A133" s="50"/>
      <c r="B133" s="50"/>
      <c r="C133" s="59" t="str">
        <f aca="false">IF(B133="","",IFERROR(INDEX(INV_NAME,MATCH(B133,INV_ID,0)),"CHECK: Supplier ID not found"))</f>
        <v/>
      </c>
      <c r="D133" s="34"/>
      <c r="E133" s="34"/>
      <c r="F133" s="34"/>
      <c r="G133" s="34"/>
      <c r="H133" s="34"/>
      <c r="I133" s="34"/>
      <c r="J133" s="50"/>
      <c r="K133" s="50"/>
      <c r="L133" s="52" t="str">
        <f aca="false">IF(A133="","",IF(AND(ISNUMBER(J133),ISNUMBER(K133),J133&gt;=1,J133&lt;=5,K133&gt;=1,K133&lt;=5),J133*K133,"Incomplete"))</f>
        <v/>
      </c>
      <c r="M133" s="52" t="str">
        <f aca="false">IF(A133="","",IF(ISNUMBER(L133),LOOKUP(L133,BandMin,BandName),"Incomplete"))</f>
        <v/>
      </c>
      <c r="N133" s="34"/>
      <c r="O133" s="34"/>
      <c r="P133" s="50"/>
      <c r="Q133" s="50"/>
      <c r="R133" s="61" t="str">
        <f aca="false">IF(A133="","",IF(AND(ISNUMBER(P133),ISNUMBER(Q133),P133&gt;=1,P133&lt;=5,Q133&gt;=1,Q133&lt;=5),P133*Q133,"Incomplete"))</f>
        <v/>
      </c>
      <c r="S133" s="52" t="str">
        <f aca="false">IF(A133="","",IF(ISNUMBER(R133),LOOKUP(R133,BandMin,BandName),"Incomplete"))</f>
        <v/>
      </c>
      <c r="T133" s="34"/>
      <c r="U133" s="50"/>
      <c r="V133" s="50"/>
      <c r="W133" s="50"/>
      <c r="X133" s="52" t="str">
        <f aca="false">IF(A133="","",IF(AND(V133="",W133=""),"Not set",IF(AND(ISNUMBER(V133),ISNUMBER(W133),V133&gt;=1,V133&lt;=5,W133&gt;=1,W133&lt;=5),V133*W133,"Incomplete")))</f>
        <v/>
      </c>
      <c r="Y133" s="52" t="str">
        <f aca="false">IF(A133="","",IF(X133="Not set","Not set",IF(ISNUMBER(X133),LOOKUP(X133,BandMin,BandName),"Incomplete")))</f>
        <v/>
      </c>
      <c r="Z133" s="34"/>
      <c r="AA133" s="54" t="str">
        <f aca="false">IF(A133="","",IF(AppetiteThreshold="","Not configured",IF(NOT(ISNUMBER(R133)),"Cannot assess - residual incomplete",IF(MATCH(S133,BandName,0)&gt;=MATCH(AppetiteThreshold,BandName,0),"Above appetite - escalation required","Within appetite"))))</f>
        <v/>
      </c>
      <c r="AB133" s="50"/>
      <c r="AC133" s="54" t="str">
        <f aca="false">IF(A133="","",IF(AB133="","No decision referenced",IFERROR(INDEX(DEC_FINAL,MATCH(AB133,DEC_ID,0))&amp;" - "&amp;INDEX(DEC_CURR,MATCH(AB133,DEC_ID,0)),"CHECK: Decision ID not found")))</f>
        <v/>
      </c>
      <c r="AD133" s="54" t="str">
        <f aca="false">IF(A133="","",IF(COUNTIF(TRT_RISK,A133)=0,"No treatment recorded",COUNTIF(TRT_RISK,A133)&amp;" action(s); "&amp;COUNTIFS(TRT_RISK,A133,TRT_OPEN,"Open")&amp;" open; "&amp;COUNTIFS(TRT_RISK,A133,TRT_OVERDUE,"Overdue")&amp;" overdue"))</f>
        <v/>
      </c>
      <c r="AE133" s="51"/>
      <c r="AF133" s="51"/>
      <c r="AG133" s="54" t="str">
        <f aca="false">IF(A133="","",IF(AI133="","Complete","Incomplete: "&amp;AI133))</f>
        <v/>
      </c>
      <c r="AH133" s="54" t="str">
        <f aca="false">IF(A133="","",IF(COUNTIF(RSK_ID,A133)&gt;1,"CHECK: duplicate ID",IF(B133="","CHECK: Supplier ID missing",IF(COUNTIF(INV_ID,B133)=0,"CHECK: Supplier ID not in inventory",IF(AND(ISNUMBER(R133),ISNUMBER(L133),R133&gt;L133),"CHECK: residual score exceeds inherent - confirm",IF(AND(ISNUMBER(AF133),AF133&lt;AsOf),"Review overdue (administrative)","OK"))))))</f>
        <v/>
      </c>
      <c r="AI133" s="52" t="str">
        <f aca="false">IF(A133="","",IF(I133="","risk owner; ","")&amp;IF(OR(J133="",K133=""),"inherent rating; ","")&amp;IF(N133="","inherent rationale; ","")&amp;IF(OR(P133="",Q133=""),"residual rating; ","")&amp;IF(AND(OR(P133&lt;&gt;"",Q133&lt;&gt;""),T133=""),"residual rationale; ","")&amp;IF(AND(OR(P133&lt;&gt;"",Q133&lt;&gt;""),U133=""),"assessment confidence; ","")&amp;IF(AE133="","assessment date; ",""))</f>
        <v/>
      </c>
      <c r="AJ133" s="52" t="str">
        <f aca="false">IF(OR(A133="",B133=""),"",IF(B133=RptSup,B133&amp;"|"&amp;COUNTIF($B$7:B133,B133),""))</f>
        <v/>
      </c>
    </row>
    <row r="134" customFormat="false" ht="15" hidden="false" customHeight="false" outlineLevel="0" collapsed="false">
      <c r="A134" s="50"/>
      <c r="B134" s="50"/>
      <c r="C134" s="59" t="str">
        <f aca="false">IF(B134="","",IFERROR(INDEX(INV_NAME,MATCH(B134,INV_ID,0)),"CHECK: Supplier ID not found"))</f>
        <v/>
      </c>
      <c r="D134" s="34"/>
      <c r="E134" s="34"/>
      <c r="F134" s="34"/>
      <c r="G134" s="34"/>
      <c r="H134" s="34"/>
      <c r="I134" s="34"/>
      <c r="J134" s="50"/>
      <c r="K134" s="50"/>
      <c r="L134" s="52" t="str">
        <f aca="false">IF(A134="","",IF(AND(ISNUMBER(J134),ISNUMBER(K134),J134&gt;=1,J134&lt;=5,K134&gt;=1,K134&lt;=5),J134*K134,"Incomplete"))</f>
        <v/>
      </c>
      <c r="M134" s="52" t="str">
        <f aca="false">IF(A134="","",IF(ISNUMBER(L134),LOOKUP(L134,BandMin,BandName),"Incomplete"))</f>
        <v/>
      </c>
      <c r="N134" s="34"/>
      <c r="O134" s="34"/>
      <c r="P134" s="50"/>
      <c r="Q134" s="50"/>
      <c r="R134" s="61" t="str">
        <f aca="false">IF(A134="","",IF(AND(ISNUMBER(P134),ISNUMBER(Q134),P134&gt;=1,P134&lt;=5,Q134&gt;=1,Q134&lt;=5),P134*Q134,"Incomplete"))</f>
        <v/>
      </c>
      <c r="S134" s="52" t="str">
        <f aca="false">IF(A134="","",IF(ISNUMBER(R134),LOOKUP(R134,BandMin,BandName),"Incomplete"))</f>
        <v/>
      </c>
      <c r="T134" s="34"/>
      <c r="U134" s="50"/>
      <c r="V134" s="50"/>
      <c r="W134" s="50"/>
      <c r="X134" s="52" t="str">
        <f aca="false">IF(A134="","",IF(AND(V134="",W134=""),"Not set",IF(AND(ISNUMBER(V134),ISNUMBER(W134),V134&gt;=1,V134&lt;=5,W134&gt;=1,W134&lt;=5),V134*W134,"Incomplete")))</f>
        <v/>
      </c>
      <c r="Y134" s="52" t="str">
        <f aca="false">IF(A134="","",IF(X134="Not set","Not set",IF(ISNUMBER(X134),LOOKUP(X134,BandMin,BandName),"Incomplete")))</f>
        <v/>
      </c>
      <c r="Z134" s="34"/>
      <c r="AA134" s="54" t="str">
        <f aca="false">IF(A134="","",IF(AppetiteThreshold="","Not configured",IF(NOT(ISNUMBER(R134)),"Cannot assess - residual incomplete",IF(MATCH(S134,BandName,0)&gt;=MATCH(AppetiteThreshold,BandName,0),"Above appetite - escalation required","Within appetite"))))</f>
        <v/>
      </c>
      <c r="AB134" s="50"/>
      <c r="AC134" s="54" t="str">
        <f aca="false">IF(A134="","",IF(AB134="","No decision referenced",IFERROR(INDEX(DEC_FINAL,MATCH(AB134,DEC_ID,0))&amp;" - "&amp;INDEX(DEC_CURR,MATCH(AB134,DEC_ID,0)),"CHECK: Decision ID not found")))</f>
        <v/>
      </c>
      <c r="AD134" s="54" t="str">
        <f aca="false">IF(A134="","",IF(COUNTIF(TRT_RISK,A134)=0,"No treatment recorded",COUNTIF(TRT_RISK,A134)&amp;" action(s); "&amp;COUNTIFS(TRT_RISK,A134,TRT_OPEN,"Open")&amp;" open; "&amp;COUNTIFS(TRT_RISK,A134,TRT_OVERDUE,"Overdue")&amp;" overdue"))</f>
        <v/>
      </c>
      <c r="AE134" s="51"/>
      <c r="AF134" s="51"/>
      <c r="AG134" s="54" t="str">
        <f aca="false">IF(A134="","",IF(AI134="","Complete","Incomplete: "&amp;AI134))</f>
        <v/>
      </c>
      <c r="AH134" s="54" t="str">
        <f aca="false">IF(A134="","",IF(COUNTIF(RSK_ID,A134)&gt;1,"CHECK: duplicate ID",IF(B134="","CHECK: Supplier ID missing",IF(COUNTIF(INV_ID,B134)=0,"CHECK: Supplier ID not in inventory",IF(AND(ISNUMBER(R134),ISNUMBER(L134),R134&gt;L134),"CHECK: residual score exceeds inherent - confirm",IF(AND(ISNUMBER(AF134),AF134&lt;AsOf),"Review overdue (administrative)","OK"))))))</f>
        <v/>
      </c>
      <c r="AI134" s="52" t="str">
        <f aca="false">IF(A134="","",IF(I134="","risk owner; ","")&amp;IF(OR(J134="",K134=""),"inherent rating; ","")&amp;IF(N134="","inherent rationale; ","")&amp;IF(OR(P134="",Q134=""),"residual rating; ","")&amp;IF(AND(OR(P134&lt;&gt;"",Q134&lt;&gt;""),T134=""),"residual rationale; ","")&amp;IF(AND(OR(P134&lt;&gt;"",Q134&lt;&gt;""),U134=""),"assessment confidence; ","")&amp;IF(AE134="","assessment date; ",""))</f>
        <v/>
      </c>
      <c r="AJ134" s="52" t="str">
        <f aca="false">IF(OR(A134="",B134=""),"",IF(B134=RptSup,B134&amp;"|"&amp;COUNTIF($B$7:B134,B134),""))</f>
        <v/>
      </c>
    </row>
    <row r="135" customFormat="false" ht="15" hidden="false" customHeight="false" outlineLevel="0" collapsed="false">
      <c r="A135" s="50"/>
      <c r="B135" s="50"/>
      <c r="C135" s="59" t="str">
        <f aca="false">IF(B135="","",IFERROR(INDEX(INV_NAME,MATCH(B135,INV_ID,0)),"CHECK: Supplier ID not found"))</f>
        <v/>
      </c>
      <c r="D135" s="34"/>
      <c r="E135" s="34"/>
      <c r="F135" s="34"/>
      <c r="G135" s="34"/>
      <c r="H135" s="34"/>
      <c r="I135" s="34"/>
      <c r="J135" s="50"/>
      <c r="K135" s="50"/>
      <c r="L135" s="52" t="str">
        <f aca="false">IF(A135="","",IF(AND(ISNUMBER(J135),ISNUMBER(K135),J135&gt;=1,J135&lt;=5,K135&gt;=1,K135&lt;=5),J135*K135,"Incomplete"))</f>
        <v/>
      </c>
      <c r="M135" s="52" t="str">
        <f aca="false">IF(A135="","",IF(ISNUMBER(L135),LOOKUP(L135,BandMin,BandName),"Incomplete"))</f>
        <v/>
      </c>
      <c r="N135" s="34"/>
      <c r="O135" s="34"/>
      <c r="P135" s="50"/>
      <c r="Q135" s="50"/>
      <c r="R135" s="61" t="str">
        <f aca="false">IF(A135="","",IF(AND(ISNUMBER(P135),ISNUMBER(Q135),P135&gt;=1,P135&lt;=5,Q135&gt;=1,Q135&lt;=5),P135*Q135,"Incomplete"))</f>
        <v/>
      </c>
      <c r="S135" s="52" t="str">
        <f aca="false">IF(A135="","",IF(ISNUMBER(R135),LOOKUP(R135,BandMin,BandName),"Incomplete"))</f>
        <v/>
      </c>
      <c r="T135" s="34"/>
      <c r="U135" s="50"/>
      <c r="V135" s="50"/>
      <c r="W135" s="50"/>
      <c r="X135" s="52" t="str">
        <f aca="false">IF(A135="","",IF(AND(V135="",W135=""),"Not set",IF(AND(ISNUMBER(V135),ISNUMBER(W135),V135&gt;=1,V135&lt;=5,W135&gt;=1,W135&lt;=5),V135*W135,"Incomplete")))</f>
        <v/>
      </c>
      <c r="Y135" s="52" t="str">
        <f aca="false">IF(A135="","",IF(X135="Not set","Not set",IF(ISNUMBER(X135),LOOKUP(X135,BandMin,BandName),"Incomplete")))</f>
        <v/>
      </c>
      <c r="Z135" s="34"/>
      <c r="AA135" s="54" t="str">
        <f aca="false">IF(A135="","",IF(AppetiteThreshold="","Not configured",IF(NOT(ISNUMBER(R135)),"Cannot assess - residual incomplete",IF(MATCH(S135,BandName,0)&gt;=MATCH(AppetiteThreshold,BandName,0),"Above appetite - escalation required","Within appetite"))))</f>
        <v/>
      </c>
      <c r="AB135" s="50"/>
      <c r="AC135" s="54" t="str">
        <f aca="false">IF(A135="","",IF(AB135="","No decision referenced",IFERROR(INDEX(DEC_FINAL,MATCH(AB135,DEC_ID,0))&amp;" - "&amp;INDEX(DEC_CURR,MATCH(AB135,DEC_ID,0)),"CHECK: Decision ID not found")))</f>
        <v/>
      </c>
      <c r="AD135" s="54" t="str">
        <f aca="false">IF(A135="","",IF(COUNTIF(TRT_RISK,A135)=0,"No treatment recorded",COUNTIF(TRT_RISK,A135)&amp;" action(s); "&amp;COUNTIFS(TRT_RISK,A135,TRT_OPEN,"Open")&amp;" open; "&amp;COUNTIFS(TRT_RISK,A135,TRT_OVERDUE,"Overdue")&amp;" overdue"))</f>
        <v/>
      </c>
      <c r="AE135" s="51"/>
      <c r="AF135" s="51"/>
      <c r="AG135" s="54" t="str">
        <f aca="false">IF(A135="","",IF(AI135="","Complete","Incomplete: "&amp;AI135))</f>
        <v/>
      </c>
      <c r="AH135" s="54" t="str">
        <f aca="false">IF(A135="","",IF(COUNTIF(RSK_ID,A135)&gt;1,"CHECK: duplicate ID",IF(B135="","CHECK: Supplier ID missing",IF(COUNTIF(INV_ID,B135)=0,"CHECK: Supplier ID not in inventory",IF(AND(ISNUMBER(R135),ISNUMBER(L135),R135&gt;L135),"CHECK: residual score exceeds inherent - confirm",IF(AND(ISNUMBER(AF135),AF135&lt;AsOf),"Review overdue (administrative)","OK"))))))</f>
        <v/>
      </c>
      <c r="AI135" s="52" t="str">
        <f aca="false">IF(A135="","",IF(I135="","risk owner; ","")&amp;IF(OR(J135="",K135=""),"inherent rating; ","")&amp;IF(N135="","inherent rationale; ","")&amp;IF(OR(P135="",Q135=""),"residual rating; ","")&amp;IF(AND(OR(P135&lt;&gt;"",Q135&lt;&gt;""),T135=""),"residual rationale; ","")&amp;IF(AND(OR(P135&lt;&gt;"",Q135&lt;&gt;""),U135=""),"assessment confidence; ","")&amp;IF(AE135="","assessment date; ",""))</f>
        <v/>
      </c>
      <c r="AJ135" s="52" t="str">
        <f aca="false">IF(OR(A135="",B135=""),"",IF(B135=RptSup,B135&amp;"|"&amp;COUNTIF($B$7:B135,B135),""))</f>
        <v/>
      </c>
    </row>
    <row r="136" customFormat="false" ht="15" hidden="false" customHeight="false" outlineLevel="0" collapsed="false">
      <c r="A136" s="50"/>
      <c r="B136" s="50"/>
      <c r="C136" s="59" t="str">
        <f aca="false">IF(B136="","",IFERROR(INDEX(INV_NAME,MATCH(B136,INV_ID,0)),"CHECK: Supplier ID not found"))</f>
        <v/>
      </c>
      <c r="D136" s="34"/>
      <c r="E136" s="34"/>
      <c r="F136" s="34"/>
      <c r="G136" s="34"/>
      <c r="H136" s="34"/>
      <c r="I136" s="34"/>
      <c r="J136" s="50"/>
      <c r="K136" s="50"/>
      <c r="L136" s="52" t="str">
        <f aca="false">IF(A136="","",IF(AND(ISNUMBER(J136),ISNUMBER(K136),J136&gt;=1,J136&lt;=5,K136&gt;=1,K136&lt;=5),J136*K136,"Incomplete"))</f>
        <v/>
      </c>
      <c r="M136" s="52" t="str">
        <f aca="false">IF(A136="","",IF(ISNUMBER(L136),LOOKUP(L136,BandMin,BandName),"Incomplete"))</f>
        <v/>
      </c>
      <c r="N136" s="34"/>
      <c r="O136" s="34"/>
      <c r="P136" s="50"/>
      <c r="Q136" s="50"/>
      <c r="R136" s="61" t="str">
        <f aca="false">IF(A136="","",IF(AND(ISNUMBER(P136),ISNUMBER(Q136),P136&gt;=1,P136&lt;=5,Q136&gt;=1,Q136&lt;=5),P136*Q136,"Incomplete"))</f>
        <v/>
      </c>
      <c r="S136" s="52" t="str">
        <f aca="false">IF(A136="","",IF(ISNUMBER(R136),LOOKUP(R136,BandMin,BandName),"Incomplete"))</f>
        <v/>
      </c>
      <c r="T136" s="34"/>
      <c r="U136" s="50"/>
      <c r="V136" s="50"/>
      <c r="W136" s="50"/>
      <c r="X136" s="52" t="str">
        <f aca="false">IF(A136="","",IF(AND(V136="",W136=""),"Not set",IF(AND(ISNUMBER(V136),ISNUMBER(W136),V136&gt;=1,V136&lt;=5,W136&gt;=1,W136&lt;=5),V136*W136,"Incomplete")))</f>
        <v/>
      </c>
      <c r="Y136" s="52" t="str">
        <f aca="false">IF(A136="","",IF(X136="Not set","Not set",IF(ISNUMBER(X136),LOOKUP(X136,BandMin,BandName),"Incomplete")))</f>
        <v/>
      </c>
      <c r="Z136" s="34"/>
      <c r="AA136" s="54" t="str">
        <f aca="false">IF(A136="","",IF(AppetiteThreshold="","Not configured",IF(NOT(ISNUMBER(R136)),"Cannot assess - residual incomplete",IF(MATCH(S136,BandName,0)&gt;=MATCH(AppetiteThreshold,BandName,0),"Above appetite - escalation required","Within appetite"))))</f>
        <v/>
      </c>
      <c r="AB136" s="50"/>
      <c r="AC136" s="54" t="str">
        <f aca="false">IF(A136="","",IF(AB136="","No decision referenced",IFERROR(INDEX(DEC_FINAL,MATCH(AB136,DEC_ID,0))&amp;" - "&amp;INDEX(DEC_CURR,MATCH(AB136,DEC_ID,0)),"CHECK: Decision ID not found")))</f>
        <v/>
      </c>
      <c r="AD136" s="54" t="str">
        <f aca="false">IF(A136="","",IF(COUNTIF(TRT_RISK,A136)=0,"No treatment recorded",COUNTIF(TRT_RISK,A136)&amp;" action(s); "&amp;COUNTIFS(TRT_RISK,A136,TRT_OPEN,"Open")&amp;" open; "&amp;COUNTIFS(TRT_RISK,A136,TRT_OVERDUE,"Overdue")&amp;" overdue"))</f>
        <v/>
      </c>
      <c r="AE136" s="51"/>
      <c r="AF136" s="51"/>
      <c r="AG136" s="54" t="str">
        <f aca="false">IF(A136="","",IF(AI136="","Complete","Incomplete: "&amp;AI136))</f>
        <v/>
      </c>
      <c r="AH136" s="54" t="str">
        <f aca="false">IF(A136="","",IF(COUNTIF(RSK_ID,A136)&gt;1,"CHECK: duplicate ID",IF(B136="","CHECK: Supplier ID missing",IF(COUNTIF(INV_ID,B136)=0,"CHECK: Supplier ID not in inventory",IF(AND(ISNUMBER(R136),ISNUMBER(L136),R136&gt;L136),"CHECK: residual score exceeds inherent - confirm",IF(AND(ISNUMBER(AF136),AF136&lt;AsOf),"Review overdue (administrative)","OK"))))))</f>
        <v/>
      </c>
      <c r="AI136" s="52" t="str">
        <f aca="false">IF(A136="","",IF(I136="","risk owner; ","")&amp;IF(OR(J136="",K136=""),"inherent rating; ","")&amp;IF(N136="","inherent rationale; ","")&amp;IF(OR(P136="",Q136=""),"residual rating; ","")&amp;IF(AND(OR(P136&lt;&gt;"",Q136&lt;&gt;""),T136=""),"residual rationale; ","")&amp;IF(AND(OR(P136&lt;&gt;"",Q136&lt;&gt;""),U136=""),"assessment confidence; ","")&amp;IF(AE136="","assessment date; ",""))</f>
        <v/>
      </c>
      <c r="AJ136" s="52" t="str">
        <f aca="false">IF(OR(A136="",B136=""),"",IF(B136=RptSup,B136&amp;"|"&amp;COUNTIF($B$7:B136,B136),""))</f>
        <v/>
      </c>
    </row>
    <row r="137" customFormat="false" ht="15" hidden="false" customHeight="false" outlineLevel="0" collapsed="false">
      <c r="A137" s="50"/>
      <c r="B137" s="50"/>
      <c r="C137" s="59" t="str">
        <f aca="false">IF(B137="","",IFERROR(INDEX(INV_NAME,MATCH(B137,INV_ID,0)),"CHECK: Supplier ID not found"))</f>
        <v/>
      </c>
      <c r="D137" s="34"/>
      <c r="E137" s="34"/>
      <c r="F137" s="34"/>
      <c r="G137" s="34"/>
      <c r="H137" s="34"/>
      <c r="I137" s="34"/>
      <c r="J137" s="50"/>
      <c r="K137" s="50"/>
      <c r="L137" s="52" t="str">
        <f aca="false">IF(A137="","",IF(AND(ISNUMBER(J137),ISNUMBER(K137),J137&gt;=1,J137&lt;=5,K137&gt;=1,K137&lt;=5),J137*K137,"Incomplete"))</f>
        <v/>
      </c>
      <c r="M137" s="52" t="str">
        <f aca="false">IF(A137="","",IF(ISNUMBER(L137),LOOKUP(L137,BandMin,BandName),"Incomplete"))</f>
        <v/>
      </c>
      <c r="N137" s="34"/>
      <c r="O137" s="34"/>
      <c r="P137" s="50"/>
      <c r="Q137" s="50"/>
      <c r="R137" s="61" t="str">
        <f aca="false">IF(A137="","",IF(AND(ISNUMBER(P137),ISNUMBER(Q137),P137&gt;=1,P137&lt;=5,Q137&gt;=1,Q137&lt;=5),P137*Q137,"Incomplete"))</f>
        <v/>
      </c>
      <c r="S137" s="52" t="str">
        <f aca="false">IF(A137="","",IF(ISNUMBER(R137),LOOKUP(R137,BandMin,BandName),"Incomplete"))</f>
        <v/>
      </c>
      <c r="T137" s="34"/>
      <c r="U137" s="50"/>
      <c r="V137" s="50"/>
      <c r="W137" s="50"/>
      <c r="X137" s="52" t="str">
        <f aca="false">IF(A137="","",IF(AND(V137="",W137=""),"Not set",IF(AND(ISNUMBER(V137),ISNUMBER(W137),V137&gt;=1,V137&lt;=5,W137&gt;=1,W137&lt;=5),V137*W137,"Incomplete")))</f>
        <v/>
      </c>
      <c r="Y137" s="52" t="str">
        <f aca="false">IF(A137="","",IF(X137="Not set","Not set",IF(ISNUMBER(X137),LOOKUP(X137,BandMin,BandName),"Incomplete")))</f>
        <v/>
      </c>
      <c r="Z137" s="34"/>
      <c r="AA137" s="54" t="str">
        <f aca="false">IF(A137="","",IF(AppetiteThreshold="","Not configured",IF(NOT(ISNUMBER(R137)),"Cannot assess - residual incomplete",IF(MATCH(S137,BandName,0)&gt;=MATCH(AppetiteThreshold,BandName,0),"Above appetite - escalation required","Within appetite"))))</f>
        <v/>
      </c>
      <c r="AB137" s="50"/>
      <c r="AC137" s="54" t="str">
        <f aca="false">IF(A137="","",IF(AB137="","No decision referenced",IFERROR(INDEX(DEC_FINAL,MATCH(AB137,DEC_ID,0))&amp;" - "&amp;INDEX(DEC_CURR,MATCH(AB137,DEC_ID,0)),"CHECK: Decision ID not found")))</f>
        <v/>
      </c>
      <c r="AD137" s="54" t="str">
        <f aca="false">IF(A137="","",IF(COUNTIF(TRT_RISK,A137)=0,"No treatment recorded",COUNTIF(TRT_RISK,A137)&amp;" action(s); "&amp;COUNTIFS(TRT_RISK,A137,TRT_OPEN,"Open")&amp;" open; "&amp;COUNTIFS(TRT_RISK,A137,TRT_OVERDUE,"Overdue")&amp;" overdue"))</f>
        <v/>
      </c>
      <c r="AE137" s="51"/>
      <c r="AF137" s="51"/>
      <c r="AG137" s="54" t="str">
        <f aca="false">IF(A137="","",IF(AI137="","Complete","Incomplete: "&amp;AI137))</f>
        <v/>
      </c>
      <c r="AH137" s="54" t="str">
        <f aca="false">IF(A137="","",IF(COUNTIF(RSK_ID,A137)&gt;1,"CHECK: duplicate ID",IF(B137="","CHECK: Supplier ID missing",IF(COUNTIF(INV_ID,B137)=0,"CHECK: Supplier ID not in inventory",IF(AND(ISNUMBER(R137),ISNUMBER(L137),R137&gt;L137),"CHECK: residual score exceeds inherent - confirm",IF(AND(ISNUMBER(AF137),AF137&lt;AsOf),"Review overdue (administrative)","OK"))))))</f>
        <v/>
      </c>
      <c r="AI137" s="52" t="str">
        <f aca="false">IF(A137="","",IF(I137="","risk owner; ","")&amp;IF(OR(J137="",K137=""),"inherent rating; ","")&amp;IF(N137="","inherent rationale; ","")&amp;IF(OR(P137="",Q137=""),"residual rating; ","")&amp;IF(AND(OR(P137&lt;&gt;"",Q137&lt;&gt;""),T137=""),"residual rationale; ","")&amp;IF(AND(OR(P137&lt;&gt;"",Q137&lt;&gt;""),U137=""),"assessment confidence; ","")&amp;IF(AE137="","assessment date; ",""))</f>
        <v/>
      </c>
      <c r="AJ137" s="52" t="str">
        <f aca="false">IF(OR(A137="",B137=""),"",IF(B137=RptSup,B137&amp;"|"&amp;COUNTIF($B$7:B137,B137),""))</f>
        <v/>
      </c>
    </row>
    <row r="138" customFormat="false" ht="15" hidden="false" customHeight="false" outlineLevel="0" collapsed="false">
      <c r="A138" s="50"/>
      <c r="B138" s="50"/>
      <c r="C138" s="59" t="str">
        <f aca="false">IF(B138="","",IFERROR(INDEX(INV_NAME,MATCH(B138,INV_ID,0)),"CHECK: Supplier ID not found"))</f>
        <v/>
      </c>
      <c r="D138" s="34"/>
      <c r="E138" s="34"/>
      <c r="F138" s="34"/>
      <c r="G138" s="34"/>
      <c r="H138" s="34"/>
      <c r="I138" s="34"/>
      <c r="J138" s="50"/>
      <c r="K138" s="50"/>
      <c r="L138" s="52" t="str">
        <f aca="false">IF(A138="","",IF(AND(ISNUMBER(J138),ISNUMBER(K138),J138&gt;=1,J138&lt;=5,K138&gt;=1,K138&lt;=5),J138*K138,"Incomplete"))</f>
        <v/>
      </c>
      <c r="M138" s="52" t="str">
        <f aca="false">IF(A138="","",IF(ISNUMBER(L138),LOOKUP(L138,BandMin,BandName),"Incomplete"))</f>
        <v/>
      </c>
      <c r="N138" s="34"/>
      <c r="O138" s="34"/>
      <c r="P138" s="50"/>
      <c r="Q138" s="50"/>
      <c r="R138" s="61" t="str">
        <f aca="false">IF(A138="","",IF(AND(ISNUMBER(P138),ISNUMBER(Q138),P138&gt;=1,P138&lt;=5,Q138&gt;=1,Q138&lt;=5),P138*Q138,"Incomplete"))</f>
        <v/>
      </c>
      <c r="S138" s="52" t="str">
        <f aca="false">IF(A138="","",IF(ISNUMBER(R138),LOOKUP(R138,BandMin,BandName),"Incomplete"))</f>
        <v/>
      </c>
      <c r="T138" s="34"/>
      <c r="U138" s="50"/>
      <c r="V138" s="50"/>
      <c r="W138" s="50"/>
      <c r="X138" s="52" t="str">
        <f aca="false">IF(A138="","",IF(AND(V138="",W138=""),"Not set",IF(AND(ISNUMBER(V138),ISNUMBER(W138),V138&gt;=1,V138&lt;=5,W138&gt;=1,W138&lt;=5),V138*W138,"Incomplete")))</f>
        <v/>
      </c>
      <c r="Y138" s="52" t="str">
        <f aca="false">IF(A138="","",IF(X138="Not set","Not set",IF(ISNUMBER(X138),LOOKUP(X138,BandMin,BandName),"Incomplete")))</f>
        <v/>
      </c>
      <c r="Z138" s="34"/>
      <c r="AA138" s="54" t="str">
        <f aca="false">IF(A138="","",IF(AppetiteThreshold="","Not configured",IF(NOT(ISNUMBER(R138)),"Cannot assess - residual incomplete",IF(MATCH(S138,BandName,0)&gt;=MATCH(AppetiteThreshold,BandName,0),"Above appetite - escalation required","Within appetite"))))</f>
        <v/>
      </c>
      <c r="AB138" s="50"/>
      <c r="AC138" s="54" t="str">
        <f aca="false">IF(A138="","",IF(AB138="","No decision referenced",IFERROR(INDEX(DEC_FINAL,MATCH(AB138,DEC_ID,0))&amp;" - "&amp;INDEX(DEC_CURR,MATCH(AB138,DEC_ID,0)),"CHECK: Decision ID not found")))</f>
        <v/>
      </c>
      <c r="AD138" s="54" t="str">
        <f aca="false">IF(A138="","",IF(COUNTIF(TRT_RISK,A138)=0,"No treatment recorded",COUNTIF(TRT_RISK,A138)&amp;" action(s); "&amp;COUNTIFS(TRT_RISK,A138,TRT_OPEN,"Open")&amp;" open; "&amp;COUNTIFS(TRT_RISK,A138,TRT_OVERDUE,"Overdue")&amp;" overdue"))</f>
        <v/>
      </c>
      <c r="AE138" s="51"/>
      <c r="AF138" s="51"/>
      <c r="AG138" s="54" t="str">
        <f aca="false">IF(A138="","",IF(AI138="","Complete","Incomplete: "&amp;AI138))</f>
        <v/>
      </c>
      <c r="AH138" s="54" t="str">
        <f aca="false">IF(A138="","",IF(COUNTIF(RSK_ID,A138)&gt;1,"CHECK: duplicate ID",IF(B138="","CHECK: Supplier ID missing",IF(COUNTIF(INV_ID,B138)=0,"CHECK: Supplier ID not in inventory",IF(AND(ISNUMBER(R138),ISNUMBER(L138),R138&gt;L138),"CHECK: residual score exceeds inherent - confirm",IF(AND(ISNUMBER(AF138),AF138&lt;AsOf),"Review overdue (administrative)","OK"))))))</f>
        <v/>
      </c>
      <c r="AI138" s="52" t="str">
        <f aca="false">IF(A138="","",IF(I138="","risk owner; ","")&amp;IF(OR(J138="",K138=""),"inherent rating; ","")&amp;IF(N138="","inherent rationale; ","")&amp;IF(OR(P138="",Q138=""),"residual rating; ","")&amp;IF(AND(OR(P138&lt;&gt;"",Q138&lt;&gt;""),T138=""),"residual rationale; ","")&amp;IF(AND(OR(P138&lt;&gt;"",Q138&lt;&gt;""),U138=""),"assessment confidence; ","")&amp;IF(AE138="","assessment date; ",""))</f>
        <v/>
      </c>
      <c r="AJ138" s="52" t="str">
        <f aca="false">IF(OR(A138="",B138=""),"",IF(B138=RptSup,B138&amp;"|"&amp;COUNTIF($B$7:B138,B138),""))</f>
        <v/>
      </c>
    </row>
    <row r="139" customFormat="false" ht="15" hidden="false" customHeight="false" outlineLevel="0" collapsed="false">
      <c r="A139" s="50"/>
      <c r="B139" s="50"/>
      <c r="C139" s="59" t="str">
        <f aca="false">IF(B139="","",IFERROR(INDEX(INV_NAME,MATCH(B139,INV_ID,0)),"CHECK: Supplier ID not found"))</f>
        <v/>
      </c>
      <c r="D139" s="34"/>
      <c r="E139" s="34"/>
      <c r="F139" s="34"/>
      <c r="G139" s="34"/>
      <c r="H139" s="34"/>
      <c r="I139" s="34"/>
      <c r="J139" s="50"/>
      <c r="K139" s="50"/>
      <c r="L139" s="52" t="str">
        <f aca="false">IF(A139="","",IF(AND(ISNUMBER(J139),ISNUMBER(K139),J139&gt;=1,J139&lt;=5,K139&gt;=1,K139&lt;=5),J139*K139,"Incomplete"))</f>
        <v/>
      </c>
      <c r="M139" s="52" t="str">
        <f aca="false">IF(A139="","",IF(ISNUMBER(L139),LOOKUP(L139,BandMin,BandName),"Incomplete"))</f>
        <v/>
      </c>
      <c r="N139" s="34"/>
      <c r="O139" s="34"/>
      <c r="P139" s="50"/>
      <c r="Q139" s="50"/>
      <c r="R139" s="61" t="str">
        <f aca="false">IF(A139="","",IF(AND(ISNUMBER(P139),ISNUMBER(Q139),P139&gt;=1,P139&lt;=5,Q139&gt;=1,Q139&lt;=5),P139*Q139,"Incomplete"))</f>
        <v/>
      </c>
      <c r="S139" s="52" t="str">
        <f aca="false">IF(A139="","",IF(ISNUMBER(R139),LOOKUP(R139,BandMin,BandName),"Incomplete"))</f>
        <v/>
      </c>
      <c r="T139" s="34"/>
      <c r="U139" s="50"/>
      <c r="V139" s="50"/>
      <c r="W139" s="50"/>
      <c r="X139" s="52" t="str">
        <f aca="false">IF(A139="","",IF(AND(V139="",W139=""),"Not set",IF(AND(ISNUMBER(V139),ISNUMBER(W139),V139&gt;=1,V139&lt;=5,W139&gt;=1,W139&lt;=5),V139*W139,"Incomplete")))</f>
        <v/>
      </c>
      <c r="Y139" s="52" t="str">
        <f aca="false">IF(A139="","",IF(X139="Not set","Not set",IF(ISNUMBER(X139),LOOKUP(X139,BandMin,BandName),"Incomplete")))</f>
        <v/>
      </c>
      <c r="Z139" s="34"/>
      <c r="AA139" s="54" t="str">
        <f aca="false">IF(A139="","",IF(AppetiteThreshold="","Not configured",IF(NOT(ISNUMBER(R139)),"Cannot assess - residual incomplete",IF(MATCH(S139,BandName,0)&gt;=MATCH(AppetiteThreshold,BandName,0),"Above appetite - escalation required","Within appetite"))))</f>
        <v/>
      </c>
      <c r="AB139" s="50"/>
      <c r="AC139" s="54" t="str">
        <f aca="false">IF(A139="","",IF(AB139="","No decision referenced",IFERROR(INDEX(DEC_FINAL,MATCH(AB139,DEC_ID,0))&amp;" - "&amp;INDEX(DEC_CURR,MATCH(AB139,DEC_ID,0)),"CHECK: Decision ID not found")))</f>
        <v/>
      </c>
      <c r="AD139" s="54" t="str">
        <f aca="false">IF(A139="","",IF(COUNTIF(TRT_RISK,A139)=0,"No treatment recorded",COUNTIF(TRT_RISK,A139)&amp;" action(s); "&amp;COUNTIFS(TRT_RISK,A139,TRT_OPEN,"Open")&amp;" open; "&amp;COUNTIFS(TRT_RISK,A139,TRT_OVERDUE,"Overdue")&amp;" overdue"))</f>
        <v/>
      </c>
      <c r="AE139" s="51"/>
      <c r="AF139" s="51"/>
      <c r="AG139" s="54" t="str">
        <f aca="false">IF(A139="","",IF(AI139="","Complete","Incomplete: "&amp;AI139))</f>
        <v/>
      </c>
      <c r="AH139" s="54" t="str">
        <f aca="false">IF(A139="","",IF(COUNTIF(RSK_ID,A139)&gt;1,"CHECK: duplicate ID",IF(B139="","CHECK: Supplier ID missing",IF(COUNTIF(INV_ID,B139)=0,"CHECK: Supplier ID not in inventory",IF(AND(ISNUMBER(R139),ISNUMBER(L139),R139&gt;L139),"CHECK: residual score exceeds inherent - confirm",IF(AND(ISNUMBER(AF139),AF139&lt;AsOf),"Review overdue (administrative)","OK"))))))</f>
        <v/>
      </c>
      <c r="AI139" s="52" t="str">
        <f aca="false">IF(A139="","",IF(I139="","risk owner; ","")&amp;IF(OR(J139="",K139=""),"inherent rating; ","")&amp;IF(N139="","inherent rationale; ","")&amp;IF(OR(P139="",Q139=""),"residual rating; ","")&amp;IF(AND(OR(P139&lt;&gt;"",Q139&lt;&gt;""),T139=""),"residual rationale; ","")&amp;IF(AND(OR(P139&lt;&gt;"",Q139&lt;&gt;""),U139=""),"assessment confidence; ","")&amp;IF(AE139="","assessment date; ",""))</f>
        <v/>
      </c>
      <c r="AJ139" s="52" t="str">
        <f aca="false">IF(OR(A139="",B139=""),"",IF(B139=RptSup,B139&amp;"|"&amp;COUNTIF($B$7:B139,B139),""))</f>
        <v/>
      </c>
    </row>
    <row r="140" customFormat="false" ht="15" hidden="false" customHeight="false" outlineLevel="0" collapsed="false">
      <c r="A140" s="50"/>
      <c r="B140" s="50"/>
      <c r="C140" s="59" t="str">
        <f aca="false">IF(B140="","",IFERROR(INDEX(INV_NAME,MATCH(B140,INV_ID,0)),"CHECK: Supplier ID not found"))</f>
        <v/>
      </c>
      <c r="D140" s="34"/>
      <c r="E140" s="34"/>
      <c r="F140" s="34"/>
      <c r="G140" s="34"/>
      <c r="H140" s="34"/>
      <c r="I140" s="34"/>
      <c r="J140" s="50"/>
      <c r="K140" s="50"/>
      <c r="L140" s="52" t="str">
        <f aca="false">IF(A140="","",IF(AND(ISNUMBER(J140),ISNUMBER(K140),J140&gt;=1,J140&lt;=5,K140&gt;=1,K140&lt;=5),J140*K140,"Incomplete"))</f>
        <v/>
      </c>
      <c r="M140" s="52" t="str">
        <f aca="false">IF(A140="","",IF(ISNUMBER(L140),LOOKUP(L140,BandMin,BandName),"Incomplete"))</f>
        <v/>
      </c>
      <c r="N140" s="34"/>
      <c r="O140" s="34"/>
      <c r="P140" s="50"/>
      <c r="Q140" s="50"/>
      <c r="R140" s="61" t="str">
        <f aca="false">IF(A140="","",IF(AND(ISNUMBER(P140),ISNUMBER(Q140),P140&gt;=1,P140&lt;=5,Q140&gt;=1,Q140&lt;=5),P140*Q140,"Incomplete"))</f>
        <v/>
      </c>
      <c r="S140" s="52" t="str">
        <f aca="false">IF(A140="","",IF(ISNUMBER(R140),LOOKUP(R140,BandMin,BandName),"Incomplete"))</f>
        <v/>
      </c>
      <c r="T140" s="34"/>
      <c r="U140" s="50"/>
      <c r="V140" s="50"/>
      <c r="W140" s="50"/>
      <c r="X140" s="52" t="str">
        <f aca="false">IF(A140="","",IF(AND(V140="",W140=""),"Not set",IF(AND(ISNUMBER(V140),ISNUMBER(W140),V140&gt;=1,V140&lt;=5,W140&gt;=1,W140&lt;=5),V140*W140,"Incomplete")))</f>
        <v/>
      </c>
      <c r="Y140" s="52" t="str">
        <f aca="false">IF(A140="","",IF(X140="Not set","Not set",IF(ISNUMBER(X140),LOOKUP(X140,BandMin,BandName),"Incomplete")))</f>
        <v/>
      </c>
      <c r="Z140" s="34"/>
      <c r="AA140" s="54" t="str">
        <f aca="false">IF(A140="","",IF(AppetiteThreshold="","Not configured",IF(NOT(ISNUMBER(R140)),"Cannot assess - residual incomplete",IF(MATCH(S140,BandName,0)&gt;=MATCH(AppetiteThreshold,BandName,0),"Above appetite - escalation required","Within appetite"))))</f>
        <v/>
      </c>
      <c r="AB140" s="50"/>
      <c r="AC140" s="54" t="str">
        <f aca="false">IF(A140="","",IF(AB140="","No decision referenced",IFERROR(INDEX(DEC_FINAL,MATCH(AB140,DEC_ID,0))&amp;" - "&amp;INDEX(DEC_CURR,MATCH(AB140,DEC_ID,0)),"CHECK: Decision ID not found")))</f>
        <v/>
      </c>
      <c r="AD140" s="54" t="str">
        <f aca="false">IF(A140="","",IF(COUNTIF(TRT_RISK,A140)=0,"No treatment recorded",COUNTIF(TRT_RISK,A140)&amp;" action(s); "&amp;COUNTIFS(TRT_RISK,A140,TRT_OPEN,"Open")&amp;" open; "&amp;COUNTIFS(TRT_RISK,A140,TRT_OVERDUE,"Overdue")&amp;" overdue"))</f>
        <v/>
      </c>
      <c r="AE140" s="51"/>
      <c r="AF140" s="51"/>
      <c r="AG140" s="54" t="str">
        <f aca="false">IF(A140="","",IF(AI140="","Complete","Incomplete: "&amp;AI140))</f>
        <v/>
      </c>
      <c r="AH140" s="54" t="str">
        <f aca="false">IF(A140="","",IF(COUNTIF(RSK_ID,A140)&gt;1,"CHECK: duplicate ID",IF(B140="","CHECK: Supplier ID missing",IF(COUNTIF(INV_ID,B140)=0,"CHECK: Supplier ID not in inventory",IF(AND(ISNUMBER(R140),ISNUMBER(L140),R140&gt;L140),"CHECK: residual score exceeds inherent - confirm",IF(AND(ISNUMBER(AF140),AF140&lt;AsOf),"Review overdue (administrative)","OK"))))))</f>
        <v/>
      </c>
      <c r="AI140" s="52" t="str">
        <f aca="false">IF(A140="","",IF(I140="","risk owner; ","")&amp;IF(OR(J140="",K140=""),"inherent rating; ","")&amp;IF(N140="","inherent rationale; ","")&amp;IF(OR(P140="",Q140=""),"residual rating; ","")&amp;IF(AND(OR(P140&lt;&gt;"",Q140&lt;&gt;""),T140=""),"residual rationale; ","")&amp;IF(AND(OR(P140&lt;&gt;"",Q140&lt;&gt;""),U140=""),"assessment confidence; ","")&amp;IF(AE140="","assessment date; ",""))</f>
        <v/>
      </c>
      <c r="AJ140" s="52" t="str">
        <f aca="false">IF(OR(A140="",B140=""),"",IF(B140=RptSup,B140&amp;"|"&amp;COUNTIF($B$7:B140,B140),""))</f>
        <v/>
      </c>
    </row>
    <row r="141" customFormat="false" ht="15" hidden="false" customHeight="false" outlineLevel="0" collapsed="false">
      <c r="A141" s="50"/>
      <c r="B141" s="50"/>
      <c r="C141" s="59" t="str">
        <f aca="false">IF(B141="","",IFERROR(INDEX(INV_NAME,MATCH(B141,INV_ID,0)),"CHECK: Supplier ID not found"))</f>
        <v/>
      </c>
      <c r="D141" s="34"/>
      <c r="E141" s="34"/>
      <c r="F141" s="34"/>
      <c r="G141" s="34"/>
      <c r="H141" s="34"/>
      <c r="I141" s="34"/>
      <c r="J141" s="50"/>
      <c r="K141" s="50"/>
      <c r="L141" s="52" t="str">
        <f aca="false">IF(A141="","",IF(AND(ISNUMBER(J141),ISNUMBER(K141),J141&gt;=1,J141&lt;=5,K141&gt;=1,K141&lt;=5),J141*K141,"Incomplete"))</f>
        <v/>
      </c>
      <c r="M141" s="52" t="str">
        <f aca="false">IF(A141="","",IF(ISNUMBER(L141),LOOKUP(L141,BandMin,BandName),"Incomplete"))</f>
        <v/>
      </c>
      <c r="N141" s="34"/>
      <c r="O141" s="34"/>
      <c r="P141" s="50"/>
      <c r="Q141" s="50"/>
      <c r="R141" s="61" t="str">
        <f aca="false">IF(A141="","",IF(AND(ISNUMBER(P141),ISNUMBER(Q141),P141&gt;=1,P141&lt;=5,Q141&gt;=1,Q141&lt;=5),P141*Q141,"Incomplete"))</f>
        <v/>
      </c>
      <c r="S141" s="52" t="str">
        <f aca="false">IF(A141="","",IF(ISNUMBER(R141),LOOKUP(R141,BandMin,BandName),"Incomplete"))</f>
        <v/>
      </c>
      <c r="T141" s="34"/>
      <c r="U141" s="50"/>
      <c r="V141" s="50"/>
      <c r="W141" s="50"/>
      <c r="X141" s="52" t="str">
        <f aca="false">IF(A141="","",IF(AND(V141="",W141=""),"Not set",IF(AND(ISNUMBER(V141),ISNUMBER(W141),V141&gt;=1,V141&lt;=5,W141&gt;=1,W141&lt;=5),V141*W141,"Incomplete")))</f>
        <v/>
      </c>
      <c r="Y141" s="52" t="str">
        <f aca="false">IF(A141="","",IF(X141="Not set","Not set",IF(ISNUMBER(X141),LOOKUP(X141,BandMin,BandName),"Incomplete")))</f>
        <v/>
      </c>
      <c r="Z141" s="34"/>
      <c r="AA141" s="54" t="str">
        <f aca="false">IF(A141="","",IF(AppetiteThreshold="","Not configured",IF(NOT(ISNUMBER(R141)),"Cannot assess - residual incomplete",IF(MATCH(S141,BandName,0)&gt;=MATCH(AppetiteThreshold,BandName,0),"Above appetite - escalation required","Within appetite"))))</f>
        <v/>
      </c>
      <c r="AB141" s="50"/>
      <c r="AC141" s="54" t="str">
        <f aca="false">IF(A141="","",IF(AB141="","No decision referenced",IFERROR(INDEX(DEC_FINAL,MATCH(AB141,DEC_ID,0))&amp;" - "&amp;INDEX(DEC_CURR,MATCH(AB141,DEC_ID,0)),"CHECK: Decision ID not found")))</f>
        <v/>
      </c>
      <c r="AD141" s="54" t="str">
        <f aca="false">IF(A141="","",IF(COUNTIF(TRT_RISK,A141)=0,"No treatment recorded",COUNTIF(TRT_RISK,A141)&amp;" action(s); "&amp;COUNTIFS(TRT_RISK,A141,TRT_OPEN,"Open")&amp;" open; "&amp;COUNTIFS(TRT_RISK,A141,TRT_OVERDUE,"Overdue")&amp;" overdue"))</f>
        <v/>
      </c>
      <c r="AE141" s="51"/>
      <c r="AF141" s="51"/>
      <c r="AG141" s="54" t="str">
        <f aca="false">IF(A141="","",IF(AI141="","Complete","Incomplete: "&amp;AI141))</f>
        <v/>
      </c>
      <c r="AH141" s="54" t="str">
        <f aca="false">IF(A141="","",IF(COUNTIF(RSK_ID,A141)&gt;1,"CHECK: duplicate ID",IF(B141="","CHECK: Supplier ID missing",IF(COUNTIF(INV_ID,B141)=0,"CHECK: Supplier ID not in inventory",IF(AND(ISNUMBER(R141),ISNUMBER(L141),R141&gt;L141),"CHECK: residual score exceeds inherent - confirm",IF(AND(ISNUMBER(AF141),AF141&lt;AsOf),"Review overdue (administrative)","OK"))))))</f>
        <v/>
      </c>
      <c r="AI141" s="52" t="str">
        <f aca="false">IF(A141="","",IF(I141="","risk owner; ","")&amp;IF(OR(J141="",K141=""),"inherent rating; ","")&amp;IF(N141="","inherent rationale; ","")&amp;IF(OR(P141="",Q141=""),"residual rating; ","")&amp;IF(AND(OR(P141&lt;&gt;"",Q141&lt;&gt;""),T141=""),"residual rationale; ","")&amp;IF(AND(OR(P141&lt;&gt;"",Q141&lt;&gt;""),U141=""),"assessment confidence; ","")&amp;IF(AE141="","assessment date; ",""))</f>
        <v/>
      </c>
      <c r="AJ141" s="52" t="str">
        <f aca="false">IF(OR(A141="",B141=""),"",IF(B141=RptSup,B141&amp;"|"&amp;COUNTIF($B$7:B141,B141),""))</f>
        <v/>
      </c>
    </row>
    <row r="142" customFormat="false" ht="15" hidden="false" customHeight="false" outlineLevel="0" collapsed="false">
      <c r="A142" s="50"/>
      <c r="B142" s="50"/>
      <c r="C142" s="59" t="str">
        <f aca="false">IF(B142="","",IFERROR(INDEX(INV_NAME,MATCH(B142,INV_ID,0)),"CHECK: Supplier ID not found"))</f>
        <v/>
      </c>
      <c r="D142" s="34"/>
      <c r="E142" s="34"/>
      <c r="F142" s="34"/>
      <c r="G142" s="34"/>
      <c r="H142" s="34"/>
      <c r="I142" s="34"/>
      <c r="J142" s="50"/>
      <c r="K142" s="50"/>
      <c r="L142" s="52" t="str">
        <f aca="false">IF(A142="","",IF(AND(ISNUMBER(J142),ISNUMBER(K142),J142&gt;=1,J142&lt;=5,K142&gt;=1,K142&lt;=5),J142*K142,"Incomplete"))</f>
        <v/>
      </c>
      <c r="M142" s="52" t="str">
        <f aca="false">IF(A142="","",IF(ISNUMBER(L142),LOOKUP(L142,BandMin,BandName),"Incomplete"))</f>
        <v/>
      </c>
      <c r="N142" s="34"/>
      <c r="O142" s="34"/>
      <c r="P142" s="50"/>
      <c r="Q142" s="50"/>
      <c r="R142" s="61" t="str">
        <f aca="false">IF(A142="","",IF(AND(ISNUMBER(P142),ISNUMBER(Q142),P142&gt;=1,P142&lt;=5,Q142&gt;=1,Q142&lt;=5),P142*Q142,"Incomplete"))</f>
        <v/>
      </c>
      <c r="S142" s="52" t="str">
        <f aca="false">IF(A142="","",IF(ISNUMBER(R142),LOOKUP(R142,BandMin,BandName),"Incomplete"))</f>
        <v/>
      </c>
      <c r="T142" s="34"/>
      <c r="U142" s="50"/>
      <c r="V142" s="50"/>
      <c r="W142" s="50"/>
      <c r="X142" s="52" t="str">
        <f aca="false">IF(A142="","",IF(AND(V142="",W142=""),"Not set",IF(AND(ISNUMBER(V142),ISNUMBER(W142),V142&gt;=1,V142&lt;=5,W142&gt;=1,W142&lt;=5),V142*W142,"Incomplete")))</f>
        <v/>
      </c>
      <c r="Y142" s="52" t="str">
        <f aca="false">IF(A142="","",IF(X142="Not set","Not set",IF(ISNUMBER(X142),LOOKUP(X142,BandMin,BandName),"Incomplete")))</f>
        <v/>
      </c>
      <c r="Z142" s="34"/>
      <c r="AA142" s="54" t="str">
        <f aca="false">IF(A142="","",IF(AppetiteThreshold="","Not configured",IF(NOT(ISNUMBER(R142)),"Cannot assess - residual incomplete",IF(MATCH(S142,BandName,0)&gt;=MATCH(AppetiteThreshold,BandName,0),"Above appetite - escalation required","Within appetite"))))</f>
        <v/>
      </c>
      <c r="AB142" s="50"/>
      <c r="AC142" s="54" t="str">
        <f aca="false">IF(A142="","",IF(AB142="","No decision referenced",IFERROR(INDEX(DEC_FINAL,MATCH(AB142,DEC_ID,0))&amp;" - "&amp;INDEX(DEC_CURR,MATCH(AB142,DEC_ID,0)),"CHECK: Decision ID not found")))</f>
        <v/>
      </c>
      <c r="AD142" s="54" t="str">
        <f aca="false">IF(A142="","",IF(COUNTIF(TRT_RISK,A142)=0,"No treatment recorded",COUNTIF(TRT_RISK,A142)&amp;" action(s); "&amp;COUNTIFS(TRT_RISK,A142,TRT_OPEN,"Open")&amp;" open; "&amp;COUNTIFS(TRT_RISK,A142,TRT_OVERDUE,"Overdue")&amp;" overdue"))</f>
        <v/>
      </c>
      <c r="AE142" s="51"/>
      <c r="AF142" s="51"/>
      <c r="AG142" s="54" t="str">
        <f aca="false">IF(A142="","",IF(AI142="","Complete","Incomplete: "&amp;AI142))</f>
        <v/>
      </c>
      <c r="AH142" s="54" t="str">
        <f aca="false">IF(A142="","",IF(COUNTIF(RSK_ID,A142)&gt;1,"CHECK: duplicate ID",IF(B142="","CHECK: Supplier ID missing",IF(COUNTIF(INV_ID,B142)=0,"CHECK: Supplier ID not in inventory",IF(AND(ISNUMBER(R142),ISNUMBER(L142),R142&gt;L142),"CHECK: residual score exceeds inherent - confirm",IF(AND(ISNUMBER(AF142),AF142&lt;AsOf),"Review overdue (administrative)","OK"))))))</f>
        <v/>
      </c>
      <c r="AI142" s="52" t="str">
        <f aca="false">IF(A142="","",IF(I142="","risk owner; ","")&amp;IF(OR(J142="",K142=""),"inherent rating; ","")&amp;IF(N142="","inherent rationale; ","")&amp;IF(OR(P142="",Q142=""),"residual rating; ","")&amp;IF(AND(OR(P142&lt;&gt;"",Q142&lt;&gt;""),T142=""),"residual rationale; ","")&amp;IF(AND(OR(P142&lt;&gt;"",Q142&lt;&gt;""),U142=""),"assessment confidence; ","")&amp;IF(AE142="","assessment date; ",""))</f>
        <v/>
      </c>
      <c r="AJ142" s="52" t="str">
        <f aca="false">IF(OR(A142="",B142=""),"",IF(B142=RptSup,B142&amp;"|"&amp;COUNTIF($B$7:B142,B142),""))</f>
        <v/>
      </c>
    </row>
    <row r="143" customFormat="false" ht="15" hidden="false" customHeight="false" outlineLevel="0" collapsed="false">
      <c r="A143" s="50"/>
      <c r="B143" s="50"/>
      <c r="C143" s="59" t="str">
        <f aca="false">IF(B143="","",IFERROR(INDEX(INV_NAME,MATCH(B143,INV_ID,0)),"CHECK: Supplier ID not found"))</f>
        <v/>
      </c>
      <c r="D143" s="34"/>
      <c r="E143" s="34"/>
      <c r="F143" s="34"/>
      <c r="G143" s="34"/>
      <c r="H143" s="34"/>
      <c r="I143" s="34"/>
      <c r="J143" s="50"/>
      <c r="K143" s="50"/>
      <c r="L143" s="52" t="str">
        <f aca="false">IF(A143="","",IF(AND(ISNUMBER(J143),ISNUMBER(K143),J143&gt;=1,J143&lt;=5,K143&gt;=1,K143&lt;=5),J143*K143,"Incomplete"))</f>
        <v/>
      </c>
      <c r="M143" s="52" t="str">
        <f aca="false">IF(A143="","",IF(ISNUMBER(L143),LOOKUP(L143,BandMin,BandName),"Incomplete"))</f>
        <v/>
      </c>
      <c r="N143" s="34"/>
      <c r="O143" s="34"/>
      <c r="P143" s="50"/>
      <c r="Q143" s="50"/>
      <c r="R143" s="61" t="str">
        <f aca="false">IF(A143="","",IF(AND(ISNUMBER(P143),ISNUMBER(Q143),P143&gt;=1,P143&lt;=5,Q143&gt;=1,Q143&lt;=5),P143*Q143,"Incomplete"))</f>
        <v/>
      </c>
      <c r="S143" s="52" t="str">
        <f aca="false">IF(A143="","",IF(ISNUMBER(R143),LOOKUP(R143,BandMin,BandName),"Incomplete"))</f>
        <v/>
      </c>
      <c r="T143" s="34"/>
      <c r="U143" s="50"/>
      <c r="V143" s="50"/>
      <c r="W143" s="50"/>
      <c r="X143" s="52" t="str">
        <f aca="false">IF(A143="","",IF(AND(V143="",W143=""),"Not set",IF(AND(ISNUMBER(V143),ISNUMBER(W143),V143&gt;=1,V143&lt;=5,W143&gt;=1,W143&lt;=5),V143*W143,"Incomplete")))</f>
        <v/>
      </c>
      <c r="Y143" s="52" t="str">
        <f aca="false">IF(A143="","",IF(X143="Not set","Not set",IF(ISNUMBER(X143),LOOKUP(X143,BandMin,BandName),"Incomplete")))</f>
        <v/>
      </c>
      <c r="Z143" s="34"/>
      <c r="AA143" s="54" t="str">
        <f aca="false">IF(A143="","",IF(AppetiteThreshold="","Not configured",IF(NOT(ISNUMBER(R143)),"Cannot assess - residual incomplete",IF(MATCH(S143,BandName,0)&gt;=MATCH(AppetiteThreshold,BandName,0),"Above appetite - escalation required","Within appetite"))))</f>
        <v/>
      </c>
      <c r="AB143" s="50"/>
      <c r="AC143" s="54" t="str">
        <f aca="false">IF(A143="","",IF(AB143="","No decision referenced",IFERROR(INDEX(DEC_FINAL,MATCH(AB143,DEC_ID,0))&amp;" - "&amp;INDEX(DEC_CURR,MATCH(AB143,DEC_ID,0)),"CHECK: Decision ID not found")))</f>
        <v/>
      </c>
      <c r="AD143" s="54" t="str">
        <f aca="false">IF(A143="","",IF(COUNTIF(TRT_RISK,A143)=0,"No treatment recorded",COUNTIF(TRT_RISK,A143)&amp;" action(s); "&amp;COUNTIFS(TRT_RISK,A143,TRT_OPEN,"Open")&amp;" open; "&amp;COUNTIFS(TRT_RISK,A143,TRT_OVERDUE,"Overdue")&amp;" overdue"))</f>
        <v/>
      </c>
      <c r="AE143" s="51"/>
      <c r="AF143" s="51"/>
      <c r="AG143" s="54" t="str">
        <f aca="false">IF(A143="","",IF(AI143="","Complete","Incomplete: "&amp;AI143))</f>
        <v/>
      </c>
      <c r="AH143" s="54" t="str">
        <f aca="false">IF(A143="","",IF(COUNTIF(RSK_ID,A143)&gt;1,"CHECK: duplicate ID",IF(B143="","CHECK: Supplier ID missing",IF(COUNTIF(INV_ID,B143)=0,"CHECK: Supplier ID not in inventory",IF(AND(ISNUMBER(R143),ISNUMBER(L143),R143&gt;L143),"CHECK: residual score exceeds inherent - confirm",IF(AND(ISNUMBER(AF143),AF143&lt;AsOf),"Review overdue (administrative)","OK"))))))</f>
        <v/>
      </c>
      <c r="AI143" s="52" t="str">
        <f aca="false">IF(A143="","",IF(I143="","risk owner; ","")&amp;IF(OR(J143="",K143=""),"inherent rating; ","")&amp;IF(N143="","inherent rationale; ","")&amp;IF(OR(P143="",Q143=""),"residual rating; ","")&amp;IF(AND(OR(P143&lt;&gt;"",Q143&lt;&gt;""),T143=""),"residual rationale; ","")&amp;IF(AND(OR(P143&lt;&gt;"",Q143&lt;&gt;""),U143=""),"assessment confidence; ","")&amp;IF(AE143="","assessment date; ",""))</f>
        <v/>
      </c>
      <c r="AJ143" s="52" t="str">
        <f aca="false">IF(OR(A143="",B143=""),"",IF(B143=RptSup,B143&amp;"|"&amp;COUNTIF($B$7:B143,B143),""))</f>
        <v/>
      </c>
    </row>
    <row r="144" customFormat="false" ht="15" hidden="false" customHeight="false" outlineLevel="0" collapsed="false">
      <c r="A144" s="50"/>
      <c r="B144" s="50"/>
      <c r="C144" s="59" t="str">
        <f aca="false">IF(B144="","",IFERROR(INDEX(INV_NAME,MATCH(B144,INV_ID,0)),"CHECK: Supplier ID not found"))</f>
        <v/>
      </c>
      <c r="D144" s="34"/>
      <c r="E144" s="34"/>
      <c r="F144" s="34"/>
      <c r="G144" s="34"/>
      <c r="H144" s="34"/>
      <c r="I144" s="34"/>
      <c r="J144" s="50"/>
      <c r="K144" s="50"/>
      <c r="L144" s="52" t="str">
        <f aca="false">IF(A144="","",IF(AND(ISNUMBER(J144),ISNUMBER(K144),J144&gt;=1,J144&lt;=5,K144&gt;=1,K144&lt;=5),J144*K144,"Incomplete"))</f>
        <v/>
      </c>
      <c r="M144" s="52" t="str">
        <f aca="false">IF(A144="","",IF(ISNUMBER(L144),LOOKUP(L144,BandMin,BandName),"Incomplete"))</f>
        <v/>
      </c>
      <c r="N144" s="34"/>
      <c r="O144" s="34"/>
      <c r="P144" s="50"/>
      <c r="Q144" s="50"/>
      <c r="R144" s="61" t="str">
        <f aca="false">IF(A144="","",IF(AND(ISNUMBER(P144),ISNUMBER(Q144),P144&gt;=1,P144&lt;=5,Q144&gt;=1,Q144&lt;=5),P144*Q144,"Incomplete"))</f>
        <v/>
      </c>
      <c r="S144" s="52" t="str">
        <f aca="false">IF(A144="","",IF(ISNUMBER(R144),LOOKUP(R144,BandMin,BandName),"Incomplete"))</f>
        <v/>
      </c>
      <c r="T144" s="34"/>
      <c r="U144" s="50"/>
      <c r="V144" s="50"/>
      <c r="W144" s="50"/>
      <c r="X144" s="52" t="str">
        <f aca="false">IF(A144="","",IF(AND(V144="",W144=""),"Not set",IF(AND(ISNUMBER(V144),ISNUMBER(W144),V144&gt;=1,V144&lt;=5,W144&gt;=1,W144&lt;=5),V144*W144,"Incomplete")))</f>
        <v/>
      </c>
      <c r="Y144" s="52" t="str">
        <f aca="false">IF(A144="","",IF(X144="Not set","Not set",IF(ISNUMBER(X144),LOOKUP(X144,BandMin,BandName),"Incomplete")))</f>
        <v/>
      </c>
      <c r="Z144" s="34"/>
      <c r="AA144" s="54" t="str">
        <f aca="false">IF(A144="","",IF(AppetiteThreshold="","Not configured",IF(NOT(ISNUMBER(R144)),"Cannot assess - residual incomplete",IF(MATCH(S144,BandName,0)&gt;=MATCH(AppetiteThreshold,BandName,0),"Above appetite - escalation required","Within appetite"))))</f>
        <v/>
      </c>
      <c r="AB144" s="50"/>
      <c r="AC144" s="54" t="str">
        <f aca="false">IF(A144="","",IF(AB144="","No decision referenced",IFERROR(INDEX(DEC_FINAL,MATCH(AB144,DEC_ID,0))&amp;" - "&amp;INDEX(DEC_CURR,MATCH(AB144,DEC_ID,0)),"CHECK: Decision ID not found")))</f>
        <v/>
      </c>
      <c r="AD144" s="54" t="str">
        <f aca="false">IF(A144="","",IF(COUNTIF(TRT_RISK,A144)=0,"No treatment recorded",COUNTIF(TRT_RISK,A144)&amp;" action(s); "&amp;COUNTIFS(TRT_RISK,A144,TRT_OPEN,"Open")&amp;" open; "&amp;COUNTIFS(TRT_RISK,A144,TRT_OVERDUE,"Overdue")&amp;" overdue"))</f>
        <v/>
      </c>
      <c r="AE144" s="51"/>
      <c r="AF144" s="51"/>
      <c r="AG144" s="54" t="str">
        <f aca="false">IF(A144="","",IF(AI144="","Complete","Incomplete: "&amp;AI144))</f>
        <v/>
      </c>
      <c r="AH144" s="54" t="str">
        <f aca="false">IF(A144="","",IF(COUNTIF(RSK_ID,A144)&gt;1,"CHECK: duplicate ID",IF(B144="","CHECK: Supplier ID missing",IF(COUNTIF(INV_ID,B144)=0,"CHECK: Supplier ID not in inventory",IF(AND(ISNUMBER(R144),ISNUMBER(L144),R144&gt;L144),"CHECK: residual score exceeds inherent - confirm",IF(AND(ISNUMBER(AF144),AF144&lt;AsOf),"Review overdue (administrative)","OK"))))))</f>
        <v/>
      </c>
      <c r="AI144" s="52" t="str">
        <f aca="false">IF(A144="","",IF(I144="","risk owner; ","")&amp;IF(OR(J144="",K144=""),"inherent rating; ","")&amp;IF(N144="","inherent rationale; ","")&amp;IF(OR(P144="",Q144=""),"residual rating; ","")&amp;IF(AND(OR(P144&lt;&gt;"",Q144&lt;&gt;""),T144=""),"residual rationale; ","")&amp;IF(AND(OR(P144&lt;&gt;"",Q144&lt;&gt;""),U144=""),"assessment confidence; ","")&amp;IF(AE144="","assessment date; ",""))</f>
        <v/>
      </c>
      <c r="AJ144" s="52" t="str">
        <f aca="false">IF(OR(A144="",B144=""),"",IF(B144=RptSup,B144&amp;"|"&amp;COUNTIF($B$7:B144,B144),""))</f>
        <v/>
      </c>
    </row>
    <row r="145" customFormat="false" ht="15" hidden="false" customHeight="false" outlineLevel="0" collapsed="false">
      <c r="A145" s="50"/>
      <c r="B145" s="50"/>
      <c r="C145" s="59" t="str">
        <f aca="false">IF(B145="","",IFERROR(INDEX(INV_NAME,MATCH(B145,INV_ID,0)),"CHECK: Supplier ID not found"))</f>
        <v/>
      </c>
      <c r="D145" s="34"/>
      <c r="E145" s="34"/>
      <c r="F145" s="34"/>
      <c r="G145" s="34"/>
      <c r="H145" s="34"/>
      <c r="I145" s="34"/>
      <c r="J145" s="50"/>
      <c r="K145" s="50"/>
      <c r="L145" s="52" t="str">
        <f aca="false">IF(A145="","",IF(AND(ISNUMBER(J145),ISNUMBER(K145),J145&gt;=1,J145&lt;=5,K145&gt;=1,K145&lt;=5),J145*K145,"Incomplete"))</f>
        <v/>
      </c>
      <c r="M145" s="52" t="str">
        <f aca="false">IF(A145="","",IF(ISNUMBER(L145),LOOKUP(L145,BandMin,BandName),"Incomplete"))</f>
        <v/>
      </c>
      <c r="N145" s="34"/>
      <c r="O145" s="34"/>
      <c r="P145" s="50"/>
      <c r="Q145" s="50"/>
      <c r="R145" s="61" t="str">
        <f aca="false">IF(A145="","",IF(AND(ISNUMBER(P145),ISNUMBER(Q145),P145&gt;=1,P145&lt;=5,Q145&gt;=1,Q145&lt;=5),P145*Q145,"Incomplete"))</f>
        <v/>
      </c>
      <c r="S145" s="52" t="str">
        <f aca="false">IF(A145="","",IF(ISNUMBER(R145),LOOKUP(R145,BandMin,BandName),"Incomplete"))</f>
        <v/>
      </c>
      <c r="T145" s="34"/>
      <c r="U145" s="50"/>
      <c r="V145" s="50"/>
      <c r="W145" s="50"/>
      <c r="X145" s="52" t="str">
        <f aca="false">IF(A145="","",IF(AND(V145="",W145=""),"Not set",IF(AND(ISNUMBER(V145),ISNUMBER(W145),V145&gt;=1,V145&lt;=5,W145&gt;=1,W145&lt;=5),V145*W145,"Incomplete")))</f>
        <v/>
      </c>
      <c r="Y145" s="52" t="str">
        <f aca="false">IF(A145="","",IF(X145="Not set","Not set",IF(ISNUMBER(X145),LOOKUP(X145,BandMin,BandName),"Incomplete")))</f>
        <v/>
      </c>
      <c r="Z145" s="34"/>
      <c r="AA145" s="54" t="str">
        <f aca="false">IF(A145="","",IF(AppetiteThreshold="","Not configured",IF(NOT(ISNUMBER(R145)),"Cannot assess - residual incomplete",IF(MATCH(S145,BandName,0)&gt;=MATCH(AppetiteThreshold,BandName,0),"Above appetite - escalation required","Within appetite"))))</f>
        <v/>
      </c>
      <c r="AB145" s="50"/>
      <c r="AC145" s="54" t="str">
        <f aca="false">IF(A145="","",IF(AB145="","No decision referenced",IFERROR(INDEX(DEC_FINAL,MATCH(AB145,DEC_ID,0))&amp;" - "&amp;INDEX(DEC_CURR,MATCH(AB145,DEC_ID,0)),"CHECK: Decision ID not found")))</f>
        <v/>
      </c>
      <c r="AD145" s="54" t="str">
        <f aca="false">IF(A145="","",IF(COUNTIF(TRT_RISK,A145)=0,"No treatment recorded",COUNTIF(TRT_RISK,A145)&amp;" action(s); "&amp;COUNTIFS(TRT_RISK,A145,TRT_OPEN,"Open")&amp;" open; "&amp;COUNTIFS(TRT_RISK,A145,TRT_OVERDUE,"Overdue")&amp;" overdue"))</f>
        <v/>
      </c>
      <c r="AE145" s="51"/>
      <c r="AF145" s="51"/>
      <c r="AG145" s="54" t="str">
        <f aca="false">IF(A145="","",IF(AI145="","Complete","Incomplete: "&amp;AI145))</f>
        <v/>
      </c>
      <c r="AH145" s="54" t="str">
        <f aca="false">IF(A145="","",IF(COUNTIF(RSK_ID,A145)&gt;1,"CHECK: duplicate ID",IF(B145="","CHECK: Supplier ID missing",IF(COUNTIF(INV_ID,B145)=0,"CHECK: Supplier ID not in inventory",IF(AND(ISNUMBER(R145),ISNUMBER(L145),R145&gt;L145),"CHECK: residual score exceeds inherent - confirm",IF(AND(ISNUMBER(AF145),AF145&lt;AsOf),"Review overdue (administrative)","OK"))))))</f>
        <v/>
      </c>
      <c r="AI145" s="52" t="str">
        <f aca="false">IF(A145="","",IF(I145="","risk owner; ","")&amp;IF(OR(J145="",K145=""),"inherent rating; ","")&amp;IF(N145="","inherent rationale; ","")&amp;IF(OR(P145="",Q145=""),"residual rating; ","")&amp;IF(AND(OR(P145&lt;&gt;"",Q145&lt;&gt;""),T145=""),"residual rationale; ","")&amp;IF(AND(OR(P145&lt;&gt;"",Q145&lt;&gt;""),U145=""),"assessment confidence; ","")&amp;IF(AE145="","assessment date; ",""))</f>
        <v/>
      </c>
      <c r="AJ145" s="52" t="str">
        <f aca="false">IF(OR(A145="",B145=""),"",IF(B145=RptSup,B145&amp;"|"&amp;COUNTIF($B$7:B145,B145),""))</f>
        <v/>
      </c>
    </row>
    <row r="146" customFormat="false" ht="15" hidden="false" customHeight="false" outlineLevel="0" collapsed="false">
      <c r="A146" s="50"/>
      <c r="B146" s="50"/>
      <c r="C146" s="59" t="str">
        <f aca="false">IF(B146="","",IFERROR(INDEX(INV_NAME,MATCH(B146,INV_ID,0)),"CHECK: Supplier ID not found"))</f>
        <v/>
      </c>
      <c r="D146" s="34"/>
      <c r="E146" s="34"/>
      <c r="F146" s="34"/>
      <c r="G146" s="34"/>
      <c r="H146" s="34"/>
      <c r="I146" s="34"/>
      <c r="J146" s="50"/>
      <c r="K146" s="50"/>
      <c r="L146" s="52" t="str">
        <f aca="false">IF(A146="","",IF(AND(ISNUMBER(J146),ISNUMBER(K146),J146&gt;=1,J146&lt;=5,K146&gt;=1,K146&lt;=5),J146*K146,"Incomplete"))</f>
        <v/>
      </c>
      <c r="M146" s="52" t="str">
        <f aca="false">IF(A146="","",IF(ISNUMBER(L146),LOOKUP(L146,BandMin,BandName),"Incomplete"))</f>
        <v/>
      </c>
      <c r="N146" s="34"/>
      <c r="O146" s="34"/>
      <c r="P146" s="50"/>
      <c r="Q146" s="50"/>
      <c r="R146" s="61" t="str">
        <f aca="false">IF(A146="","",IF(AND(ISNUMBER(P146),ISNUMBER(Q146),P146&gt;=1,P146&lt;=5,Q146&gt;=1,Q146&lt;=5),P146*Q146,"Incomplete"))</f>
        <v/>
      </c>
      <c r="S146" s="52" t="str">
        <f aca="false">IF(A146="","",IF(ISNUMBER(R146),LOOKUP(R146,BandMin,BandName),"Incomplete"))</f>
        <v/>
      </c>
      <c r="T146" s="34"/>
      <c r="U146" s="50"/>
      <c r="V146" s="50"/>
      <c r="W146" s="50"/>
      <c r="X146" s="52" t="str">
        <f aca="false">IF(A146="","",IF(AND(V146="",W146=""),"Not set",IF(AND(ISNUMBER(V146),ISNUMBER(W146),V146&gt;=1,V146&lt;=5,W146&gt;=1,W146&lt;=5),V146*W146,"Incomplete")))</f>
        <v/>
      </c>
      <c r="Y146" s="52" t="str">
        <f aca="false">IF(A146="","",IF(X146="Not set","Not set",IF(ISNUMBER(X146),LOOKUP(X146,BandMin,BandName),"Incomplete")))</f>
        <v/>
      </c>
      <c r="Z146" s="34"/>
      <c r="AA146" s="54" t="str">
        <f aca="false">IF(A146="","",IF(AppetiteThreshold="","Not configured",IF(NOT(ISNUMBER(R146)),"Cannot assess - residual incomplete",IF(MATCH(S146,BandName,0)&gt;=MATCH(AppetiteThreshold,BandName,0),"Above appetite - escalation required","Within appetite"))))</f>
        <v/>
      </c>
      <c r="AB146" s="50"/>
      <c r="AC146" s="54" t="str">
        <f aca="false">IF(A146="","",IF(AB146="","No decision referenced",IFERROR(INDEX(DEC_FINAL,MATCH(AB146,DEC_ID,0))&amp;" - "&amp;INDEX(DEC_CURR,MATCH(AB146,DEC_ID,0)),"CHECK: Decision ID not found")))</f>
        <v/>
      </c>
      <c r="AD146" s="54" t="str">
        <f aca="false">IF(A146="","",IF(COUNTIF(TRT_RISK,A146)=0,"No treatment recorded",COUNTIF(TRT_RISK,A146)&amp;" action(s); "&amp;COUNTIFS(TRT_RISK,A146,TRT_OPEN,"Open")&amp;" open; "&amp;COUNTIFS(TRT_RISK,A146,TRT_OVERDUE,"Overdue")&amp;" overdue"))</f>
        <v/>
      </c>
      <c r="AE146" s="51"/>
      <c r="AF146" s="51"/>
      <c r="AG146" s="54" t="str">
        <f aca="false">IF(A146="","",IF(AI146="","Complete","Incomplete: "&amp;AI146))</f>
        <v/>
      </c>
      <c r="AH146" s="54" t="str">
        <f aca="false">IF(A146="","",IF(COUNTIF(RSK_ID,A146)&gt;1,"CHECK: duplicate ID",IF(B146="","CHECK: Supplier ID missing",IF(COUNTIF(INV_ID,B146)=0,"CHECK: Supplier ID not in inventory",IF(AND(ISNUMBER(R146),ISNUMBER(L146),R146&gt;L146),"CHECK: residual score exceeds inherent - confirm",IF(AND(ISNUMBER(AF146),AF146&lt;AsOf),"Review overdue (administrative)","OK"))))))</f>
        <v/>
      </c>
      <c r="AI146" s="52" t="str">
        <f aca="false">IF(A146="","",IF(I146="","risk owner; ","")&amp;IF(OR(J146="",K146=""),"inherent rating; ","")&amp;IF(N146="","inherent rationale; ","")&amp;IF(OR(P146="",Q146=""),"residual rating; ","")&amp;IF(AND(OR(P146&lt;&gt;"",Q146&lt;&gt;""),T146=""),"residual rationale; ","")&amp;IF(AND(OR(P146&lt;&gt;"",Q146&lt;&gt;""),U146=""),"assessment confidence; ","")&amp;IF(AE146="","assessment date; ",""))</f>
        <v/>
      </c>
      <c r="AJ146" s="52" t="str">
        <f aca="false">IF(OR(A146="",B146=""),"",IF(B146=RptSup,B146&amp;"|"&amp;COUNTIF($B$7:B146,B146),""))</f>
        <v/>
      </c>
    </row>
    <row r="147" customFormat="false" ht="15" hidden="false" customHeight="false" outlineLevel="0" collapsed="false">
      <c r="A147" s="50"/>
      <c r="B147" s="50"/>
      <c r="C147" s="59" t="str">
        <f aca="false">IF(B147="","",IFERROR(INDEX(INV_NAME,MATCH(B147,INV_ID,0)),"CHECK: Supplier ID not found"))</f>
        <v/>
      </c>
      <c r="D147" s="34"/>
      <c r="E147" s="34"/>
      <c r="F147" s="34"/>
      <c r="G147" s="34"/>
      <c r="H147" s="34"/>
      <c r="I147" s="34"/>
      <c r="J147" s="50"/>
      <c r="K147" s="50"/>
      <c r="L147" s="52" t="str">
        <f aca="false">IF(A147="","",IF(AND(ISNUMBER(J147),ISNUMBER(K147),J147&gt;=1,J147&lt;=5,K147&gt;=1,K147&lt;=5),J147*K147,"Incomplete"))</f>
        <v/>
      </c>
      <c r="M147" s="52" t="str">
        <f aca="false">IF(A147="","",IF(ISNUMBER(L147),LOOKUP(L147,BandMin,BandName),"Incomplete"))</f>
        <v/>
      </c>
      <c r="N147" s="34"/>
      <c r="O147" s="34"/>
      <c r="P147" s="50"/>
      <c r="Q147" s="50"/>
      <c r="R147" s="61" t="str">
        <f aca="false">IF(A147="","",IF(AND(ISNUMBER(P147),ISNUMBER(Q147),P147&gt;=1,P147&lt;=5,Q147&gt;=1,Q147&lt;=5),P147*Q147,"Incomplete"))</f>
        <v/>
      </c>
      <c r="S147" s="52" t="str">
        <f aca="false">IF(A147="","",IF(ISNUMBER(R147),LOOKUP(R147,BandMin,BandName),"Incomplete"))</f>
        <v/>
      </c>
      <c r="T147" s="34"/>
      <c r="U147" s="50"/>
      <c r="V147" s="50"/>
      <c r="W147" s="50"/>
      <c r="X147" s="52" t="str">
        <f aca="false">IF(A147="","",IF(AND(V147="",W147=""),"Not set",IF(AND(ISNUMBER(V147),ISNUMBER(W147),V147&gt;=1,V147&lt;=5,W147&gt;=1,W147&lt;=5),V147*W147,"Incomplete")))</f>
        <v/>
      </c>
      <c r="Y147" s="52" t="str">
        <f aca="false">IF(A147="","",IF(X147="Not set","Not set",IF(ISNUMBER(X147),LOOKUP(X147,BandMin,BandName),"Incomplete")))</f>
        <v/>
      </c>
      <c r="Z147" s="34"/>
      <c r="AA147" s="54" t="str">
        <f aca="false">IF(A147="","",IF(AppetiteThreshold="","Not configured",IF(NOT(ISNUMBER(R147)),"Cannot assess - residual incomplete",IF(MATCH(S147,BandName,0)&gt;=MATCH(AppetiteThreshold,BandName,0),"Above appetite - escalation required","Within appetite"))))</f>
        <v/>
      </c>
      <c r="AB147" s="50"/>
      <c r="AC147" s="54" t="str">
        <f aca="false">IF(A147="","",IF(AB147="","No decision referenced",IFERROR(INDEX(DEC_FINAL,MATCH(AB147,DEC_ID,0))&amp;" - "&amp;INDEX(DEC_CURR,MATCH(AB147,DEC_ID,0)),"CHECK: Decision ID not found")))</f>
        <v/>
      </c>
      <c r="AD147" s="54" t="str">
        <f aca="false">IF(A147="","",IF(COUNTIF(TRT_RISK,A147)=0,"No treatment recorded",COUNTIF(TRT_RISK,A147)&amp;" action(s); "&amp;COUNTIFS(TRT_RISK,A147,TRT_OPEN,"Open")&amp;" open; "&amp;COUNTIFS(TRT_RISK,A147,TRT_OVERDUE,"Overdue")&amp;" overdue"))</f>
        <v/>
      </c>
      <c r="AE147" s="51"/>
      <c r="AF147" s="51"/>
      <c r="AG147" s="54" t="str">
        <f aca="false">IF(A147="","",IF(AI147="","Complete","Incomplete: "&amp;AI147))</f>
        <v/>
      </c>
      <c r="AH147" s="54" t="str">
        <f aca="false">IF(A147="","",IF(COUNTIF(RSK_ID,A147)&gt;1,"CHECK: duplicate ID",IF(B147="","CHECK: Supplier ID missing",IF(COUNTIF(INV_ID,B147)=0,"CHECK: Supplier ID not in inventory",IF(AND(ISNUMBER(R147),ISNUMBER(L147),R147&gt;L147),"CHECK: residual score exceeds inherent - confirm",IF(AND(ISNUMBER(AF147),AF147&lt;AsOf),"Review overdue (administrative)","OK"))))))</f>
        <v/>
      </c>
      <c r="AI147" s="52" t="str">
        <f aca="false">IF(A147="","",IF(I147="","risk owner; ","")&amp;IF(OR(J147="",K147=""),"inherent rating; ","")&amp;IF(N147="","inherent rationale; ","")&amp;IF(OR(P147="",Q147=""),"residual rating; ","")&amp;IF(AND(OR(P147&lt;&gt;"",Q147&lt;&gt;""),T147=""),"residual rationale; ","")&amp;IF(AND(OR(P147&lt;&gt;"",Q147&lt;&gt;""),U147=""),"assessment confidence; ","")&amp;IF(AE147="","assessment date; ",""))</f>
        <v/>
      </c>
      <c r="AJ147" s="52" t="str">
        <f aca="false">IF(OR(A147="",B147=""),"",IF(B147=RptSup,B147&amp;"|"&amp;COUNTIF($B$7:B147,B147),""))</f>
        <v/>
      </c>
    </row>
    <row r="148" customFormat="false" ht="15" hidden="false" customHeight="false" outlineLevel="0" collapsed="false">
      <c r="A148" s="50"/>
      <c r="B148" s="50"/>
      <c r="C148" s="59" t="str">
        <f aca="false">IF(B148="","",IFERROR(INDEX(INV_NAME,MATCH(B148,INV_ID,0)),"CHECK: Supplier ID not found"))</f>
        <v/>
      </c>
      <c r="D148" s="34"/>
      <c r="E148" s="34"/>
      <c r="F148" s="34"/>
      <c r="G148" s="34"/>
      <c r="H148" s="34"/>
      <c r="I148" s="34"/>
      <c r="J148" s="50"/>
      <c r="K148" s="50"/>
      <c r="L148" s="52" t="str">
        <f aca="false">IF(A148="","",IF(AND(ISNUMBER(J148),ISNUMBER(K148),J148&gt;=1,J148&lt;=5,K148&gt;=1,K148&lt;=5),J148*K148,"Incomplete"))</f>
        <v/>
      </c>
      <c r="M148" s="52" t="str">
        <f aca="false">IF(A148="","",IF(ISNUMBER(L148),LOOKUP(L148,BandMin,BandName),"Incomplete"))</f>
        <v/>
      </c>
      <c r="N148" s="34"/>
      <c r="O148" s="34"/>
      <c r="P148" s="50"/>
      <c r="Q148" s="50"/>
      <c r="R148" s="61" t="str">
        <f aca="false">IF(A148="","",IF(AND(ISNUMBER(P148),ISNUMBER(Q148),P148&gt;=1,P148&lt;=5,Q148&gt;=1,Q148&lt;=5),P148*Q148,"Incomplete"))</f>
        <v/>
      </c>
      <c r="S148" s="52" t="str">
        <f aca="false">IF(A148="","",IF(ISNUMBER(R148),LOOKUP(R148,BandMin,BandName),"Incomplete"))</f>
        <v/>
      </c>
      <c r="T148" s="34"/>
      <c r="U148" s="50"/>
      <c r="V148" s="50"/>
      <c r="W148" s="50"/>
      <c r="X148" s="52" t="str">
        <f aca="false">IF(A148="","",IF(AND(V148="",W148=""),"Not set",IF(AND(ISNUMBER(V148),ISNUMBER(W148),V148&gt;=1,V148&lt;=5,W148&gt;=1,W148&lt;=5),V148*W148,"Incomplete")))</f>
        <v/>
      </c>
      <c r="Y148" s="52" t="str">
        <f aca="false">IF(A148="","",IF(X148="Not set","Not set",IF(ISNUMBER(X148),LOOKUP(X148,BandMin,BandName),"Incomplete")))</f>
        <v/>
      </c>
      <c r="Z148" s="34"/>
      <c r="AA148" s="54" t="str">
        <f aca="false">IF(A148="","",IF(AppetiteThreshold="","Not configured",IF(NOT(ISNUMBER(R148)),"Cannot assess - residual incomplete",IF(MATCH(S148,BandName,0)&gt;=MATCH(AppetiteThreshold,BandName,0),"Above appetite - escalation required","Within appetite"))))</f>
        <v/>
      </c>
      <c r="AB148" s="50"/>
      <c r="AC148" s="54" t="str">
        <f aca="false">IF(A148="","",IF(AB148="","No decision referenced",IFERROR(INDEX(DEC_FINAL,MATCH(AB148,DEC_ID,0))&amp;" - "&amp;INDEX(DEC_CURR,MATCH(AB148,DEC_ID,0)),"CHECK: Decision ID not found")))</f>
        <v/>
      </c>
      <c r="AD148" s="54" t="str">
        <f aca="false">IF(A148="","",IF(COUNTIF(TRT_RISK,A148)=0,"No treatment recorded",COUNTIF(TRT_RISK,A148)&amp;" action(s); "&amp;COUNTIFS(TRT_RISK,A148,TRT_OPEN,"Open")&amp;" open; "&amp;COUNTIFS(TRT_RISK,A148,TRT_OVERDUE,"Overdue")&amp;" overdue"))</f>
        <v/>
      </c>
      <c r="AE148" s="51"/>
      <c r="AF148" s="51"/>
      <c r="AG148" s="54" t="str">
        <f aca="false">IF(A148="","",IF(AI148="","Complete","Incomplete: "&amp;AI148))</f>
        <v/>
      </c>
      <c r="AH148" s="54" t="str">
        <f aca="false">IF(A148="","",IF(COUNTIF(RSK_ID,A148)&gt;1,"CHECK: duplicate ID",IF(B148="","CHECK: Supplier ID missing",IF(COUNTIF(INV_ID,B148)=0,"CHECK: Supplier ID not in inventory",IF(AND(ISNUMBER(R148),ISNUMBER(L148),R148&gt;L148),"CHECK: residual score exceeds inherent - confirm",IF(AND(ISNUMBER(AF148),AF148&lt;AsOf),"Review overdue (administrative)","OK"))))))</f>
        <v/>
      </c>
      <c r="AI148" s="52" t="str">
        <f aca="false">IF(A148="","",IF(I148="","risk owner; ","")&amp;IF(OR(J148="",K148=""),"inherent rating; ","")&amp;IF(N148="","inherent rationale; ","")&amp;IF(OR(P148="",Q148=""),"residual rating; ","")&amp;IF(AND(OR(P148&lt;&gt;"",Q148&lt;&gt;""),T148=""),"residual rationale; ","")&amp;IF(AND(OR(P148&lt;&gt;"",Q148&lt;&gt;""),U148=""),"assessment confidence; ","")&amp;IF(AE148="","assessment date; ",""))</f>
        <v/>
      </c>
      <c r="AJ148" s="52" t="str">
        <f aca="false">IF(OR(A148="",B148=""),"",IF(B148=RptSup,B148&amp;"|"&amp;COUNTIF($B$7:B148,B148),""))</f>
        <v/>
      </c>
    </row>
    <row r="149" customFormat="false" ht="15" hidden="false" customHeight="false" outlineLevel="0" collapsed="false">
      <c r="A149" s="50"/>
      <c r="B149" s="50"/>
      <c r="C149" s="59" t="str">
        <f aca="false">IF(B149="","",IFERROR(INDEX(INV_NAME,MATCH(B149,INV_ID,0)),"CHECK: Supplier ID not found"))</f>
        <v/>
      </c>
      <c r="D149" s="34"/>
      <c r="E149" s="34"/>
      <c r="F149" s="34"/>
      <c r="G149" s="34"/>
      <c r="H149" s="34"/>
      <c r="I149" s="34"/>
      <c r="J149" s="50"/>
      <c r="K149" s="50"/>
      <c r="L149" s="52" t="str">
        <f aca="false">IF(A149="","",IF(AND(ISNUMBER(J149),ISNUMBER(K149),J149&gt;=1,J149&lt;=5,K149&gt;=1,K149&lt;=5),J149*K149,"Incomplete"))</f>
        <v/>
      </c>
      <c r="M149" s="52" t="str">
        <f aca="false">IF(A149="","",IF(ISNUMBER(L149),LOOKUP(L149,BandMin,BandName),"Incomplete"))</f>
        <v/>
      </c>
      <c r="N149" s="34"/>
      <c r="O149" s="34"/>
      <c r="P149" s="50"/>
      <c r="Q149" s="50"/>
      <c r="R149" s="61" t="str">
        <f aca="false">IF(A149="","",IF(AND(ISNUMBER(P149),ISNUMBER(Q149),P149&gt;=1,P149&lt;=5,Q149&gt;=1,Q149&lt;=5),P149*Q149,"Incomplete"))</f>
        <v/>
      </c>
      <c r="S149" s="52" t="str">
        <f aca="false">IF(A149="","",IF(ISNUMBER(R149),LOOKUP(R149,BandMin,BandName),"Incomplete"))</f>
        <v/>
      </c>
      <c r="T149" s="34"/>
      <c r="U149" s="50"/>
      <c r="V149" s="50"/>
      <c r="W149" s="50"/>
      <c r="X149" s="52" t="str">
        <f aca="false">IF(A149="","",IF(AND(V149="",W149=""),"Not set",IF(AND(ISNUMBER(V149),ISNUMBER(W149),V149&gt;=1,V149&lt;=5,W149&gt;=1,W149&lt;=5),V149*W149,"Incomplete")))</f>
        <v/>
      </c>
      <c r="Y149" s="52" t="str">
        <f aca="false">IF(A149="","",IF(X149="Not set","Not set",IF(ISNUMBER(X149),LOOKUP(X149,BandMin,BandName),"Incomplete")))</f>
        <v/>
      </c>
      <c r="Z149" s="34"/>
      <c r="AA149" s="54" t="str">
        <f aca="false">IF(A149="","",IF(AppetiteThreshold="","Not configured",IF(NOT(ISNUMBER(R149)),"Cannot assess - residual incomplete",IF(MATCH(S149,BandName,0)&gt;=MATCH(AppetiteThreshold,BandName,0),"Above appetite - escalation required","Within appetite"))))</f>
        <v/>
      </c>
      <c r="AB149" s="50"/>
      <c r="AC149" s="54" t="str">
        <f aca="false">IF(A149="","",IF(AB149="","No decision referenced",IFERROR(INDEX(DEC_FINAL,MATCH(AB149,DEC_ID,0))&amp;" - "&amp;INDEX(DEC_CURR,MATCH(AB149,DEC_ID,0)),"CHECK: Decision ID not found")))</f>
        <v/>
      </c>
      <c r="AD149" s="54" t="str">
        <f aca="false">IF(A149="","",IF(COUNTIF(TRT_RISK,A149)=0,"No treatment recorded",COUNTIF(TRT_RISK,A149)&amp;" action(s); "&amp;COUNTIFS(TRT_RISK,A149,TRT_OPEN,"Open")&amp;" open; "&amp;COUNTIFS(TRT_RISK,A149,TRT_OVERDUE,"Overdue")&amp;" overdue"))</f>
        <v/>
      </c>
      <c r="AE149" s="51"/>
      <c r="AF149" s="51"/>
      <c r="AG149" s="54" t="str">
        <f aca="false">IF(A149="","",IF(AI149="","Complete","Incomplete: "&amp;AI149))</f>
        <v/>
      </c>
      <c r="AH149" s="54" t="str">
        <f aca="false">IF(A149="","",IF(COUNTIF(RSK_ID,A149)&gt;1,"CHECK: duplicate ID",IF(B149="","CHECK: Supplier ID missing",IF(COUNTIF(INV_ID,B149)=0,"CHECK: Supplier ID not in inventory",IF(AND(ISNUMBER(R149),ISNUMBER(L149),R149&gt;L149),"CHECK: residual score exceeds inherent - confirm",IF(AND(ISNUMBER(AF149),AF149&lt;AsOf),"Review overdue (administrative)","OK"))))))</f>
        <v/>
      </c>
      <c r="AI149" s="52" t="str">
        <f aca="false">IF(A149="","",IF(I149="","risk owner; ","")&amp;IF(OR(J149="",K149=""),"inherent rating; ","")&amp;IF(N149="","inherent rationale; ","")&amp;IF(OR(P149="",Q149=""),"residual rating; ","")&amp;IF(AND(OR(P149&lt;&gt;"",Q149&lt;&gt;""),T149=""),"residual rationale; ","")&amp;IF(AND(OR(P149&lt;&gt;"",Q149&lt;&gt;""),U149=""),"assessment confidence; ","")&amp;IF(AE149="","assessment date; ",""))</f>
        <v/>
      </c>
      <c r="AJ149" s="52" t="str">
        <f aca="false">IF(OR(A149="",B149=""),"",IF(B149=RptSup,B149&amp;"|"&amp;COUNTIF($B$7:B149,B149),""))</f>
        <v/>
      </c>
    </row>
    <row r="150" customFormat="false" ht="15" hidden="false" customHeight="false" outlineLevel="0" collapsed="false">
      <c r="A150" s="50"/>
      <c r="B150" s="50"/>
      <c r="C150" s="59" t="str">
        <f aca="false">IF(B150="","",IFERROR(INDEX(INV_NAME,MATCH(B150,INV_ID,0)),"CHECK: Supplier ID not found"))</f>
        <v/>
      </c>
      <c r="D150" s="34"/>
      <c r="E150" s="34"/>
      <c r="F150" s="34"/>
      <c r="G150" s="34"/>
      <c r="H150" s="34"/>
      <c r="I150" s="34"/>
      <c r="J150" s="50"/>
      <c r="K150" s="50"/>
      <c r="L150" s="52" t="str">
        <f aca="false">IF(A150="","",IF(AND(ISNUMBER(J150),ISNUMBER(K150),J150&gt;=1,J150&lt;=5,K150&gt;=1,K150&lt;=5),J150*K150,"Incomplete"))</f>
        <v/>
      </c>
      <c r="M150" s="52" t="str">
        <f aca="false">IF(A150="","",IF(ISNUMBER(L150),LOOKUP(L150,BandMin,BandName),"Incomplete"))</f>
        <v/>
      </c>
      <c r="N150" s="34"/>
      <c r="O150" s="34"/>
      <c r="P150" s="50"/>
      <c r="Q150" s="50"/>
      <c r="R150" s="61" t="str">
        <f aca="false">IF(A150="","",IF(AND(ISNUMBER(P150),ISNUMBER(Q150),P150&gt;=1,P150&lt;=5,Q150&gt;=1,Q150&lt;=5),P150*Q150,"Incomplete"))</f>
        <v/>
      </c>
      <c r="S150" s="52" t="str">
        <f aca="false">IF(A150="","",IF(ISNUMBER(R150),LOOKUP(R150,BandMin,BandName),"Incomplete"))</f>
        <v/>
      </c>
      <c r="T150" s="34"/>
      <c r="U150" s="50"/>
      <c r="V150" s="50"/>
      <c r="W150" s="50"/>
      <c r="X150" s="52" t="str">
        <f aca="false">IF(A150="","",IF(AND(V150="",W150=""),"Not set",IF(AND(ISNUMBER(V150),ISNUMBER(W150),V150&gt;=1,V150&lt;=5,W150&gt;=1,W150&lt;=5),V150*W150,"Incomplete")))</f>
        <v/>
      </c>
      <c r="Y150" s="52" t="str">
        <f aca="false">IF(A150="","",IF(X150="Not set","Not set",IF(ISNUMBER(X150),LOOKUP(X150,BandMin,BandName),"Incomplete")))</f>
        <v/>
      </c>
      <c r="Z150" s="34"/>
      <c r="AA150" s="54" t="str">
        <f aca="false">IF(A150="","",IF(AppetiteThreshold="","Not configured",IF(NOT(ISNUMBER(R150)),"Cannot assess - residual incomplete",IF(MATCH(S150,BandName,0)&gt;=MATCH(AppetiteThreshold,BandName,0),"Above appetite - escalation required","Within appetite"))))</f>
        <v/>
      </c>
      <c r="AB150" s="50"/>
      <c r="AC150" s="54" t="str">
        <f aca="false">IF(A150="","",IF(AB150="","No decision referenced",IFERROR(INDEX(DEC_FINAL,MATCH(AB150,DEC_ID,0))&amp;" - "&amp;INDEX(DEC_CURR,MATCH(AB150,DEC_ID,0)),"CHECK: Decision ID not found")))</f>
        <v/>
      </c>
      <c r="AD150" s="54" t="str">
        <f aca="false">IF(A150="","",IF(COUNTIF(TRT_RISK,A150)=0,"No treatment recorded",COUNTIF(TRT_RISK,A150)&amp;" action(s); "&amp;COUNTIFS(TRT_RISK,A150,TRT_OPEN,"Open")&amp;" open; "&amp;COUNTIFS(TRT_RISK,A150,TRT_OVERDUE,"Overdue")&amp;" overdue"))</f>
        <v/>
      </c>
      <c r="AE150" s="51"/>
      <c r="AF150" s="51"/>
      <c r="AG150" s="54" t="str">
        <f aca="false">IF(A150="","",IF(AI150="","Complete","Incomplete: "&amp;AI150))</f>
        <v/>
      </c>
      <c r="AH150" s="54" t="str">
        <f aca="false">IF(A150="","",IF(COUNTIF(RSK_ID,A150)&gt;1,"CHECK: duplicate ID",IF(B150="","CHECK: Supplier ID missing",IF(COUNTIF(INV_ID,B150)=0,"CHECK: Supplier ID not in inventory",IF(AND(ISNUMBER(R150),ISNUMBER(L150),R150&gt;L150),"CHECK: residual score exceeds inherent - confirm",IF(AND(ISNUMBER(AF150),AF150&lt;AsOf),"Review overdue (administrative)","OK"))))))</f>
        <v/>
      </c>
      <c r="AI150" s="52" t="str">
        <f aca="false">IF(A150="","",IF(I150="","risk owner; ","")&amp;IF(OR(J150="",K150=""),"inherent rating; ","")&amp;IF(N150="","inherent rationale; ","")&amp;IF(OR(P150="",Q150=""),"residual rating; ","")&amp;IF(AND(OR(P150&lt;&gt;"",Q150&lt;&gt;""),T150=""),"residual rationale; ","")&amp;IF(AND(OR(P150&lt;&gt;"",Q150&lt;&gt;""),U150=""),"assessment confidence; ","")&amp;IF(AE150="","assessment date; ",""))</f>
        <v/>
      </c>
      <c r="AJ150" s="52" t="str">
        <f aca="false">IF(OR(A150="",B150=""),"",IF(B150=RptSup,B150&amp;"|"&amp;COUNTIF($B$7:B150,B150),""))</f>
        <v/>
      </c>
    </row>
    <row r="151" customFormat="false" ht="15" hidden="false" customHeight="false" outlineLevel="0" collapsed="false">
      <c r="A151" s="50"/>
      <c r="B151" s="50"/>
      <c r="C151" s="59" t="str">
        <f aca="false">IF(B151="","",IFERROR(INDEX(INV_NAME,MATCH(B151,INV_ID,0)),"CHECK: Supplier ID not found"))</f>
        <v/>
      </c>
      <c r="D151" s="34"/>
      <c r="E151" s="34"/>
      <c r="F151" s="34"/>
      <c r="G151" s="34"/>
      <c r="H151" s="34"/>
      <c r="I151" s="34"/>
      <c r="J151" s="50"/>
      <c r="K151" s="50"/>
      <c r="L151" s="52" t="str">
        <f aca="false">IF(A151="","",IF(AND(ISNUMBER(J151),ISNUMBER(K151),J151&gt;=1,J151&lt;=5,K151&gt;=1,K151&lt;=5),J151*K151,"Incomplete"))</f>
        <v/>
      </c>
      <c r="M151" s="52" t="str">
        <f aca="false">IF(A151="","",IF(ISNUMBER(L151),LOOKUP(L151,BandMin,BandName),"Incomplete"))</f>
        <v/>
      </c>
      <c r="N151" s="34"/>
      <c r="O151" s="34"/>
      <c r="P151" s="50"/>
      <c r="Q151" s="50"/>
      <c r="R151" s="61" t="str">
        <f aca="false">IF(A151="","",IF(AND(ISNUMBER(P151),ISNUMBER(Q151),P151&gt;=1,P151&lt;=5,Q151&gt;=1,Q151&lt;=5),P151*Q151,"Incomplete"))</f>
        <v/>
      </c>
      <c r="S151" s="52" t="str">
        <f aca="false">IF(A151="","",IF(ISNUMBER(R151),LOOKUP(R151,BandMin,BandName),"Incomplete"))</f>
        <v/>
      </c>
      <c r="T151" s="34"/>
      <c r="U151" s="50"/>
      <c r="V151" s="50"/>
      <c r="W151" s="50"/>
      <c r="X151" s="52" t="str">
        <f aca="false">IF(A151="","",IF(AND(V151="",W151=""),"Not set",IF(AND(ISNUMBER(V151),ISNUMBER(W151),V151&gt;=1,V151&lt;=5,W151&gt;=1,W151&lt;=5),V151*W151,"Incomplete")))</f>
        <v/>
      </c>
      <c r="Y151" s="52" t="str">
        <f aca="false">IF(A151="","",IF(X151="Not set","Not set",IF(ISNUMBER(X151),LOOKUP(X151,BandMin,BandName),"Incomplete")))</f>
        <v/>
      </c>
      <c r="Z151" s="34"/>
      <c r="AA151" s="54" t="str">
        <f aca="false">IF(A151="","",IF(AppetiteThreshold="","Not configured",IF(NOT(ISNUMBER(R151)),"Cannot assess - residual incomplete",IF(MATCH(S151,BandName,0)&gt;=MATCH(AppetiteThreshold,BandName,0),"Above appetite - escalation required","Within appetite"))))</f>
        <v/>
      </c>
      <c r="AB151" s="50"/>
      <c r="AC151" s="54" t="str">
        <f aca="false">IF(A151="","",IF(AB151="","No decision referenced",IFERROR(INDEX(DEC_FINAL,MATCH(AB151,DEC_ID,0))&amp;" - "&amp;INDEX(DEC_CURR,MATCH(AB151,DEC_ID,0)),"CHECK: Decision ID not found")))</f>
        <v/>
      </c>
      <c r="AD151" s="54" t="str">
        <f aca="false">IF(A151="","",IF(COUNTIF(TRT_RISK,A151)=0,"No treatment recorded",COUNTIF(TRT_RISK,A151)&amp;" action(s); "&amp;COUNTIFS(TRT_RISK,A151,TRT_OPEN,"Open")&amp;" open; "&amp;COUNTIFS(TRT_RISK,A151,TRT_OVERDUE,"Overdue")&amp;" overdue"))</f>
        <v/>
      </c>
      <c r="AE151" s="51"/>
      <c r="AF151" s="51"/>
      <c r="AG151" s="54" t="str">
        <f aca="false">IF(A151="","",IF(AI151="","Complete","Incomplete: "&amp;AI151))</f>
        <v/>
      </c>
      <c r="AH151" s="54" t="str">
        <f aca="false">IF(A151="","",IF(COUNTIF(RSK_ID,A151)&gt;1,"CHECK: duplicate ID",IF(B151="","CHECK: Supplier ID missing",IF(COUNTIF(INV_ID,B151)=0,"CHECK: Supplier ID not in inventory",IF(AND(ISNUMBER(R151),ISNUMBER(L151),R151&gt;L151),"CHECK: residual score exceeds inherent - confirm",IF(AND(ISNUMBER(AF151),AF151&lt;AsOf),"Review overdue (administrative)","OK"))))))</f>
        <v/>
      </c>
      <c r="AI151" s="52" t="str">
        <f aca="false">IF(A151="","",IF(I151="","risk owner; ","")&amp;IF(OR(J151="",K151=""),"inherent rating; ","")&amp;IF(N151="","inherent rationale; ","")&amp;IF(OR(P151="",Q151=""),"residual rating; ","")&amp;IF(AND(OR(P151&lt;&gt;"",Q151&lt;&gt;""),T151=""),"residual rationale; ","")&amp;IF(AND(OR(P151&lt;&gt;"",Q151&lt;&gt;""),U151=""),"assessment confidence; ","")&amp;IF(AE151="","assessment date; ",""))</f>
        <v/>
      </c>
      <c r="AJ151" s="52" t="str">
        <f aca="false">IF(OR(A151="",B151=""),"",IF(B151=RptSup,B151&amp;"|"&amp;COUNTIF($B$7:B151,B151),""))</f>
        <v/>
      </c>
    </row>
    <row r="152" customFormat="false" ht="15" hidden="false" customHeight="false" outlineLevel="0" collapsed="false">
      <c r="A152" s="50"/>
      <c r="B152" s="50"/>
      <c r="C152" s="59" t="str">
        <f aca="false">IF(B152="","",IFERROR(INDEX(INV_NAME,MATCH(B152,INV_ID,0)),"CHECK: Supplier ID not found"))</f>
        <v/>
      </c>
      <c r="D152" s="34"/>
      <c r="E152" s="34"/>
      <c r="F152" s="34"/>
      <c r="G152" s="34"/>
      <c r="H152" s="34"/>
      <c r="I152" s="34"/>
      <c r="J152" s="50"/>
      <c r="K152" s="50"/>
      <c r="L152" s="52" t="str">
        <f aca="false">IF(A152="","",IF(AND(ISNUMBER(J152),ISNUMBER(K152),J152&gt;=1,J152&lt;=5,K152&gt;=1,K152&lt;=5),J152*K152,"Incomplete"))</f>
        <v/>
      </c>
      <c r="M152" s="52" t="str">
        <f aca="false">IF(A152="","",IF(ISNUMBER(L152),LOOKUP(L152,BandMin,BandName),"Incomplete"))</f>
        <v/>
      </c>
      <c r="N152" s="34"/>
      <c r="O152" s="34"/>
      <c r="P152" s="50"/>
      <c r="Q152" s="50"/>
      <c r="R152" s="61" t="str">
        <f aca="false">IF(A152="","",IF(AND(ISNUMBER(P152),ISNUMBER(Q152),P152&gt;=1,P152&lt;=5,Q152&gt;=1,Q152&lt;=5),P152*Q152,"Incomplete"))</f>
        <v/>
      </c>
      <c r="S152" s="52" t="str">
        <f aca="false">IF(A152="","",IF(ISNUMBER(R152),LOOKUP(R152,BandMin,BandName),"Incomplete"))</f>
        <v/>
      </c>
      <c r="T152" s="34"/>
      <c r="U152" s="50"/>
      <c r="V152" s="50"/>
      <c r="W152" s="50"/>
      <c r="X152" s="52" t="str">
        <f aca="false">IF(A152="","",IF(AND(V152="",W152=""),"Not set",IF(AND(ISNUMBER(V152),ISNUMBER(W152),V152&gt;=1,V152&lt;=5,W152&gt;=1,W152&lt;=5),V152*W152,"Incomplete")))</f>
        <v/>
      </c>
      <c r="Y152" s="52" t="str">
        <f aca="false">IF(A152="","",IF(X152="Not set","Not set",IF(ISNUMBER(X152),LOOKUP(X152,BandMin,BandName),"Incomplete")))</f>
        <v/>
      </c>
      <c r="Z152" s="34"/>
      <c r="AA152" s="54" t="str">
        <f aca="false">IF(A152="","",IF(AppetiteThreshold="","Not configured",IF(NOT(ISNUMBER(R152)),"Cannot assess - residual incomplete",IF(MATCH(S152,BandName,0)&gt;=MATCH(AppetiteThreshold,BandName,0),"Above appetite - escalation required","Within appetite"))))</f>
        <v/>
      </c>
      <c r="AB152" s="50"/>
      <c r="AC152" s="54" t="str">
        <f aca="false">IF(A152="","",IF(AB152="","No decision referenced",IFERROR(INDEX(DEC_FINAL,MATCH(AB152,DEC_ID,0))&amp;" - "&amp;INDEX(DEC_CURR,MATCH(AB152,DEC_ID,0)),"CHECK: Decision ID not found")))</f>
        <v/>
      </c>
      <c r="AD152" s="54" t="str">
        <f aca="false">IF(A152="","",IF(COUNTIF(TRT_RISK,A152)=0,"No treatment recorded",COUNTIF(TRT_RISK,A152)&amp;" action(s); "&amp;COUNTIFS(TRT_RISK,A152,TRT_OPEN,"Open")&amp;" open; "&amp;COUNTIFS(TRT_RISK,A152,TRT_OVERDUE,"Overdue")&amp;" overdue"))</f>
        <v/>
      </c>
      <c r="AE152" s="51"/>
      <c r="AF152" s="51"/>
      <c r="AG152" s="54" t="str">
        <f aca="false">IF(A152="","",IF(AI152="","Complete","Incomplete: "&amp;AI152))</f>
        <v/>
      </c>
      <c r="AH152" s="54" t="str">
        <f aca="false">IF(A152="","",IF(COUNTIF(RSK_ID,A152)&gt;1,"CHECK: duplicate ID",IF(B152="","CHECK: Supplier ID missing",IF(COUNTIF(INV_ID,B152)=0,"CHECK: Supplier ID not in inventory",IF(AND(ISNUMBER(R152),ISNUMBER(L152),R152&gt;L152),"CHECK: residual score exceeds inherent - confirm",IF(AND(ISNUMBER(AF152),AF152&lt;AsOf),"Review overdue (administrative)","OK"))))))</f>
        <v/>
      </c>
      <c r="AI152" s="52" t="str">
        <f aca="false">IF(A152="","",IF(I152="","risk owner; ","")&amp;IF(OR(J152="",K152=""),"inherent rating; ","")&amp;IF(N152="","inherent rationale; ","")&amp;IF(OR(P152="",Q152=""),"residual rating; ","")&amp;IF(AND(OR(P152&lt;&gt;"",Q152&lt;&gt;""),T152=""),"residual rationale; ","")&amp;IF(AND(OR(P152&lt;&gt;"",Q152&lt;&gt;""),U152=""),"assessment confidence; ","")&amp;IF(AE152="","assessment date; ",""))</f>
        <v/>
      </c>
      <c r="AJ152" s="52" t="str">
        <f aca="false">IF(OR(A152="",B152=""),"",IF(B152=RptSup,B152&amp;"|"&amp;COUNTIF($B$7:B152,B152),""))</f>
        <v/>
      </c>
    </row>
    <row r="153" customFormat="false" ht="15" hidden="false" customHeight="false" outlineLevel="0" collapsed="false">
      <c r="A153" s="50"/>
      <c r="B153" s="50"/>
      <c r="C153" s="59" t="str">
        <f aca="false">IF(B153="","",IFERROR(INDEX(INV_NAME,MATCH(B153,INV_ID,0)),"CHECK: Supplier ID not found"))</f>
        <v/>
      </c>
      <c r="D153" s="34"/>
      <c r="E153" s="34"/>
      <c r="F153" s="34"/>
      <c r="G153" s="34"/>
      <c r="H153" s="34"/>
      <c r="I153" s="34"/>
      <c r="J153" s="50"/>
      <c r="K153" s="50"/>
      <c r="L153" s="52" t="str">
        <f aca="false">IF(A153="","",IF(AND(ISNUMBER(J153),ISNUMBER(K153),J153&gt;=1,J153&lt;=5,K153&gt;=1,K153&lt;=5),J153*K153,"Incomplete"))</f>
        <v/>
      </c>
      <c r="M153" s="52" t="str">
        <f aca="false">IF(A153="","",IF(ISNUMBER(L153),LOOKUP(L153,BandMin,BandName),"Incomplete"))</f>
        <v/>
      </c>
      <c r="N153" s="34"/>
      <c r="O153" s="34"/>
      <c r="P153" s="50"/>
      <c r="Q153" s="50"/>
      <c r="R153" s="61" t="str">
        <f aca="false">IF(A153="","",IF(AND(ISNUMBER(P153),ISNUMBER(Q153),P153&gt;=1,P153&lt;=5,Q153&gt;=1,Q153&lt;=5),P153*Q153,"Incomplete"))</f>
        <v/>
      </c>
      <c r="S153" s="52" t="str">
        <f aca="false">IF(A153="","",IF(ISNUMBER(R153),LOOKUP(R153,BandMin,BandName),"Incomplete"))</f>
        <v/>
      </c>
      <c r="T153" s="34"/>
      <c r="U153" s="50"/>
      <c r="V153" s="50"/>
      <c r="W153" s="50"/>
      <c r="X153" s="52" t="str">
        <f aca="false">IF(A153="","",IF(AND(V153="",W153=""),"Not set",IF(AND(ISNUMBER(V153),ISNUMBER(W153),V153&gt;=1,V153&lt;=5,W153&gt;=1,W153&lt;=5),V153*W153,"Incomplete")))</f>
        <v/>
      </c>
      <c r="Y153" s="52" t="str">
        <f aca="false">IF(A153="","",IF(X153="Not set","Not set",IF(ISNUMBER(X153),LOOKUP(X153,BandMin,BandName),"Incomplete")))</f>
        <v/>
      </c>
      <c r="Z153" s="34"/>
      <c r="AA153" s="54" t="str">
        <f aca="false">IF(A153="","",IF(AppetiteThreshold="","Not configured",IF(NOT(ISNUMBER(R153)),"Cannot assess - residual incomplete",IF(MATCH(S153,BandName,0)&gt;=MATCH(AppetiteThreshold,BandName,0),"Above appetite - escalation required","Within appetite"))))</f>
        <v/>
      </c>
      <c r="AB153" s="50"/>
      <c r="AC153" s="54" t="str">
        <f aca="false">IF(A153="","",IF(AB153="","No decision referenced",IFERROR(INDEX(DEC_FINAL,MATCH(AB153,DEC_ID,0))&amp;" - "&amp;INDEX(DEC_CURR,MATCH(AB153,DEC_ID,0)),"CHECK: Decision ID not found")))</f>
        <v/>
      </c>
      <c r="AD153" s="54" t="str">
        <f aca="false">IF(A153="","",IF(COUNTIF(TRT_RISK,A153)=0,"No treatment recorded",COUNTIF(TRT_RISK,A153)&amp;" action(s); "&amp;COUNTIFS(TRT_RISK,A153,TRT_OPEN,"Open")&amp;" open; "&amp;COUNTIFS(TRT_RISK,A153,TRT_OVERDUE,"Overdue")&amp;" overdue"))</f>
        <v/>
      </c>
      <c r="AE153" s="51"/>
      <c r="AF153" s="51"/>
      <c r="AG153" s="54" t="str">
        <f aca="false">IF(A153="","",IF(AI153="","Complete","Incomplete: "&amp;AI153))</f>
        <v/>
      </c>
      <c r="AH153" s="54" t="str">
        <f aca="false">IF(A153="","",IF(COUNTIF(RSK_ID,A153)&gt;1,"CHECK: duplicate ID",IF(B153="","CHECK: Supplier ID missing",IF(COUNTIF(INV_ID,B153)=0,"CHECK: Supplier ID not in inventory",IF(AND(ISNUMBER(R153),ISNUMBER(L153),R153&gt;L153),"CHECK: residual score exceeds inherent - confirm",IF(AND(ISNUMBER(AF153),AF153&lt;AsOf),"Review overdue (administrative)","OK"))))))</f>
        <v/>
      </c>
      <c r="AI153" s="52" t="str">
        <f aca="false">IF(A153="","",IF(I153="","risk owner; ","")&amp;IF(OR(J153="",K153=""),"inherent rating; ","")&amp;IF(N153="","inherent rationale; ","")&amp;IF(OR(P153="",Q153=""),"residual rating; ","")&amp;IF(AND(OR(P153&lt;&gt;"",Q153&lt;&gt;""),T153=""),"residual rationale; ","")&amp;IF(AND(OR(P153&lt;&gt;"",Q153&lt;&gt;""),U153=""),"assessment confidence; ","")&amp;IF(AE153="","assessment date; ",""))</f>
        <v/>
      </c>
      <c r="AJ153" s="52" t="str">
        <f aca="false">IF(OR(A153="",B153=""),"",IF(B153=RptSup,B153&amp;"|"&amp;COUNTIF($B$7:B153,B153),""))</f>
        <v/>
      </c>
    </row>
    <row r="154" customFormat="false" ht="15" hidden="false" customHeight="false" outlineLevel="0" collapsed="false">
      <c r="A154" s="50"/>
      <c r="B154" s="50"/>
      <c r="C154" s="59" t="str">
        <f aca="false">IF(B154="","",IFERROR(INDEX(INV_NAME,MATCH(B154,INV_ID,0)),"CHECK: Supplier ID not found"))</f>
        <v/>
      </c>
      <c r="D154" s="34"/>
      <c r="E154" s="34"/>
      <c r="F154" s="34"/>
      <c r="G154" s="34"/>
      <c r="H154" s="34"/>
      <c r="I154" s="34"/>
      <c r="J154" s="50"/>
      <c r="K154" s="50"/>
      <c r="L154" s="52" t="str">
        <f aca="false">IF(A154="","",IF(AND(ISNUMBER(J154),ISNUMBER(K154),J154&gt;=1,J154&lt;=5,K154&gt;=1,K154&lt;=5),J154*K154,"Incomplete"))</f>
        <v/>
      </c>
      <c r="M154" s="52" t="str">
        <f aca="false">IF(A154="","",IF(ISNUMBER(L154),LOOKUP(L154,BandMin,BandName),"Incomplete"))</f>
        <v/>
      </c>
      <c r="N154" s="34"/>
      <c r="O154" s="34"/>
      <c r="P154" s="50"/>
      <c r="Q154" s="50"/>
      <c r="R154" s="61" t="str">
        <f aca="false">IF(A154="","",IF(AND(ISNUMBER(P154),ISNUMBER(Q154),P154&gt;=1,P154&lt;=5,Q154&gt;=1,Q154&lt;=5),P154*Q154,"Incomplete"))</f>
        <v/>
      </c>
      <c r="S154" s="52" t="str">
        <f aca="false">IF(A154="","",IF(ISNUMBER(R154),LOOKUP(R154,BandMin,BandName),"Incomplete"))</f>
        <v/>
      </c>
      <c r="T154" s="34"/>
      <c r="U154" s="50"/>
      <c r="V154" s="50"/>
      <c r="W154" s="50"/>
      <c r="X154" s="52" t="str">
        <f aca="false">IF(A154="","",IF(AND(V154="",W154=""),"Not set",IF(AND(ISNUMBER(V154),ISNUMBER(W154),V154&gt;=1,V154&lt;=5,W154&gt;=1,W154&lt;=5),V154*W154,"Incomplete")))</f>
        <v/>
      </c>
      <c r="Y154" s="52" t="str">
        <f aca="false">IF(A154="","",IF(X154="Not set","Not set",IF(ISNUMBER(X154),LOOKUP(X154,BandMin,BandName),"Incomplete")))</f>
        <v/>
      </c>
      <c r="Z154" s="34"/>
      <c r="AA154" s="54" t="str">
        <f aca="false">IF(A154="","",IF(AppetiteThreshold="","Not configured",IF(NOT(ISNUMBER(R154)),"Cannot assess - residual incomplete",IF(MATCH(S154,BandName,0)&gt;=MATCH(AppetiteThreshold,BandName,0),"Above appetite - escalation required","Within appetite"))))</f>
        <v/>
      </c>
      <c r="AB154" s="50"/>
      <c r="AC154" s="54" t="str">
        <f aca="false">IF(A154="","",IF(AB154="","No decision referenced",IFERROR(INDEX(DEC_FINAL,MATCH(AB154,DEC_ID,0))&amp;" - "&amp;INDEX(DEC_CURR,MATCH(AB154,DEC_ID,0)),"CHECK: Decision ID not found")))</f>
        <v/>
      </c>
      <c r="AD154" s="54" t="str">
        <f aca="false">IF(A154="","",IF(COUNTIF(TRT_RISK,A154)=0,"No treatment recorded",COUNTIF(TRT_RISK,A154)&amp;" action(s); "&amp;COUNTIFS(TRT_RISK,A154,TRT_OPEN,"Open")&amp;" open; "&amp;COUNTIFS(TRT_RISK,A154,TRT_OVERDUE,"Overdue")&amp;" overdue"))</f>
        <v/>
      </c>
      <c r="AE154" s="51"/>
      <c r="AF154" s="51"/>
      <c r="AG154" s="54" t="str">
        <f aca="false">IF(A154="","",IF(AI154="","Complete","Incomplete: "&amp;AI154))</f>
        <v/>
      </c>
      <c r="AH154" s="54" t="str">
        <f aca="false">IF(A154="","",IF(COUNTIF(RSK_ID,A154)&gt;1,"CHECK: duplicate ID",IF(B154="","CHECK: Supplier ID missing",IF(COUNTIF(INV_ID,B154)=0,"CHECK: Supplier ID not in inventory",IF(AND(ISNUMBER(R154),ISNUMBER(L154),R154&gt;L154),"CHECK: residual score exceeds inherent - confirm",IF(AND(ISNUMBER(AF154),AF154&lt;AsOf),"Review overdue (administrative)","OK"))))))</f>
        <v/>
      </c>
      <c r="AI154" s="52" t="str">
        <f aca="false">IF(A154="","",IF(I154="","risk owner; ","")&amp;IF(OR(J154="",K154=""),"inherent rating; ","")&amp;IF(N154="","inherent rationale; ","")&amp;IF(OR(P154="",Q154=""),"residual rating; ","")&amp;IF(AND(OR(P154&lt;&gt;"",Q154&lt;&gt;""),T154=""),"residual rationale; ","")&amp;IF(AND(OR(P154&lt;&gt;"",Q154&lt;&gt;""),U154=""),"assessment confidence; ","")&amp;IF(AE154="","assessment date; ",""))</f>
        <v/>
      </c>
      <c r="AJ154" s="52" t="str">
        <f aca="false">IF(OR(A154="",B154=""),"",IF(B154=RptSup,B154&amp;"|"&amp;COUNTIF($B$7:B154,B154),""))</f>
        <v/>
      </c>
    </row>
    <row r="155" customFormat="false" ht="15" hidden="false" customHeight="false" outlineLevel="0" collapsed="false">
      <c r="A155" s="50"/>
      <c r="B155" s="50"/>
      <c r="C155" s="59" t="str">
        <f aca="false">IF(B155="","",IFERROR(INDEX(INV_NAME,MATCH(B155,INV_ID,0)),"CHECK: Supplier ID not found"))</f>
        <v/>
      </c>
      <c r="D155" s="34"/>
      <c r="E155" s="34"/>
      <c r="F155" s="34"/>
      <c r="G155" s="34"/>
      <c r="H155" s="34"/>
      <c r="I155" s="34"/>
      <c r="J155" s="50"/>
      <c r="K155" s="50"/>
      <c r="L155" s="52" t="str">
        <f aca="false">IF(A155="","",IF(AND(ISNUMBER(J155),ISNUMBER(K155),J155&gt;=1,J155&lt;=5,K155&gt;=1,K155&lt;=5),J155*K155,"Incomplete"))</f>
        <v/>
      </c>
      <c r="M155" s="52" t="str">
        <f aca="false">IF(A155="","",IF(ISNUMBER(L155),LOOKUP(L155,BandMin,BandName),"Incomplete"))</f>
        <v/>
      </c>
      <c r="N155" s="34"/>
      <c r="O155" s="34"/>
      <c r="P155" s="50"/>
      <c r="Q155" s="50"/>
      <c r="R155" s="61" t="str">
        <f aca="false">IF(A155="","",IF(AND(ISNUMBER(P155),ISNUMBER(Q155),P155&gt;=1,P155&lt;=5,Q155&gt;=1,Q155&lt;=5),P155*Q155,"Incomplete"))</f>
        <v/>
      </c>
      <c r="S155" s="52" t="str">
        <f aca="false">IF(A155="","",IF(ISNUMBER(R155),LOOKUP(R155,BandMin,BandName),"Incomplete"))</f>
        <v/>
      </c>
      <c r="T155" s="34"/>
      <c r="U155" s="50"/>
      <c r="V155" s="50"/>
      <c r="W155" s="50"/>
      <c r="X155" s="52" t="str">
        <f aca="false">IF(A155="","",IF(AND(V155="",W155=""),"Not set",IF(AND(ISNUMBER(V155),ISNUMBER(W155),V155&gt;=1,V155&lt;=5,W155&gt;=1,W155&lt;=5),V155*W155,"Incomplete")))</f>
        <v/>
      </c>
      <c r="Y155" s="52" t="str">
        <f aca="false">IF(A155="","",IF(X155="Not set","Not set",IF(ISNUMBER(X155),LOOKUP(X155,BandMin,BandName),"Incomplete")))</f>
        <v/>
      </c>
      <c r="Z155" s="34"/>
      <c r="AA155" s="54" t="str">
        <f aca="false">IF(A155="","",IF(AppetiteThreshold="","Not configured",IF(NOT(ISNUMBER(R155)),"Cannot assess - residual incomplete",IF(MATCH(S155,BandName,0)&gt;=MATCH(AppetiteThreshold,BandName,0),"Above appetite - escalation required","Within appetite"))))</f>
        <v/>
      </c>
      <c r="AB155" s="50"/>
      <c r="AC155" s="54" t="str">
        <f aca="false">IF(A155="","",IF(AB155="","No decision referenced",IFERROR(INDEX(DEC_FINAL,MATCH(AB155,DEC_ID,0))&amp;" - "&amp;INDEX(DEC_CURR,MATCH(AB155,DEC_ID,0)),"CHECK: Decision ID not found")))</f>
        <v/>
      </c>
      <c r="AD155" s="54" t="str">
        <f aca="false">IF(A155="","",IF(COUNTIF(TRT_RISK,A155)=0,"No treatment recorded",COUNTIF(TRT_RISK,A155)&amp;" action(s); "&amp;COUNTIFS(TRT_RISK,A155,TRT_OPEN,"Open")&amp;" open; "&amp;COUNTIFS(TRT_RISK,A155,TRT_OVERDUE,"Overdue")&amp;" overdue"))</f>
        <v/>
      </c>
      <c r="AE155" s="51"/>
      <c r="AF155" s="51"/>
      <c r="AG155" s="54" t="str">
        <f aca="false">IF(A155="","",IF(AI155="","Complete","Incomplete: "&amp;AI155))</f>
        <v/>
      </c>
      <c r="AH155" s="54" t="str">
        <f aca="false">IF(A155="","",IF(COUNTIF(RSK_ID,A155)&gt;1,"CHECK: duplicate ID",IF(B155="","CHECK: Supplier ID missing",IF(COUNTIF(INV_ID,B155)=0,"CHECK: Supplier ID not in inventory",IF(AND(ISNUMBER(R155),ISNUMBER(L155),R155&gt;L155),"CHECK: residual score exceeds inherent - confirm",IF(AND(ISNUMBER(AF155),AF155&lt;AsOf),"Review overdue (administrative)","OK"))))))</f>
        <v/>
      </c>
      <c r="AI155" s="52" t="str">
        <f aca="false">IF(A155="","",IF(I155="","risk owner; ","")&amp;IF(OR(J155="",K155=""),"inherent rating; ","")&amp;IF(N155="","inherent rationale; ","")&amp;IF(OR(P155="",Q155=""),"residual rating; ","")&amp;IF(AND(OR(P155&lt;&gt;"",Q155&lt;&gt;""),T155=""),"residual rationale; ","")&amp;IF(AND(OR(P155&lt;&gt;"",Q155&lt;&gt;""),U155=""),"assessment confidence; ","")&amp;IF(AE155="","assessment date; ",""))</f>
        <v/>
      </c>
      <c r="AJ155" s="52" t="str">
        <f aca="false">IF(OR(A155="",B155=""),"",IF(B155=RptSup,B155&amp;"|"&amp;COUNTIF($B$7:B155,B155),""))</f>
        <v/>
      </c>
    </row>
    <row r="156" customFormat="false" ht="15" hidden="false" customHeight="false" outlineLevel="0" collapsed="false">
      <c r="A156" s="50"/>
      <c r="B156" s="50"/>
      <c r="C156" s="59" t="str">
        <f aca="false">IF(B156="","",IFERROR(INDEX(INV_NAME,MATCH(B156,INV_ID,0)),"CHECK: Supplier ID not found"))</f>
        <v/>
      </c>
      <c r="D156" s="34"/>
      <c r="E156" s="34"/>
      <c r="F156" s="34"/>
      <c r="G156" s="34"/>
      <c r="H156" s="34"/>
      <c r="I156" s="34"/>
      <c r="J156" s="50"/>
      <c r="K156" s="50"/>
      <c r="L156" s="52" t="str">
        <f aca="false">IF(A156="","",IF(AND(ISNUMBER(J156),ISNUMBER(K156),J156&gt;=1,J156&lt;=5,K156&gt;=1,K156&lt;=5),J156*K156,"Incomplete"))</f>
        <v/>
      </c>
      <c r="M156" s="52" t="str">
        <f aca="false">IF(A156="","",IF(ISNUMBER(L156),LOOKUP(L156,BandMin,BandName),"Incomplete"))</f>
        <v/>
      </c>
      <c r="N156" s="34"/>
      <c r="O156" s="34"/>
      <c r="P156" s="50"/>
      <c r="Q156" s="50"/>
      <c r="R156" s="61" t="str">
        <f aca="false">IF(A156="","",IF(AND(ISNUMBER(P156),ISNUMBER(Q156),P156&gt;=1,P156&lt;=5,Q156&gt;=1,Q156&lt;=5),P156*Q156,"Incomplete"))</f>
        <v/>
      </c>
      <c r="S156" s="52" t="str">
        <f aca="false">IF(A156="","",IF(ISNUMBER(R156),LOOKUP(R156,BandMin,BandName),"Incomplete"))</f>
        <v/>
      </c>
      <c r="T156" s="34"/>
      <c r="U156" s="50"/>
      <c r="V156" s="50"/>
      <c r="W156" s="50"/>
      <c r="X156" s="52" t="str">
        <f aca="false">IF(A156="","",IF(AND(V156="",W156=""),"Not set",IF(AND(ISNUMBER(V156),ISNUMBER(W156),V156&gt;=1,V156&lt;=5,W156&gt;=1,W156&lt;=5),V156*W156,"Incomplete")))</f>
        <v/>
      </c>
      <c r="Y156" s="52" t="str">
        <f aca="false">IF(A156="","",IF(X156="Not set","Not set",IF(ISNUMBER(X156),LOOKUP(X156,BandMin,BandName),"Incomplete")))</f>
        <v/>
      </c>
      <c r="Z156" s="34"/>
      <c r="AA156" s="54" t="str">
        <f aca="false">IF(A156="","",IF(AppetiteThreshold="","Not configured",IF(NOT(ISNUMBER(R156)),"Cannot assess - residual incomplete",IF(MATCH(S156,BandName,0)&gt;=MATCH(AppetiteThreshold,BandName,0),"Above appetite - escalation required","Within appetite"))))</f>
        <v/>
      </c>
      <c r="AB156" s="50"/>
      <c r="AC156" s="54" t="str">
        <f aca="false">IF(A156="","",IF(AB156="","No decision referenced",IFERROR(INDEX(DEC_FINAL,MATCH(AB156,DEC_ID,0))&amp;" - "&amp;INDEX(DEC_CURR,MATCH(AB156,DEC_ID,0)),"CHECK: Decision ID not found")))</f>
        <v/>
      </c>
      <c r="AD156" s="54" t="str">
        <f aca="false">IF(A156="","",IF(COUNTIF(TRT_RISK,A156)=0,"No treatment recorded",COUNTIF(TRT_RISK,A156)&amp;" action(s); "&amp;COUNTIFS(TRT_RISK,A156,TRT_OPEN,"Open")&amp;" open; "&amp;COUNTIFS(TRT_RISK,A156,TRT_OVERDUE,"Overdue")&amp;" overdue"))</f>
        <v/>
      </c>
      <c r="AE156" s="51"/>
      <c r="AF156" s="51"/>
      <c r="AG156" s="54" t="str">
        <f aca="false">IF(A156="","",IF(AI156="","Complete","Incomplete: "&amp;AI156))</f>
        <v/>
      </c>
      <c r="AH156" s="54" t="str">
        <f aca="false">IF(A156="","",IF(COUNTIF(RSK_ID,A156)&gt;1,"CHECK: duplicate ID",IF(B156="","CHECK: Supplier ID missing",IF(COUNTIF(INV_ID,B156)=0,"CHECK: Supplier ID not in inventory",IF(AND(ISNUMBER(R156),ISNUMBER(L156),R156&gt;L156),"CHECK: residual score exceeds inherent - confirm",IF(AND(ISNUMBER(AF156),AF156&lt;AsOf),"Review overdue (administrative)","OK"))))))</f>
        <v/>
      </c>
      <c r="AI156" s="52" t="str">
        <f aca="false">IF(A156="","",IF(I156="","risk owner; ","")&amp;IF(OR(J156="",K156=""),"inherent rating; ","")&amp;IF(N156="","inherent rationale; ","")&amp;IF(OR(P156="",Q156=""),"residual rating; ","")&amp;IF(AND(OR(P156&lt;&gt;"",Q156&lt;&gt;""),T156=""),"residual rationale; ","")&amp;IF(AND(OR(P156&lt;&gt;"",Q156&lt;&gt;""),U156=""),"assessment confidence; ","")&amp;IF(AE156="","assessment date; ",""))</f>
        <v/>
      </c>
      <c r="AJ156" s="52" t="str">
        <f aca="false">IF(OR(A156="",B156=""),"",IF(B156=RptSup,B156&amp;"|"&amp;COUNTIF($B$7:B156,B156),""))</f>
        <v/>
      </c>
    </row>
    <row r="157" customFormat="false" ht="15" hidden="false" customHeight="false" outlineLevel="0" collapsed="false">
      <c r="A157" s="50"/>
      <c r="B157" s="50"/>
      <c r="C157" s="59" t="str">
        <f aca="false">IF(B157="","",IFERROR(INDEX(INV_NAME,MATCH(B157,INV_ID,0)),"CHECK: Supplier ID not found"))</f>
        <v/>
      </c>
      <c r="D157" s="34"/>
      <c r="E157" s="34"/>
      <c r="F157" s="34"/>
      <c r="G157" s="34"/>
      <c r="H157" s="34"/>
      <c r="I157" s="34"/>
      <c r="J157" s="50"/>
      <c r="K157" s="50"/>
      <c r="L157" s="52" t="str">
        <f aca="false">IF(A157="","",IF(AND(ISNUMBER(J157),ISNUMBER(K157),J157&gt;=1,J157&lt;=5,K157&gt;=1,K157&lt;=5),J157*K157,"Incomplete"))</f>
        <v/>
      </c>
      <c r="M157" s="52" t="str">
        <f aca="false">IF(A157="","",IF(ISNUMBER(L157),LOOKUP(L157,BandMin,BandName),"Incomplete"))</f>
        <v/>
      </c>
      <c r="N157" s="34"/>
      <c r="O157" s="34"/>
      <c r="P157" s="50"/>
      <c r="Q157" s="50"/>
      <c r="R157" s="61" t="str">
        <f aca="false">IF(A157="","",IF(AND(ISNUMBER(P157),ISNUMBER(Q157),P157&gt;=1,P157&lt;=5,Q157&gt;=1,Q157&lt;=5),P157*Q157,"Incomplete"))</f>
        <v/>
      </c>
      <c r="S157" s="52" t="str">
        <f aca="false">IF(A157="","",IF(ISNUMBER(R157),LOOKUP(R157,BandMin,BandName),"Incomplete"))</f>
        <v/>
      </c>
      <c r="T157" s="34"/>
      <c r="U157" s="50"/>
      <c r="V157" s="50"/>
      <c r="W157" s="50"/>
      <c r="X157" s="52" t="str">
        <f aca="false">IF(A157="","",IF(AND(V157="",W157=""),"Not set",IF(AND(ISNUMBER(V157),ISNUMBER(W157),V157&gt;=1,V157&lt;=5,W157&gt;=1,W157&lt;=5),V157*W157,"Incomplete")))</f>
        <v/>
      </c>
      <c r="Y157" s="52" t="str">
        <f aca="false">IF(A157="","",IF(X157="Not set","Not set",IF(ISNUMBER(X157),LOOKUP(X157,BandMin,BandName),"Incomplete")))</f>
        <v/>
      </c>
      <c r="Z157" s="34"/>
      <c r="AA157" s="54" t="str">
        <f aca="false">IF(A157="","",IF(AppetiteThreshold="","Not configured",IF(NOT(ISNUMBER(R157)),"Cannot assess - residual incomplete",IF(MATCH(S157,BandName,0)&gt;=MATCH(AppetiteThreshold,BandName,0),"Above appetite - escalation required","Within appetite"))))</f>
        <v/>
      </c>
      <c r="AB157" s="50"/>
      <c r="AC157" s="54" t="str">
        <f aca="false">IF(A157="","",IF(AB157="","No decision referenced",IFERROR(INDEX(DEC_FINAL,MATCH(AB157,DEC_ID,0))&amp;" - "&amp;INDEX(DEC_CURR,MATCH(AB157,DEC_ID,0)),"CHECK: Decision ID not found")))</f>
        <v/>
      </c>
      <c r="AD157" s="54" t="str">
        <f aca="false">IF(A157="","",IF(COUNTIF(TRT_RISK,A157)=0,"No treatment recorded",COUNTIF(TRT_RISK,A157)&amp;" action(s); "&amp;COUNTIFS(TRT_RISK,A157,TRT_OPEN,"Open")&amp;" open; "&amp;COUNTIFS(TRT_RISK,A157,TRT_OVERDUE,"Overdue")&amp;" overdue"))</f>
        <v/>
      </c>
      <c r="AE157" s="51"/>
      <c r="AF157" s="51"/>
      <c r="AG157" s="54" t="str">
        <f aca="false">IF(A157="","",IF(AI157="","Complete","Incomplete: "&amp;AI157))</f>
        <v/>
      </c>
      <c r="AH157" s="54" t="str">
        <f aca="false">IF(A157="","",IF(COUNTIF(RSK_ID,A157)&gt;1,"CHECK: duplicate ID",IF(B157="","CHECK: Supplier ID missing",IF(COUNTIF(INV_ID,B157)=0,"CHECK: Supplier ID not in inventory",IF(AND(ISNUMBER(R157),ISNUMBER(L157),R157&gt;L157),"CHECK: residual score exceeds inherent - confirm",IF(AND(ISNUMBER(AF157),AF157&lt;AsOf),"Review overdue (administrative)","OK"))))))</f>
        <v/>
      </c>
      <c r="AI157" s="52" t="str">
        <f aca="false">IF(A157="","",IF(I157="","risk owner; ","")&amp;IF(OR(J157="",K157=""),"inherent rating; ","")&amp;IF(N157="","inherent rationale; ","")&amp;IF(OR(P157="",Q157=""),"residual rating; ","")&amp;IF(AND(OR(P157&lt;&gt;"",Q157&lt;&gt;""),T157=""),"residual rationale; ","")&amp;IF(AND(OR(P157&lt;&gt;"",Q157&lt;&gt;""),U157=""),"assessment confidence; ","")&amp;IF(AE157="","assessment date; ",""))</f>
        <v/>
      </c>
      <c r="AJ157" s="52" t="str">
        <f aca="false">IF(OR(A157="",B157=""),"",IF(B157=RptSup,B157&amp;"|"&amp;COUNTIF($B$7:B157,B157),""))</f>
        <v/>
      </c>
    </row>
    <row r="158" customFormat="false" ht="15" hidden="false" customHeight="false" outlineLevel="0" collapsed="false">
      <c r="A158" s="50"/>
      <c r="B158" s="50"/>
      <c r="C158" s="59" t="str">
        <f aca="false">IF(B158="","",IFERROR(INDEX(INV_NAME,MATCH(B158,INV_ID,0)),"CHECK: Supplier ID not found"))</f>
        <v/>
      </c>
      <c r="D158" s="34"/>
      <c r="E158" s="34"/>
      <c r="F158" s="34"/>
      <c r="G158" s="34"/>
      <c r="H158" s="34"/>
      <c r="I158" s="34"/>
      <c r="J158" s="50"/>
      <c r="K158" s="50"/>
      <c r="L158" s="52" t="str">
        <f aca="false">IF(A158="","",IF(AND(ISNUMBER(J158),ISNUMBER(K158),J158&gt;=1,J158&lt;=5,K158&gt;=1,K158&lt;=5),J158*K158,"Incomplete"))</f>
        <v/>
      </c>
      <c r="M158" s="52" t="str">
        <f aca="false">IF(A158="","",IF(ISNUMBER(L158),LOOKUP(L158,BandMin,BandName),"Incomplete"))</f>
        <v/>
      </c>
      <c r="N158" s="34"/>
      <c r="O158" s="34"/>
      <c r="P158" s="50"/>
      <c r="Q158" s="50"/>
      <c r="R158" s="61" t="str">
        <f aca="false">IF(A158="","",IF(AND(ISNUMBER(P158),ISNUMBER(Q158),P158&gt;=1,P158&lt;=5,Q158&gt;=1,Q158&lt;=5),P158*Q158,"Incomplete"))</f>
        <v/>
      </c>
      <c r="S158" s="52" t="str">
        <f aca="false">IF(A158="","",IF(ISNUMBER(R158),LOOKUP(R158,BandMin,BandName),"Incomplete"))</f>
        <v/>
      </c>
      <c r="T158" s="34"/>
      <c r="U158" s="50"/>
      <c r="V158" s="50"/>
      <c r="W158" s="50"/>
      <c r="X158" s="52" t="str">
        <f aca="false">IF(A158="","",IF(AND(V158="",W158=""),"Not set",IF(AND(ISNUMBER(V158),ISNUMBER(W158),V158&gt;=1,V158&lt;=5,W158&gt;=1,W158&lt;=5),V158*W158,"Incomplete")))</f>
        <v/>
      </c>
      <c r="Y158" s="52" t="str">
        <f aca="false">IF(A158="","",IF(X158="Not set","Not set",IF(ISNUMBER(X158),LOOKUP(X158,BandMin,BandName),"Incomplete")))</f>
        <v/>
      </c>
      <c r="Z158" s="34"/>
      <c r="AA158" s="54" t="str">
        <f aca="false">IF(A158="","",IF(AppetiteThreshold="","Not configured",IF(NOT(ISNUMBER(R158)),"Cannot assess - residual incomplete",IF(MATCH(S158,BandName,0)&gt;=MATCH(AppetiteThreshold,BandName,0),"Above appetite - escalation required","Within appetite"))))</f>
        <v/>
      </c>
      <c r="AB158" s="50"/>
      <c r="AC158" s="54" t="str">
        <f aca="false">IF(A158="","",IF(AB158="","No decision referenced",IFERROR(INDEX(DEC_FINAL,MATCH(AB158,DEC_ID,0))&amp;" - "&amp;INDEX(DEC_CURR,MATCH(AB158,DEC_ID,0)),"CHECK: Decision ID not found")))</f>
        <v/>
      </c>
      <c r="AD158" s="54" t="str">
        <f aca="false">IF(A158="","",IF(COUNTIF(TRT_RISK,A158)=0,"No treatment recorded",COUNTIF(TRT_RISK,A158)&amp;" action(s); "&amp;COUNTIFS(TRT_RISK,A158,TRT_OPEN,"Open")&amp;" open; "&amp;COUNTIFS(TRT_RISK,A158,TRT_OVERDUE,"Overdue")&amp;" overdue"))</f>
        <v/>
      </c>
      <c r="AE158" s="51"/>
      <c r="AF158" s="51"/>
      <c r="AG158" s="54" t="str">
        <f aca="false">IF(A158="","",IF(AI158="","Complete","Incomplete: "&amp;AI158))</f>
        <v/>
      </c>
      <c r="AH158" s="54" t="str">
        <f aca="false">IF(A158="","",IF(COUNTIF(RSK_ID,A158)&gt;1,"CHECK: duplicate ID",IF(B158="","CHECK: Supplier ID missing",IF(COUNTIF(INV_ID,B158)=0,"CHECK: Supplier ID not in inventory",IF(AND(ISNUMBER(R158),ISNUMBER(L158),R158&gt;L158),"CHECK: residual score exceeds inherent - confirm",IF(AND(ISNUMBER(AF158),AF158&lt;AsOf),"Review overdue (administrative)","OK"))))))</f>
        <v/>
      </c>
      <c r="AI158" s="52" t="str">
        <f aca="false">IF(A158="","",IF(I158="","risk owner; ","")&amp;IF(OR(J158="",K158=""),"inherent rating; ","")&amp;IF(N158="","inherent rationale; ","")&amp;IF(OR(P158="",Q158=""),"residual rating; ","")&amp;IF(AND(OR(P158&lt;&gt;"",Q158&lt;&gt;""),T158=""),"residual rationale; ","")&amp;IF(AND(OR(P158&lt;&gt;"",Q158&lt;&gt;""),U158=""),"assessment confidence; ","")&amp;IF(AE158="","assessment date; ",""))</f>
        <v/>
      </c>
      <c r="AJ158" s="52" t="str">
        <f aca="false">IF(OR(A158="",B158=""),"",IF(B158=RptSup,B158&amp;"|"&amp;COUNTIF($B$7:B158,B158),""))</f>
        <v/>
      </c>
    </row>
    <row r="159" customFormat="false" ht="15" hidden="false" customHeight="false" outlineLevel="0" collapsed="false">
      <c r="A159" s="50"/>
      <c r="B159" s="50"/>
      <c r="C159" s="59" t="str">
        <f aca="false">IF(B159="","",IFERROR(INDEX(INV_NAME,MATCH(B159,INV_ID,0)),"CHECK: Supplier ID not found"))</f>
        <v/>
      </c>
      <c r="D159" s="34"/>
      <c r="E159" s="34"/>
      <c r="F159" s="34"/>
      <c r="G159" s="34"/>
      <c r="H159" s="34"/>
      <c r="I159" s="34"/>
      <c r="J159" s="50"/>
      <c r="K159" s="50"/>
      <c r="L159" s="52" t="str">
        <f aca="false">IF(A159="","",IF(AND(ISNUMBER(J159),ISNUMBER(K159),J159&gt;=1,J159&lt;=5,K159&gt;=1,K159&lt;=5),J159*K159,"Incomplete"))</f>
        <v/>
      </c>
      <c r="M159" s="52" t="str">
        <f aca="false">IF(A159="","",IF(ISNUMBER(L159),LOOKUP(L159,BandMin,BandName),"Incomplete"))</f>
        <v/>
      </c>
      <c r="N159" s="34"/>
      <c r="O159" s="34"/>
      <c r="P159" s="50"/>
      <c r="Q159" s="50"/>
      <c r="R159" s="61" t="str">
        <f aca="false">IF(A159="","",IF(AND(ISNUMBER(P159),ISNUMBER(Q159),P159&gt;=1,P159&lt;=5,Q159&gt;=1,Q159&lt;=5),P159*Q159,"Incomplete"))</f>
        <v/>
      </c>
      <c r="S159" s="52" t="str">
        <f aca="false">IF(A159="","",IF(ISNUMBER(R159),LOOKUP(R159,BandMin,BandName),"Incomplete"))</f>
        <v/>
      </c>
      <c r="T159" s="34"/>
      <c r="U159" s="50"/>
      <c r="V159" s="50"/>
      <c r="W159" s="50"/>
      <c r="X159" s="52" t="str">
        <f aca="false">IF(A159="","",IF(AND(V159="",W159=""),"Not set",IF(AND(ISNUMBER(V159),ISNUMBER(W159),V159&gt;=1,V159&lt;=5,W159&gt;=1,W159&lt;=5),V159*W159,"Incomplete")))</f>
        <v/>
      </c>
      <c r="Y159" s="52" t="str">
        <f aca="false">IF(A159="","",IF(X159="Not set","Not set",IF(ISNUMBER(X159),LOOKUP(X159,BandMin,BandName),"Incomplete")))</f>
        <v/>
      </c>
      <c r="Z159" s="34"/>
      <c r="AA159" s="54" t="str">
        <f aca="false">IF(A159="","",IF(AppetiteThreshold="","Not configured",IF(NOT(ISNUMBER(R159)),"Cannot assess - residual incomplete",IF(MATCH(S159,BandName,0)&gt;=MATCH(AppetiteThreshold,BandName,0),"Above appetite - escalation required","Within appetite"))))</f>
        <v/>
      </c>
      <c r="AB159" s="50"/>
      <c r="AC159" s="54" t="str">
        <f aca="false">IF(A159="","",IF(AB159="","No decision referenced",IFERROR(INDEX(DEC_FINAL,MATCH(AB159,DEC_ID,0))&amp;" - "&amp;INDEX(DEC_CURR,MATCH(AB159,DEC_ID,0)),"CHECK: Decision ID not found")))</f>
        <v/>
      </c>
      <c r="AD159" s="54" t="str">
        <f aca="false">IF(A159="","",IF(COUNTIF(TRT_RISK,A159)=0,"No treatment recorded",COUNTIF(TRT_RISK,A159)&amp;" action(s); "&amp;COUNTIFS(TRT_RISK,A159,TRT_OPEN,"Open")&amp;" open; "&amp;COUNTIFS(TRT_RISK,A159,TRT_OVERDUE,"Overdue")&amp;" overdue"))</f>
        <v/>
      </c>
      <c r="AE159" s="51"/>
      <c r="AF159" s="51"/>
      <c r="AG159" s="54" t="str">
        <f aca="false">IF(A159="","",IF(AI159="","Complete","Incomplete: "&amp;AI159))</f>
        <v/>
      </c>
      <c r="AH159" s="54" t="str">
        <f aca="false">IF(A159="","",IF(COUNTIF(RSK_ID,A159)&gt;1,"CHECK: duplicate ID",IF(B159="","CHECK: Supplier ID missing",IF(COUNTIF(INV_ID,B159)=0,"CHECK: Supplier ID not in inventory",IF(AND(ISNUMBER(R159),ISNUMBER(L159),R159&gt;L159),"CHECK: residual score exceeds inherent - confirm",IF(AND(ISNUMBER(AF159),AF159&lt;AsOf),"Review overdue (administrative)","OK"))))))</f>
        <v/>
      </c>
      <c r="AI159" s="52" t="str">
        <f aca="false">IF(A159="","",IF(I159="","risk owner; ","")&amp;IF(OR(J159="",K159=""),"inherent rating; ","")&amp;IF(N159="","inherent rationale; ","")&amp;IF(OR(P159="",Q159=""),"residual rating; ","")&amp;IF(AND(OR(P159&lt;&gt;"",Q159&lt;&gt;""),T159=""),"residual rationale; ","")&amp;IF(AND(OR(P159&lt;&gt;"",Q159&lt;&gt;""),U159=""),"assessment confidence; ","")&amp;IF(AE159="","assessment date; ",""))</f>
        <v/>
      </c>
      <c r="AJ159" s="52" t="str">
        <f aca="false">IF(OR(A159="",B159=""),"",IF(B159=RptSup,B159&amp;"|"&amp;COUNTIF($B$7:B159,B159),""))</f>
        <v/>
      </c>
    </row>
    <row r="160" customFormat="false" ht="15" hidden="false" customHeight="false" outlineLevel="0" collapsed="false">
      <c r="A160" s="50"/>
      <c r="B160" s="50"/>
      <c r="C160" s="59" t="str">
        <f aca="false">IF(B160="","",IFERROR(INDEX(INV_NAME,MATCH(B160,INV_ID,0)),"CHECK: Supplier ID not found"))</f>
        <v/>
      </c>
      <c r="D160" s="34"/>
      <c r="E160" s="34"/>
      <c r="F160" s="34"/>
      <c r="G160" s="34"/>
      <c r="H160" s="34"/>
      <c r="I160" s="34"/>
      <c r="J160" s="50"/>
      <c r="K160" s="50"/>
      <c r="L160" s="52" t="str">
        <f aca="false">IF(A160="","",IF(AND(ISNUMBER(J160),ISNUMBER(K160),J160&gt;=1,J160&lt;=5,K160&gt;=1,K160&lt;=5),J160*K160,"Incomplete"))</f>
        <v/>
      </c>
      <c r="M160" s="52" t="str">
        <f aca="false">IF(A160="","",IF(ISNUMBER(L160),LOOKUP(L160,BandMin,BandName),"Incomplete"))</f>
        <v/>
      </c>
      <c r="N160" s="34"/>
      <c r="O160" s="34"/>
      <c r="P160" s="50"/>
      <c r="Q160" s="50"/>
      <c r="R160" s="61" t="str">
        <f aca="false">IF(A160="","",IF(AND(ISNUMBER(P160),ISNUMBER(Q160),P160&gt;=1,P160&lt;=5,Q160&gt;=1,Q160&lt;=5),P160*Q160,"Incomplete"))</f>
        <v/>
      </c>
      <c r="S160" s="52" t="str">
        <f aca="false">IF(A160="","",IF(ISNUMBER(R160),LOOKUP(R160,BandMin,BandName),"Incomplete"))</f>
        <v/>
      </c>
      <c r="T160" s="34"/>
      <c r="U160" s="50"/>
      <c r="V160" s="50"/>
      <c r="W160" s="50"/>
      <c r="X160" s="52" t="str">
        <f aca="false">IF(A160="","",IF(AND(V160="",W160=""),"Not set",IF(AND(ISNUMBER(V160),ISNUMBER(W160),V160&gt;=1,V160&lt;=5,W160&gt;=1,W160&lt;=5),V160*W160,"Incomplete")))</f>
        <v/>
      </c>
      <c r="Y160" s="52" t="str">
        <f aca="false">IF(A160="","",IF(X160="Not set","Not set",IF(ISNUMBER(X160),LOOKUP(X160,BandMin,BandName),"Incomplete")))</f>
        <v/>
      </c>
      <c r="Z160" s="34"/>
      <c r="AA160" s="54" t="str">
        <f aca="false">IF(A160="","",IF(AppetiteThreshold="","Not configured",IF(NOT(ISNUMBER(R160)),"Cannot assess - residual incomplete",IF(MATCH(S160,BandName,0)&gt;=MATCH(AppetiteThreshold,BandName,0),"Above appetite - escalation required","Within appetite"))))</f>
        <v/>
      </c>
      <c r="AB160" s="50"/>
      <c r="AC160" s="54" t="str">
        <f aca="false">IF(A160="","",IF(AB160="","No decision referenced",IFERROR(INDEX(DEC_FINAL,MATCH(AB160,DEC_ID,0))&amp;" - "&amp;INDEX(DEC_CURR,MATCH(AB160,DEC_ID,0)),"CHECK: Decision ID not found")))</f>
        <v/>
      </c>
      <c r="AD160" s="54" t="str">
        <f aca="false">IF(A160="","",IF(COUNTIF(TRT_RISK,A160)=0,"No treatment recorded",COUNTIF(TRT_RISK,A160)&amp;" action(s); "&amp;COUNTIFS(TRT_RISK,A160,TRT_OPEN,"Open")&amp;" open; "&amp;COUNTIFS(TRT_RISK,A160,TRT_OVERDUE,"Overdue")&amp;" overdue"))</f>
        <v/>
      </c>
      <c r="AE160" s="51"/>
      <c r="AF160" s="51"/>
      <c r="AG160" s="54" t="str">
        <f aca="false">IF(A160="","",IF(AI160="","Complete","Incomplete: "&amp;AI160))</f>
        <v/>
      </c>
      <c r="AH160" s="54" t="str">
        <f aca="false">IF(A160="","",IF(COUNTIF(RSK_ID,A160)&gt;1,"CHECK: duplicate ID",IF(B160="","CHECK: Supplier ID missing",IF(COUNTIF(INV_ID,B160)=0,"CHECK: Supplier ID not in inventory",IF(AND(ISNUMBER(R160),ISNUMBER(L160),R160&gt;L160),"CHECK: residual score exceeds inherent - confirm",IF(AND(ISNUMBER(AF160),AF160&lt;AsOf),"Review overdue (administrative)","OK"))))))</f>
        <v/>
      </c>
      <c r="AI160" s="52" t="str">
        <f aca="false">IF(A160="","",IF(I160="","risk owner; ","")&amp;IF(OR(J160="",K160=""),"inherent rating; ","")&amp;IF(N160="","inherent rationale; ","")&amp;IF(OR(P160="",Q160=""),"residual rating; ","")&amp;IF(AND(OR(P160&lt;&gt;"",Q160&lt;&gt;""),T160=""),"residual rationale; ","")&amp;IF(AND(OR(P160&lt;&gt;"",Q160&lt;&gt;""),U160=""),"assessment confidence; ","")&amp;IF(AE160="","assessment date; ",""))</f>
        <v/>
      </c>
      <c r="AJ160" s="52" t="str">
        <f aca="false">IF(OR(A160="",B160=""),"",IF(B160=RptSup,B160&amp;"|"&amp;COUNTIF($B$7:B160,B160),""))</f>
        <v/>
      </c>
    </row>
    <row r="161" customFormat="false" ht="15" hidden="false" customHeight="false" outlineLevel="0" collapsed="false">
      <c r="A161" s="50"/>
      <c r="B161" s="50"/>
      <c r="C161" s="59" t="str">
        <f aca="false">IF(B161="","",IFERROR(INDEX(INV_NAME,MATCH(B161,INV_ID,0)),"CHECK: Supplier ID not found"))</f>
        <v/>
      </c>
      <c r="D161" s="34"/>
      <c r="E161" s="34"/>
      <c r="F161" s="34"/>
      <c r="G161" s="34"/>
      <c r="H161" s="34"/>
      <c r="I161" s="34"/>
      <c r="J161" s="50"/>
      <c r="K161" s="50"/>
      <c r="L161" s="52" t="str">
        <f aca="false">IF(A161="","",IF(AND(ISNUMBER(J161),ISNUMBER(K161),J161&gt;=1,J161&lt;=5,K161&gt;=1,K161&lt;=5),J161*K161,"Incomplete"))</f>
        <v/>
      </c>
      <c r="M161" s="52" t="str">
        <f aca="false">IF(A161="","",IF(ISNUMBER(L161),LOOKUP(L161,BandMin,BandName),"Incomplete"))</f>
        <v/>
      </c>
      <c r="N161" s="34"/>
      <c r="O161" s="34"/>
      <c r="P161" s="50"/>
      <c r="Q161" s="50"/>
      <c r="R161" s="61" t="str">
        <f aca="false">IF(A161="","",IF(AND(ISNUMBER(P161),ISNUMBER(Q161),P161&gt;=1,P161&lt;=5,Q161&gt;=1,Q161&lt;=5),P161*Q161,"Incomplete"))</f>
        <v/>
      </c>
      <c r="S161" s="52" t="str">
        <f aca="false">IF(A161="","",IF(ISNUMBER(R161),LOOKUP(R161,BandMin,BandName),"Incomplete"))</f>
        <v/>
      </c>
      <c r="T161" s="34"/>
      <c r="U161" s="50"/>
      <c r="V161" s="50"/>
      <c r="W161" s="50"/>
      <c r="X161" s="52" t="str">
        <f aca="false">IF(A161="","",IF(AND(V161="",W161=""),"Not set",IF(AND(ISNUMBER(V161),ISNUMBER(W161),V161&gt;=1,V161&lt;=5,W161&gt;=1,W161&lt;=5),V161*W161,"Incomplete")))</f>
        <v/>
      </c>
      <c r="Y161" s="52" t="str">
        <f aca="false">IF(A161="","",IF(X161="Not set","Not set",IF(ISNUMBER(X161),LOOKUP(X161,BandMin,BandName),"Incomplete")))</f>
        <v/>
      </c>
      <c r="Z161" s="34"/>
      <c r="AA161" s="54" t="str">
        <f aca="false">IF(A161="","",IF(AppetiteThreshold="","Not configured",IF(NOT(ISNUMBER(R161)),"Cannot assess - residual incomplete",IF(MATCH(S161,BandName,0)&gt;=MATCH(AppetiteThreshold,BandName,0),"Above appetite - escalation required","Within appetite"))))</f>
        <v/>
      </c>
      <c r="AB161" s="50"/>
      <c r="AC161" s="54" t="str">
        <f aca="false">IF(A161="","",IF(AB161="","No decision referenced",IFERROR(INDEX(DEC_FINAL,MATCH(AB161,DEC_ID,0))&amp;" - "&amp;INDEX(DEC_CURR,MATCH(AB161,DEC_ID,0)),"CHECK: Decision ID not found")))</f>
        <v/>
      </c>
      <c r="AD161" s="54" t="str">
        <f aca="false">IF(A161="","",IF(COUNTIF(TRT_RISK,A161)=0,"No treatment recorded",COUNTIF(TRT_RISK,A161)&amp;" action(s); "&amp;COUNTIFS(TRT_RISK,A161,TRT_OPEN,"Open")&amp;" open; "&amp;COUNTIFS(TRT_RISK,A161,TRT_OVERDUE,"Overdue")&amp;" overdue"))</f>
        <v/>
      </c>
      <c r="AE161" s="51"/>
      <c r="AF161" s="51"/>
      <c r="AG161" s="54" t="str">
        <f aca="false">IF(A161="","",IF(AI161="","Complete","Incomplete: "&amp;AI161))</f>
        <v/>
      </c>
      <c r="AH161" s="54" t="str">
        <f aca="false">IF(A161="","",IF(COUNTIF(RSK_ID,A161)&gt;1,"CHECK: duplicate ID",IF(B161="","CHECK: Supplier ID missing",IF(COUNTIF(INV_ID,B161)=0,"CHECK: Supplier ID not in inventory",IF(AND(ISNUMBER(R161),ISNUMBER(L161),R161&gt;L161),"CHECK: residual score exceeds inherent - confirm",IF(AND(ISNUMBER(AF161),AF161&lt;AsOf),"Review overdue (administrative)","OK"))))))</f>
        <v/>
      </c>
      <c r="AI161" s="52" t="str">
        <f aca="false">IF(A161="","",IF(I161="","risk owner; ","")&amp;IF(OR(J161="",K161=""),"inherent rating; ","")&amp;IF(N161="","inherent rationale; ","")&amp;IF(OR(P161="",Q161=""),"residual rating; ","")&amp;IF(AND(OR(P161&lt;&gt;"",Q161&lt;&gt;""),T161=""),"residual rationale; ","")&amp;IF(AND(OR(P161&lt;&gt;"",Q161&lt;&gt;""),U161=""),"assessment confidence; ","")&amp;IF(AE161="","assessment date; ",""))</f>
        <v/>
      </c>
      <c r="AJ161" s="52" t="str">
        <f aca="false">IF(OR(A161="",B161=""),"",IF(B161=RptSup,B161&amp;"|"&amp;COUNTIF($B$7:B161,B161),""))</f>
        <v/>
      </c>
    </row>
    <row r="162" customFormat="false" ht="15" hidden="false" customHeight="false" outlineLevel="0" collapsed="false">
      <c r="A162" s="50"/>
      <c r="B162" s="50"/>
      <c r="C162" s="59" t="str">
        <f aca="false">IF(B162="","",IFERROR(INDEX(INV_NAME,MATCH(B162,INV_ID,0)),"CHECK: Supplier ID not found"))</f>
        <v/>
      </c>
      <c r="D162" s="34"/>
      <c r="E162" s="34"/>
      <c r="F162" s="34"/>
      <c r="G162" s="34"/>
      <c r="H162" s="34"/>
      <c r="I162" s="34"/>
      <c r="J162" s="50"/>
      <c r="K162" s="50"/>
      <c r="L162" s="52" t="str">
        <f aca="false">IF(A162="","",IF(AND(ISNUMBER(J162),ISNUMBER(K162),J162&gt;=1,J162&lt;=5,K162&gt;=1,K162&lt;=5),J162*K162,"Incomplete"))</f>
        <v/>
      </c>
      <c r="M162" s="52" t="str">
        <f aca="false">IF(A162="","",IF(ISNUMBER(L162),LOOKUP(L162,BandMin,BandName),"Incomplete"))</f>
        <v/>
      </c>
      <c r="N162" s="34"/>
      <c r="O162" s="34"/>
      <c r="P162" s="50"/>
      <c r="Q162" s="50"/>
      <c r="R162" s="61" t="str">
        <f aca="false">IF(A162="","",IF(AND(ISNUMBER(P162),ISNUMBER(Q162),P162&gt;=1,P162&lt;=5,Q162&gt;=1,Q162&lt;=5),P162*Q162,"Incomplete"))</f>
        <v/>
      </c>
      <c r="S162" s="52" t="str">
        <f aca="false">IF(A162="","",IF(ISNUMBER(R162),LOOKUP(R162,BandMin,BandName),"Incomplete"))</f>
        <v/>
      </c>
      <c r="T162" s="34"/>
      <c r="U162" s="50"/>
      <c r="V162" s="50"/>
      <c r="W162" s="50"/>
      <c r="X162" s="52" t="str">
        <f aca="false">IF(A162="","",IF(AND(V162="",W162=""),"Not set",IF(AND(ISNUMBER(V162),ISNUMBER(W162),V162&gt;=1,V162&lt;=5,W162&gt;=1,W162&lt;=5),V162*W162,"Incomplete")))</f>
        <v/>
      </c>
      <c r="Y162" s="52" t="str">
        <f aca="false">IF(A162="","",IF(X162="Not set","Not set",IF(ISNUMBER(X162),LOOKUP(X162,BandMin,BandName),"Incomplete")))</f>
        <v/>
      </c>
      <c r="Z162" s="34"/>
      <c r="AA162" s="54" t="str">
        <f aca="false">IF(A162="","",IF(AppetiteThreshold="","Not configured",IF(NOT(ISNUMBER(R162)),"Cannot assess - residual incomplete",IF(MATCH(S162,BandName,0)&gt;=MATCH(AppetiteThreshold,BandName,0),"Above appetite - escalation required","Within appetite"))))</f>
        <v/>
      </c>
      <c r="AB162" s="50"/>
      <c r="AC162" s="54" t="str">
        <f aca="false">IF(A162="","",IF(AB162="","No decision referenced",IFERROR(INDEX(DEC_FINAL,MATCH(AB162,DEC_ID,0))&amp;" - "&amp;INDEX(DEC_CURR,MATCH(AB162,DEC_ID,0)),"CHECK: Decision ID not found")))</f>
        <v/>
      </c>
      <c r="AD162" s="54" t="str">
        <f aca="false">IF(A162="","",IF(COUNTIF(TRT_RISK,A162)=0,"No treatment recorded",COUNTIF(TRT_RISK,A162)&amp;" action(s); "&amp;COUNTIFS(TRT_RISK,A162,TRT_OPEN,"Open")&amp;" open; "&amp;COUNTIFS(TRT_RISK,A162,TRT_OVERDUE,"Overdue")&amp;" overdue"))</f>
        <v/>
      </c>
      <c r="AE162" s="51"/>
      <c r="AF162" s="51"/>
      <c r="AG162" s="54" t="str">
        <f aca="false">IF(A162="","",IF(AI162="","Complete","Incomplete: "&amp;AI162))</f>
        <v/>
      </c>
      <c r="AH162" s="54" t="str">
        <f aca="false">IF(A162="","",IF(COUNTIF(RSK_ID,A162)&gt;1,"CHECK: duplicate ID",IF(B162="","CHECK: Supplier ID missing",IF(COUNTIF(INV_ID,B162)=0,"CHECK: Supplier ID not in inventory",IF(AND(ISNUMBER(R162),ISNUMBER(L162),R162&gt;L162),"CHECK: residual score exceeds inherent - confirm",IF(AND(ISNUMBER(AF162),AF162&lt;AsOf),"Review overdue (administrative)","OK"))))))</f>
        <v/>
      </c>
      <c r="AI162" s="52" t="str">
        <f aca="false">IF(A162="","",IF(I162="","risk owner; ","")&amp;IF(OR(J162="",K162=""),"inherent rating; ","")&amp;IF(N162="","inherent rationale; ","")&amp;IF(OR(P162="",Q162=""),"residual rating; ","")&amp;IF(AND(OR(P162&lt;&gt;"",Q162&lt;&gt;""),T162=""),"residual rationale; ","")&amp;IF(AND(OR(P162&lt;&gt;"",Q162&lt;&gt;""),U162=""),"assessment confidence; ","")&amp;IF(AE162="","assessment date; ",""))</f>
        <v/>
      </c>
      <c r="AJ162" s="52" t="str">
        <f aca="false">IF(OR(A162="",B162=""),"",IF(B162=RptSup,B162&amp;"|"&amp;COUNTIF($B$7:B162,B162),""))</f>
        <v/>
      </c>
    </row>
    <row r="163" customFormat="false" ht="15" hidden="false" customHeight="false" outlineLevel="0" collapsed="false">
      <c r="A163" s="50"/>
      <c r="B163" s="50"/>
      <c r="C163" s="59" t="str">
        <f aca="false">IF(B163="","",IFERROR(INDEX(INV_NAME,MATCH(B163,INV_ID,0)),"CHECK: Supplier ID not found"))</f>
        <v/>
      </c>
      <c r="D163" s="34"/>
      <c r="E163" s="34"/>
      <c r="F163" s="34"/>
      <c r="G163" s="34"/>
      <c r="H163" s="34"/>
      <c r="I163" s="34"/>
      <c r="J163" s="50"/>
      <c r="K163" s="50"/>
      <c r="L163" s="52" t="str">
        <f aca="false">IF(A163="","",IF(AND(ISNUMBER(J163),ISNUMBER(K163),J163&gt;=1,J163&lt;=5,K163&gt;=1,K163&lt;=5),J163*K163,"Incomplete"))</f>
        <v/>
      </c>
      <c r="M163" s="52" t="str">
        <f aca="false">IF(A163="","",IF(ISNUMBER(L163),LOOKUP(L163,BandMin,BandName),"Incomplete"))</f>
        <v/>
      </c>
      <c r="N163" s="34"/>
      <c r="O163" s="34"/>
      <c r="P163" s="50"/>
      <c r="Q163" s="50"/>
      <c r="R163" s="61" t="str">
        <f aca="false">IF(A163="","",IF(AND(ISNUMBER(P163),ISNUMBER(Q163),P163&gt;=1,P163&lt;=5,Q163&gt;=1,Q163&lt;=5),P163*Q163,"Incomplete"))</f>
        <v/>
      </c>
      <c r="S163" s="52" t="str">
        <f aca="false">IF(A163="","",IF(ISNUMBER(R163),LOOKUP(R163,BandMin,BandName),"Incomplete"))</f>
        <v/>
      </c>
      <c r="T163" s="34"/>
      <c r="U163" s="50"/>
      <c r="V163" s="50"/>
      <c r="W163" s="50"/>
      <c r="X163" s="52" t="str">
        <f aca="false">IF(A163="","",IF(AND(V163="",W163=""),"Not set",IF(AND(ISNUMBER(V163),ISNUMBER(W163),V163&gt;=1,V163&lt;=5,W163&gt;=1,W163&lt;=5),V163*W163,"Incomplete")))</f>
        <v/>
      </c>
      <c r="Y163" s="52" t="str">
        <f aca="false">IF(A163="","",IF(X163="Not set","Not set",IF(ISNUMBER(X163),LOOKUP(X163,BandMin,BandName),"Incomplete")))</f>
        <v/>
      </c>
      <c r="Z163" s="34"/>
      <c r="AA163" s="54" t="str">
        <f aca="false">IF(A163="","",IF(AppetiteThreshold="","Not configured",IF(NOT(ISNUMBER(R163)),"Cannot assess - residual incomplete",IF(MATCH(S163,BandName,0)&gt;=MATCH(AppetiteThreshold,BandName,0),"Above appetite - escalation required","Within appetite"))))</f>
        <v/>
      </c>
      <c r="AB163" s="50"/>
      <c r="AC163" s="54" t="str">
        <f aca="false">IF(A163="","",IF(AB163="","No decision referenced",IFERROR(INDEX(DEC_FINAL,MATCH(AB163,DEC_ID,0))&amp;" - "&amp;INDEX(DEC_CURR,MATCH(AB163,DEC_ID,0)),"CHECK: Decision ID not found")))</f>
        <v/>
      </c>
      <c r="AD163" s="54" t="str">
        <f aca="false">IF(A163="","",IF(COUNTIF(TRT_RISK,A163)=0,"No treatment recorded",COUNTIF(TRT_RISK,A163)&amp;" action(s); "&amp;COUNTIFS(TRT_RISK,A163,TRT_OPEN,"Open")&amp;" open; "&amp;COUNTIFS(TRT_RISK,A163,TRT_OVERDUE,"Overdue")&amp;" overdue"))</f>
        <v/>
      </c>
      <c r="AE163" s="51"/>
      <c r="AF163" s="51"/>
      <c r="AG163" s="54" t="str">
        <f aca="false">IF(A163="","",IF(AI163="","Complete","Incomplete: "&amp;AI163))</f>
        <v/>
      </c>
      <c r="AH163" s="54" t="str">
        <f aca="false">IF(A163="","",IF(COUNTIF(RSK_ID,A163)&gt;1,"CHECK: duplicate ID",IF(B163="","CHECK: Supplier ID missing",IF(COUNTIF(INV_ID,B163)=0,"CHECK: Supplier ID not in inventory",IF(AND(ISNUMBER(R163),ISNUMBER(L163),R163&gt;L163),"CHECK: residual score exceeds inherent - confirm",IF(AND(ISNUMBER(AF163),AF163&lt;AsOf),"Review overdue (administrative)","OK"))))))</f>
        <v/>
      </c>
      <c r="AI163" s="52" t="str">
        <f aca="false">IF(A163="","",IF(I163="","risk owner; ","")&amp;IF(OR(J163="",K163=""),"inherent rating; ","")&amp;IF(N163="","inherent rationale; ","")&amp;IF(OR(P163="",Q163=""),"residual rating; ","")&amp;IF(AND(OR(P163&lt;&gt;"",Q163&lt;&gt;""),T163=""),"residual rationale; ","")&amp;IF(AND(OR(P163&lt;&gt;"",Q163&lt;&gt;""),U163=""),"assessment confidence; ","")&amp;IF(AE163="","assessment date; ",""))</f>
        <v/>
      </c>
      <c r="AJ163" s="52" t="str">
        <f aca="false">IF(OR(A163="",B163=""),"",IF(B163=RptSup,B163&amp;"|"&amp;COUNTIF($B$7:B163,B163),""))</f>
        <v/>
      </c>
    </row>
    <row r="164" customFormat="false" ht="15" hidden="false" customHeight="false" outlineLevel="0" collapsed="false">
      <c r="A164" s="50"/>
      <c r="B164" s="50"/>
      <c r="C164" s="59" t="str">
        <f aca="false">IF(B164="","",IFERROR(INDEX(INV_NAME,MATCH(B164,INV_ID,0)),"CHECK: Supplier ID not found"))</f>
        <v/>
      </c>
      <c r="D164" s="34"/>
      <c r="E164" s="34"/>
      <c r="F164" s="34"/>
      <c r="G164" s="34"/>
      <c r="H164" s="34"/>
      <c r="I164" s="34"/>
      <c r="J164" s="50"/>
      <c r="K164" s="50"/>
      <c r="L164" s="52" t="str">
        <f aca="false">IF(A164="","",IF(AND(ISNUMBER(J164),ISNUMBER(K164),J164&gt;=1,J164&lt;=5,K164&gt;=1,K164&lt;=5),J164*K164,"Incomplete"))</f>
        <v/>
      </c>
      <c r="M164" s="52" t="str">
        <f aca="false">IF(A164="","",IF(ISNUMBER(L164),LOOKUP(L164,BandMin,BandName),"Incomplete"))</f>
        <v/>
      </c>
      <c r="N164" s="34"/>
      <c r="O164" s="34"/>
      <c r="P164" s="50"/>
      <c r="Q164" s="50"/>
      <c r="R164" s="61" t="str">
        <f aca="false">IF(A164="","",IF(AND(ISNUMBER(P164),ISNUMBER(Q164),P164&gt;=1,P164&lt;=5,Q164&gt;=1,Q164&lt;=5),P164*Q164,"Incomplete"))</f>
        <v/>
      </c>
      <c r="S164" s="52" t="str">
        <f aca="false">IF(A164="","",IF(ISNUMBER(R164),LOOKUP(R164,BandMin,BandName),"Incomplete"))</f>
        <v/>
      </c>
      <c r="T164" s="34"/>
      <c r="U164" s="50"/>
      <c r="V164" s="50"/>
      <c r="W164" s="50"/>
      <c r="X164" s="52" t="str">
        <f aca="false">IF(A164="","",IF(AND(V164="",W164=""),"Not set",IF(AND(ISNUMBER(V164),ISNUMBER(W164),V164&gt;=1,V164&lt;=5,W164&gt;=1,W164&lt;=5),V164*W164,"Incomplete")))</f>
        <v/>
      </c>
      <c r="Y164" s="52" t="str">
        <f aca="false">IF(A164="","",IF(X164="Not set","Not set",IF(ISNUMBER(X164),LOOKUP(X164,BandMin,BandName),"Incomplete")))</f>
        <v/>
      </c>
      <c r="Z164" s="34"/>
      <c r="AA164" s="54" t="str">
        <f aca="false">IF(A164="","",IF(AppetiteThreshold="","Not configured",IF(NOT(ISNUMBER(R164)),"Cannot assess - residual incomplete",IF(MATCH(S164,BandName,0)&gt;=MATCH(AppetiteThreshold,BandName,0),"Above appetite - escalation required","Within appetite"))))</f>
        <v/>
      </c>
      <c r="AB164" s="50"/>
      <c r="AC164" s="54" t="str">
        <f aca="false">IF(A164="","",IF(AB164="","No decision referenced",IFERROR(INDEX(DEC_FINAL,MATCH(AB164,DEC_ID,0))&amp;" - "&amp;INDEX(DEC_CURR,MATCH(AB164,DEC_ID,0)),"CHECK: Decision ID not found")))</f>
        <v/>
      </c>
      <c r="AD164" s="54" t="str">
        <f aca="false">IF(A164="","",IF(COUNTIF(TRT_RISK,A164)=0,"No treatment recorded",COUNTIF(TRT_RISK,A164)&amp;" action(s); "&amp;COUNTIFS(TRT_RISK,A164,TRT_OPEN,"Open")&amp;" open; "&amp;COUNTIFS(TRT_RISK,A164,TRT_OVERDUE,"Overdue")&amp;" overdue"))</f>
        <v/>
      </c>
      <c r="AE164" s="51"/>
      <c r="AF164" s="51"/>
      <c r="AG164" s="54" t="str">
        <f aca="false">IF(A164="","",IF(AI164="","Complete","Incomplete: "&amp;AI164))</f>
        <v/>
      </c>
      <c r="AH164" s="54" t="str">
        <f aca="false">IF(A164="","",IF(COUNTIF(RSK_ID,A164)&gt;1,"CHECK: duplicate ID",IF(B164="","CHECK: Supplier ID missing",IF(COUNTIF(INV_ID,B164)=0,"CHECK: Supplier ID not in inventory",IF(AND(ISNUMBER(R164),ISNUMBER(L164),R164&gt;L164),"CHECK: residual score exceeds inherent - confirm",IF(AND(ISNUMBER(AF164),AF164&lt;AsOf),"Review overdue (administrative)","OK"))))))</f>
        <v/>
      </c>
      <c r="AI164" s="52" t="str">
        <f aca="false">IF(A164="","",IF(I164="","risk owner; ","")&amp;IF(OR(J164="",K164=""),"inherent rating; ","")&amp;IF(N164="","inherent rationale; ","")&amp;IF(OR(P164="",Q164=""),"residual rating; ","")&amp;IF(AND(OR(P164&lt;&gt;"",Q164&lt;&gt;""),T164=""),"residual rationale; ","")&amp;IF(AND(OR(P164&lt;&gt;"",Q164&lt;&gt;""),U164=""),"assessment confidence; ","")&amp;IF(AE164="","assessment date; ",""))</f>
        <v/>
      </c>
      <c r="AJ164" s="52" t="str">
        <f aca="false">IF(OR(A164="",B164=""),"",IF(B164=RptSup,B164&amp;"|"&amp;COUNTIF($B$7:B164,B164),""))</f>
        <v/>
      </c>
    </row>
    <row r="165" customFormat="false" ht="15" hidden="false" customHeight="false" outlineLevel="0" collapsed="false">
      <c r="A165" s="50"/>
      <c r="B165" s="50"/>
      <c r="C165" s="59" t="str">
        <f aca="false">IF(B165="","",IFERROR(INDEX(INV_NAME,MATCH(B165,INV_ID,0)),"CHECK: Supplier ID not found"))</f>
        <v/>
      </c>
      <c r="D165" s="34"/>
      <c r="E165" s="34"/>
      <c r="F165" s="34"/>
      <c r="G165" s="34"/>
      <c r="H165" s="34"/>
      <c r="I165" s="34"/>
      <c r="J165" s="50"/>
      <c r="K165" s="50"/>
      <c r="L165" s="52" t="str">
        <f aca="false">IF(A165="","",IF(AND(ISNUMBER(J165),ISNUMBER(K165),J165&gt;=1,J165&lt;=5,K165&gt;=1,K165&lt;=5),J165*K165,"Incomplete"))</f>
        <v/>
      </c>
      <c r="M165" s="52" t="str">
        <f aca="false">IF(A165="","",IF(ISNUMBER(L165),LOOKUP(L165,BandMin,BandName),"Incomplete"))</f>
        <v/>
      </c>
      <c r="N165" s="34"/>
      <c r="O165" s="34"/>
      <c r="P165" s="50"/>
      <c r="Q165" s="50"/>
      <c r="R165" s="61" t="str">
        <f aca="false">IF(A165="","",IF(AND(ISNUMBER(P165),ISNUMBER(Q165),P165&gt;=1,P165&lt;=5,Q165&gt;=1,Q165&lt;=5),P165*Q165,"Incomplete"))</f>
        <v/>
      </c>
      <c r="S165" s="52" t="str">
        <f aca="false">IF(A165="","",IF(ISNUMBER(R165),LOOKUP(R165,BandMin,BandName),"Incomplete"))</f>
        <v/>
      </c>
      <c r="T165" s="34"/>
      <c r="U165" s="50"/>
      <c r="V165" s="50"/>
      <c r="W165" s="50"/>
      <c r="X165" s="52" t="str">
        <f aca="false">IF(A165="","",IF(AND(V165="",W165=""),"Not set",IF(AND(ISNUMBER(V165),ISNUMBER(W165),V165&gt;=1,V165&lt;=5,W165&gt;=1,W165&lt;=5),V165*W165,"Incomplete")))</f>
        <v/>
      </c>
      <c r="Y165" s="52" t="str">
        <f aca="false">IF(A165="","",IF(X165="Not set","Not set",IF(ISNUMBER(X165),LOOKUP(X165,BandMin,BandName),"Incomplete")))</f>
        <v/>
      </c>
      <c r="Z165" s="34"/>
      <c r="AA165" s="54" t="str">
        <f aca="false">IF(A165="","",IF(AppetiteThreshold="","Not configured",IF(NOT(ISNUMBER(R165)),"Cannot assess - residual incomplete",IF(MATCH(S165,BandName,0)&gt;=MATCH(AppetiteThreshold,BandName,0),"Above appetite - escalation required","Within appetite"))))</f>
        <v/>
      </c>
      <c r="AB165" s="50"/>
      <c r="AC165" s="54" t="str">
        <f aca="false">IF(A165="","",IF(AB165="","No decision referenced",IFERROR(INDEX(DEC_FINAL,MATCH(AB165,DEC_ID,0))&amp;" - "&amp;INDEX(DEC_CURR,MATCH(AB165,DEC_ID,0)),"CHECK: Decision ID not found")))</f>
        <v/>
      </c>
      <c r="AD165" s="54" t="str">
        <f aca="false">IF(A165="","",IF(COUNTIF(TRT_RISK,A165)=0,"No treatment recorded",COUNTIF(TRT_RISK,A165)&amp;" action(s); "&amp;COUNTIFS(TRT_RISK,A165,TRT_OPEN,"Open")&amp;" open; "&amp;COUNTIFS(TRT_RISK,A165,TRT_OVERDUE,"Overdue")&amp;" overdue"))</f>
        <v/>
      </c>
      <c r="AE165" s="51"/>
      <c r="AF165" s="51"/>
      <c r="AG165" s="54" t="str">
        <f aca="false">IF(A165="","",IF(AI165="","Complete","Incomplete: "&amp;AI165))</f>
        <v/>
      </c>
      <c r="AH165" s="54" t="str">
        <f aca="false">IF(A165="","",IF(COUNTIF(RSK_ID,A165)&gt;1,"CHECK: duplicate ID",IF(B165="","CHECK: Supplier ID missing",IF(COUNTIF(INV_ID,B165)=0,"CHECK: Supplier ID not in inventory",IF(AND(ISNUMBER(R165),ISNUMBER(L165),R165&gt;L165),"CHECK: residual score exceeds inherent - confirm",IF(AND(ISNUMBER(AF165),AF165&lt;AsOf),"Review overdue (administrative)","OK"))))))</f>
        <v/>
      </c>
      <c r="AI165" s="52" t="str">
        <f aca="false">IF(A165="","",IF(I165="","risk owner; ","")&amp;IF(OR(J165="",K165=""),"inherent rating; ","")&amp;IF(N165="","inherent rationale; ","")&amp;IF(OR(P165="",Q165=""),"residual rating; ","")&amp;IF(AND(OR(P165&lt;&gt;"",Q165&lt;&gt;""),T165=""),"residual rationale; ","")&amp;IF(AND(OR(P165&lt;&gt;"",Q165&lt;&gt;""),U165=""),"assessment confidence; ","")&amp;IF(AE165="","assessment date; ",""))</f>
        <v/>
      </c>
      <c r="AJ165" s="52" t="str">
        <f aca="false">IF(OR(A165="",B165=""),"",IF(B165=RptSup,B165&amp;"|"&amp;COUNTIF($B$7:B165,B165),""))</f>
        <v/>
      </c>
    </row>
    <row r="166" customFormat="false" ht="15" hidden="false" customHeight="false" outlineLevel="0" collapsed="false">
      <c r="A166" s="50"/>
      <c r="B166" s="50"/>
      <c r="C166" s="59" t="str">
        <f aca="false">IF(B166="","",IFERROR(INDEX(INV_NAME,MATCH(B166,INV_ID,0)),"CHECK: Supplier ID not found"))</f>
        <v/>
      </c>
      <c r="D166" s="34"/>
      <c r="E166" s="34"/>
      <c r="F166" s="34"/>
      <c r="G166" s="34"/>
      <c r="H166" s="34"/>
      <c r="I166" s="34"/>
      <c r="J166" s="50"/>
      <c r="K166" s="50"/>
      <c r="L166" s="52" t="str">
        <f aca="false">IF(A166="","",IF(AND(ISNUMBER(J166),ISNUMBER(K166),J166&gt;=1,J166&lt;=5,K166&gt;=1,K166&lt;=5),J166*K166,"Incomplete"))</f>
        <v/>
      </c>
      <c r="M166" s="52" t="str">
        <f aca="false">IF(A166="","",IF(ISNUMBER(L166),LOOKUP(L166,BandMin,BandName),"Incomplete"))</f>
        <v/>
      </c>
      <c r="N166" s="34"/>
      <c r="O166" s="34"/>
      <c r="P166" s="50"/>
      <c r="Q166" s="50"/>
      <c r="R166" s="61" t="str">
        <f aca="false">IF(A166="","",IF(AND(ISNUMBER(P166),ISNUMBER(Q166),P166&gt;=1,P166&lt;=5,Q166&gt;=1,Q166&lt;=5),P166*Q166,"Incomplete"))</f>
        <v/>
      </c>
      <c r="S166" s="52" t="str">
        <f aca="false">IF(A166="","",IF(ISNUMBER(R166),LOOKUP(R166,BandMin,BandName),"Incomplete"))</f>
        <v/>
      </c>
      <c r="T166" s="34"/>
      <c r="U166" s="50"/>
      <c r="V166" s="50"/>
      <c r="W166" s="50"/>
      <c r="X166" s="52" t="str">
        <f aca="false">IF(A166="","",IF(AND(V166="",W166=""),"Not set",IF(AND(ISNUMBER(V166),ISNUMBER(W166),V166&gt;=1,V166&lt;=5,W166&gt;=1,W166&lt;=5),V166*W166,"Incomplete")))</f>
        <v/>
      </c>
      <c r="Y166" s="52" t="str">
        <f aca="false">IF(A166="","",IF(X166="Not set","Not set",IF(ISNUMBER(X166),LOOKUP(X166,BandMin,BandName),"Incomplete")))</f>
        <v/>
      </c>
      <c r="Z166" s="34"/>
      <c r="AA166" s="54" t="str">
        <f aca="false">IF(A166="","",IF(AppetiteThreshold="","Not configured",IF(NOT(ISNUMBER(R166)),"Cannot assess - residual incomplete",IF(MATCH(S166,BandName,0)&gt;=MATCH(AppetiteThreshold,BandName,0),"Above appetite - escalation required","Within appetite"))))</f>
        <v/>
      </c>
      <c r="AB166" s="50"/>
      <c r="AC166" s="54" t="str">
        <f aca="false">IF(A166="","",IF(AB166="","No decision referenced",IFERROR(INDEX(DEC_FINAL,MATCH(AB166,DEC_ID,0))&amp;" - "&amp;INDEX(DEC_CURR,MATCH(AB166,DEC_ID,0)),"CHECK: Decision ID not found")))</f>
        <v/>
      </c>
      <c r="AD166" s="54" t="str">
        <f aca="false">IF(A166="","",IF(COUNTIF(TRT_RISK,A166)=0,"No treatment recorded",COUNTIF(TRT_RISK,A166)&amp;" action(s); "&amp;COUNTIFS(TRT_RISK,A166,TRT_OPEN,"Open")&amp;" open; "&amp;COUNTIFS(TRT_RISK,A166,TRT_OVERDUE,"Overdue")&amp;" overdue"))</f>
        <v/>
      </c>
      <c r="AE166" s="51"/>
      <c r="AF166" s="51"/>
      <c r="AG166" s="54" t="str">
        <f aca="false">IF(A166="","",IF(AI166="","Complete","Incomplete: "&amp;AI166))</f>
        <v/>
      </c>
      <c r="AH166" s="54" t="str">
        <f aca="false">IF(A166="","",IF(COUNTIF(RSK_ID,A166)&gt;1,"CHECK: duplicate ID",IF(B166="","CHECK: Supplier ID missing",IF(COUNTIF(INV_ID,B166)=0,"CHECK: Supplier ID not in inventory",IF(AND(ISNUMBER(R166),ISNUMBER(L166),R166&gt;L166),"CHECK: residual score exceeds inherent - confirm",IF(AND(ISNUMBER(AF166),AF166&lt;AsOf),"Review overdue (administrative)","OK"))))))</f>
        <v/>
      </c>
      <c r="AI166" s="52" t="str">
        <f aca="false">IF(A166="","",IF(I166="","risk owner; ","")&amp;IF(OR(J166="",K166=""),"inherent rating; ","")&amp;IF(N166="","inherent rationale; ","")&amp;IF(OR(P166="",Q166=""),"residual rating; ","")&amp;IF(AND(OR(P166&lt;&gt;"",Q166&lt;&gt;""),T166=""),"residual rationale; ","")&amp;IF(AND(OR(P166&lt;&gt;"",Q166&lt;&gt;""),U166=""),"assessment confidence; ","")&amp;IF(AE166="","assessment date; ",""))</f>
        <v/>
      </c>
      <c r="AJ166" s="52" t="str">
        <f aca="false">IF(OR(A166="",B166=""),"",IF(B166=RptSup,B166&amp;"|"&amp;COUNTIF($B$7:B166,B166),""))</f>
        <v/>
      </c>
    </row>
    <row r="167" customFormat="false" ht="15" hidden="false" customHeight="false" outlineLevel="0" collapsed="false">
      <c r="A167" s="50"/>
      <c r="B167" s="50"/>
      <c r="C167" s="59" t="str">
        <f aca="false">IF(B167="","",IFERROR(INDEX(INV_NAME,MATCH(B167,INV_ID,0)),"CHECK: Supplier ID not found"))</f>
        <v/>
      </c>
      <c r="D167" s="34"/>
      <c r="E167" s="34"/>
      <c r="F167" s="34"/>
      <c r="G167" s="34"/>
      <c r="H167" s="34"/>
      <c r="I167" s="34"/>
      <c r="J167" s="50"/>
      <c r="K167" s="50"/>
      <c r="L167" s="52" t="str">
        <f aca="false">IF(A167="","",IF(AND(ISNUMBER(J167),ISNUMBER(K167),J167&gt;=1,J167&lt;=5,K167&gt;=1,K167&lt;=5),J167*K167,"Incomplete"))</f>
        <v/>
      </c>
      <c r="M167" s="52" t="str">
        <f aca="false">IF(A167="","",IF(ISNUMBER(L167),LOOKUP(L167,BandMin,BandName),"Incomplete"))</f>
        <v/>
      </c>
      <c r="N167" s="34"/>
      <c r="O167" s="34"/>
      <c r="P167" s="50"/>
      <c r="Q167" s="50"/>
      <c r="R167" s="61" t="str">
        <f aca="false">IF(A167="","",IF(AND(ISNUMBER(P167),ISNUMBER(Q167),P167&gt;=1,P167&lt;=5,Q167&gt;=1,Q167&lt;=5),P167*Q167,"Incomplete"))</f>
        <v/>
      </c>
      <c r="S167" s="52" t="str">
        <f aca="false">IF(A167="","",IF(ISNUMBER(R167),LOOKUP(R167,BandMin,BandName),"Incomplete"))</f>
        <v/>
      </c>
      <c r="T167" s="34"/>
      <c r="U167" s="50"/>
      <c r="V167" s="50"/>
      <c r="W167" s="50"/>
      <c r="X167" s="52" t="str">
        <f aca="false">IF(A167="","",IF(AND(V167="",W167=""),"Not set",IF(AND(ISNUMBER(V167),ISNUMBER(W167),V167&gt;=1,V167&lt;=5,W167&gt;=1,W167&lt;=5),V167*W167,"Incomplete")))</f>
        <v/>
      </c>
      <c r="Y167" s="52" t="str">
        <f aca="false">IF(A167="","",IF(X167="Not set","Not set",IF(ISNUMBER(X167),LOOKUP(X167,BandMin,BandName),"Incomplete")))</f>
        <v/>
      </c>
      <c r="Z167" s="34"/>
      <c r="AA167" s="54" t="str">
        <f aca="false">IF(A167="","",IF(AppetiteThreshold="","Not configured",IF(NOT(ISNUMBER(R167)),"Cannot assess - residual incomplete",IF(MATCH(S167,BandName,0)&gt;=MATCH(AppetiteThreshold,BandName,0),"Above appetite - escalation required","Within appetite"))))</f>
        <v/>
      </c>
      <c r="AB167" s="50"/>
      <c r="AC167" s="54" t="str">
        <f aca="false">IF(A167="","",IF(AB167="","No decision referenced",IFERROR(INDEX(DEC_FINAL,MATCH(AB167,DEC_ID,0))&amp;" - "&amp;INDEX(DEC_CURR,MATCH(AB167,DEC_ID,0)),"CHECK: Decision ID not found")))</f>
        <v/>
      </c>
      <c r="AD167" s="54" t="str">
        <f aca="false">IF(A167="","",IF(COUNTIF(TRT_RISK,A167)=0,"No treatment recorded",COUNTIF(TRT_RISK,A167)&amp;" action(s); "&amp;COUNTIFS(TRT_RISK,A167,TRT_OPEN,"Open")&amp;" open; "&amp;COUNTIFS(TRT_RISK,A167,TRT_OVERDUE,"Overdue")&amp;" overdue"))</f>
        <v/>
      </c>
      <c r="AE167" s="51"/>
      <c r="AF167" s="51"/>
      <c r="AG167" s="54" t="str">
        <f aca="false">IF(A167="","",IF(AI167="","Complete","Incomplete: "&amp;AI167))</f>
        <v/>
      </c>
      <c r="AH167" s="54" t="str">
        <f aca="false">IF(A167="","",IF(COUNTIF(RSK_ID,A167)&gt;1,"CHECK: duplicate ID",IF(B167="","CHECK: Supplier ID missing",IF(COUNTIF(INV_ID,B167)=0,"CHECK: Supplier ID not in inventory",IF(AND(ISNUMBER(R167),ISNUMBER(L167),R167&gt;L167),"CHECK: residual score exceeds inherent - confirm",IF(AND(ISNUMBER(AF167),AF167&lt;AsOf),"Review overdue (administrative)","OK"))))))</f>
        <v/>
      </c>
      <c r="AI167" s="52" t="str">
        <f aca="false">IF(A167="","",IF(I167="","risk owner; ","")&amp;IF(OR(J167="",K167=""),"inherent rating; ","")&amp;IF(N167="","inherent rationale; ","")&amp;IF(OR(P167="",Q167=""),"residual rating; ","")&amp;IF(AND(OR(P167&lt;&gt;"",Q167&lt;&gt;""),T167=""),"residual rationale; ","")&amp;IF(AND(OR(P167&lt;&gt;"",Q167&lt;&gt;""),U167=""),"assessment confidence; ","")&amp;IF(AE167="","assessment date; ",""))</f>
        <v/>
      </c>
      <c r="AJ167" s="52" t="str">
        <f aca="false">IF(OR(A167="",B167=""),"",IF(B167=RptSup,B167&amp;"|"&amp;COUNTIF($B$7:B167,B167),""))</f>
        <v/>
      </c>
    </row>
    <row r="168" customFormat="false" ht="15" hidden="false" customHeight="false" outlineLevel="0" collapsed="false">
      <c r="A168" s="50"/>
      <c r="B168" s="50"/>
      <c r="C168" s="59" t="str">
        <f aca="false">IF(B168="","",IFERROR(INDEX(INV_NAME,MATCH(B168,INV_ID,0)),"CHECK: Supplier ID not found"))</f>
        <v/>
      </c>
      <c r="D168" s="34"/>
      <c r="E168" s="34"/>
      <c r="F168" s="34"/>
      <c r="G168" s="34"/>
      <c r="H168" s="34"/>
      <c r="I168" s="34"/>
      <c r="J168" s="50"/>
      <c r="K168" s="50"/>
      <c r="L168" s="52" t="str">
        <f aca="false">IF(A168="","",IF(AND(ISNUMBER(J168),ISNUMBER(K168),J168&gt;=1,J168&lt;=5,K168&gt;=1,K168&lt;=5),J168*K168,"Incomplete"))</f>
        <v/>
      </c>
      <c r="M168" s="52" t="str">
        <f aca="false">IF(A168="","",IF(ISNUMBER(L168),LOOKUP(L168,BandMin,BandName),"Incomplete"))</f>
        <v/>
      </c>
      <c r="N168" s="34"/>
      <c r="O168" s="34"/>
      <c r="P168" s="50"/>
      <c r="Q168" s="50"/>
      <c r="R168" s="61" t="str">
        <f aca="false">IF(A168="","",IF(AND(ISNUMBER(P168),ISNUMBER(Q168),P168&gt;=1,P168&lt;=5,Q168&gt;=1,Q168&lt;=5),P168*Q168,"Incomplete"))</f>
        <v/>
      </c>
      <c r="S168" s="52" t="str">
        <f aca="false">IF(A168="","",IF(ISNUMBER(R168),LOOKUP(R168,BandMin,BandName),"Incomplete"))</f>
        <v/>
      </c>
      <c r="T168" s="34"/>
      <c r="U168" s="50"/>
      <c r="V168" s="50"/>
      <c r="W168" s="50"/>
      <c r="X168" s="52" t="str">
        <f aca="false">IF(A168="","",IF(AND(V168="",W168=""),"Not set",IF(AND(ISNUMBER(V168),ISNUMBER(W168),V168&gt;=1,V168&lt;=5,W168&gt;=1,W168&lt;=5),V168*W168,"Incomplete")))</f>
        <v/>
      </c>
      <c r="Y168" s="52" t="str">
        <f aca="false">IF(A168="","",IF(X168="Not set","Not set",IF(ISNUMBER(X168),LOOKUP(X168,BandMin,BandName),"Incomplete")))</f>
        <v/>
      </c>
      <c r="Z168" s="34"/>
      <c r="AA168" s="54" t="str">
        <f aca="false">IF(A168="","",IF(AppetiteThreshold="","Not configured",IF(NOT(ISNUMBER(R168)),"Cannot assess - residual incomplete",IF(MATCH(S168,BandName,0)&gt;=MATCH(AppetiteThreshold,BandName,0),"Above appetite - escalation required","Within appetite"))))</f>
        <v/>
      </c>
      <c r="AB168" s="50"/>
      <c r="AC168" s="54" t="str">
        <f aca="false">IF(A168="","",IF(AB168="","No decision referenced",IFERROR(INDEX(DEC_FINAL,MATCH(AB168,DEC_ID,0))&amp;" - "&amp;INDEX(DEC_CURR,MATCH(AB168,DEC_ID,0)),"CHECK: Decision ID not found")))</f>
        <v/>
      </c>
      <c r="AD168" s="54" t="str">
        <f aca="false">IF(A168="","",IF(COUNTIF(TRT_RISK,A168)=0,"No treatment recorded",COUNTIF(TRT_RISK,A168)&amp;" action(s); "&amp;COUNTIFS(TRT_RISK,A168,TRT_OPEN,"Open")&amp;" open; "&amp;COUNTIFS(TRT_RISK,A168,TRT_OVERDUE,"Overdue")&amp;" overdue"))</f>
        <v/>
      </c>
      <c r="AE168" s="51"/>
      <c r="AF168" s="51"/>
      <c r="AG168" s="54" t="str">
        <f aca="false">IF(A168="","",IF(AI168="","Complete","Incomplete: "&amp;AI168))</f>
        <v/>
      </c>
      <c r="AH168" s="54" t="str">
        <f aca="false">IF(A168="","",IF(COUNTIF(RSK_ID,A168)&gt;1,"CHECK: duplicate ID",IF(B168="","CHECK: Supplier ID missing",IF(COUNTIF(INV_ID,B168)=0,"CHECK: Supplier ID not in inventory",IF(AND(ISNUMBER(R168),ISNUMBER(L168),R168&gt;L168),"CHECK: residual score exceeds inherent - confirm",IF(AND(ISNUMBER(AF168),AF168&lt;AsOf),"Review overdue (administrative)","OK"))))))</f>
        <v/>
      </c>
      <c r="AI168" s="52" t="str">
        <f aca="false">IF(A168="","",IF(I168="","risk owner; ","")&amp;IF(OR(J168="",K168=""),"inherent rating; ","")&amp;IF(N168="","inherent rationale; ","")&amp;IF(OR(P168="",Q168=""),"residual rating; ","")&amp;IF(AND(OR(P168&lt;&gt;"",Q168&lt;&gt;""),T168=""),"residual rationale; ","")&amp;IF(AND(OR(P168&lt;&gt;"",Q168&lt;&gt;""),U168=""),"assessment confidence; ","")&amp;IF(AE168="","assessment date; ",""))</f>
        <v/>
      </c>
      <c r="AJ168" s="52" t="str">
        <f aca="false">IF(OR(A168="",B168=""),"",IF(B168=RptSup,B168&amp;"|"&amp;COUNTIF($B$7:B168,B168),""))</f>
        <v/>
      </c>
    </row>
    <row r="169" customFormat="false" ht="15" hidden="false" customHeight="false" outlineLevel="0" collapsed="false">
      <c r="A169" s="50"/>
      <c r="B169" s="50"/>
      <c r="C169" s="59" t="str">
        <f aca="false">IF(B169="","",IFERROR(INDEX(INV_NAME,MATCH(B169,INV_ID,0)),"CHECK: Supplier ID not found"))</f>
        <v/>
      </c>
      <c r="D169" s="34"/>
      <c r="E169" s="34"/>
      <c r="F169" s="34"/>
      <c r="G169" s="34"/>
      <c r="H169" s="34"/>
      <c r="I169" s="34"/>
      <c r="J169" s="50"/>
      <c r="K169" s="50"/>
      <c r="L169" s="52" t="str">
        <f aca="false">IF(A169="","",IF(AND(ISNUMBER(J169),ISNUMBER(K169),J169&gt;=1,J169&lt;=5,K169&gt;=1,K169&lt;=5),J169*K169,"Incomplete"))</f>
        <v/>
      </c>
      <c r="M169" s="52" t="str">
        <f aca="false">IF(A169="","",IF(ISNUMBER(L169),LOOKUP(L169,BandMin,BandName),"Incomplete"))</f>
        <v/>
      </c>
      <c r="N169" s="34"/>
      <c r="O169" s="34"/>
      <c r="P169" s="50"/>
      <c r="Q169" s="50"/>
      <c r="R169" s="61" t="str">
        <f aca="false">IF(A169="","",IF(AND(ISNUMBER(P169),ISNUMBER(Q169),P169&gt;=1,P169&lt;=5,Q169&gt;=1,Q169&lt;=5),P169*Q169,"Incomplete"))</f>
        <v/>
      </c>
      <c r="S169" s="52" t="str">
        <f aca="false">IF(A169="","",IF(ISNUMBER(R169),LOOKUP(R169,BandMin,BandName),"Incomplete"))</f>
        <v/>
      </c>
      <c r="T169" s="34"/>
      <c r="U169" s="50"/>
      <c r="V169" s="50"/>
      <c r="W169" s="50"/>
      <c r="X169" s="52" t="str">
        <f aca="false">IF(A169="","",IF(AND(V169="",W169=""),"Not set",IF(AND(ISNUMBER(V169),ISNUMBER(W169),V169&gt;=1,V169&lt;=5,W169&gt;=1,W169&lt;=5),V169*W169,"Incomplete")))</f>
        <v/>
      </c>
      <c r="Y169" s="52" t="str">
        <f aca="false">IF(A169="","",IF(X169="Not set","Not set",IF(ISNUMBER(X169),LOOKUP(X169,BandMin,BandName),"Incomplete")))</f>
        <v/>
      </c>
      <c r="Z169" s="34"/>
      <c r="AA169" s="54" t="str">
        <f aca="false">IF(A169="","",IF(AppetiteThreshold="","Not configured",IF(NOT(ISNUMBER(R169)),"Cannot assess - residual incomplete",IF(MATCH(S169,BandName,0)&gt;=MATCH(AppetiteThreshold,BandName,0),"Above appetite - escalation required","Within appetite"))))</f>
        <v/>
      </c>
      <c r="AB169" s="50"/>
      <c r="AC169" s="54" t="str">
        <f aca="false">IF(A169="","",IF(AB169="","No decision referenced",IFERROR(INDEX(DEC_FINAL,MATCH(AB169,DEC_ID,0))&amp;" - "&amp;INDEX(DEC_CURR,MATCH(AB169,DEC_ID,0)),"CHECK: Decision ID not found")))</f>
        <v/>
      </c>
      <c r="AD169" s="54" t="str">
        <f aca="false">IF(A169="","",IF(COUNTIF(TRT_RISK,A169)=0,"No treatment recorded",COUNTIF(TRT_RISK,A169)&amp;" action(s); "&amp;COUNTIFS(TRT_RISK,A169,TRT_OPEN,"Open")&amp;" open; "&amp;COUNTIFS(TRT_RISK,A169,TRT_OVERDUE,"Overdue")&amp;" overdue"))</f>
        <v/>
      </c>
      <c r="AE169" s="51"/>
      <c r="AF169" s="51"/>
      <c r="AG169" s="54" t="str">
        <f aca="false">IF(A169="","",IF(AI169="","Complete","Incomplete: "&amp;AI169))</f>
        <v/>
      </c>
      <c r="AH169" s="54" t="str">
        <f aca="false">IF(A169="","",IF(COUNTIF(RSK_ID,A169)&gt;1,"CHECK: duplicate ID",IF(B169="","CHECK: Supplier ID missing",IF(COUNTIF(INV_ID,B169)=0,"CHECK: Supplier ID not in inventory",IF(AND(ISNUMBER(R169),ISNUMBER(L169),R169&gt;L169),"CHECK: residual score exceeds inherent - confirm",IF(AND(ISNUMBER(AF169),AF169&lt;AsOf),"Review overdue (administrative)","OK"))))))</f>
        <v/>
      </c>
      <c r="AI169" s="52" t="str">
        <f aca="false">IF(A169="","",IF(I169="","risk owner; ","")&amp;IF(OR(J169="",K169=""),"inherent rating; ","")&amp;IF(N169="","inherent rationale; ","")&amp;IF(OR(P169="",Q169=""),"residual rating; ","")&amp;IF(AND(OR(P169&lt;&gt;"",Q169&lt;&gt;""),T169=""),"residual rationale; ","")&amp;IF(AND(OR(P169&lt;&gt;"",Q169&lt;&gt;""),U169=""),"assessment confidence; ","")&amp;IF(AE169="","assessment date; ",""))</f>
        <v/>
      </c>
      <c r="AJ169" s="52" t="str">
        <f aca="false">IF(OR(A169="",B169=""),"",IF(B169=RptSup,B169&amp;"|"&amp;COUNTIF($B$7:B169,B169),""))</f>
        <v/>
      </c>
    </row>
    <row r="170" customFormat="false" ht="15" hidden="false" customHeight="false" outlineLevel="0" collapsed="false">
      <c r="A170" s="50"/>
      <c r="B170" s="50"/>
      <c r="C170" s="59" t="str">
        <f aca="false">IF(B170="","",IFERROR(INDEX(INV_NAME,MATCH(B170,INV_ID,0)),"CHECK: Supplier ID not found"))</f>
        <v/>
      </c>
      <c r="D170" s="34"/>
      <c r="E170" s="34"/>
      <c r="F170" s="34"/>
      <c r="G170" s="34"/>
      <c r="H170" s="34"/>
      <c r="I170" s="34"/>
      <c r="J170" s="50"/>
      <c r="K170" s="50"/>
      <c r="L170" s="52" t="str">
        <f aca="false">IF(A170="","",IF(AND(ISNUMBER(J170),ISNUMBER(K170),J170&gt;=1,J170&lt;=5,K170&gt;=1,K170&lt;=5),J170*K170,"Incomplete"))</f>
        <v/>
      </c>
      <c r="M170" s="52" t="str">
        <f aca="false">IF(A170="","",IF(ISNUMBER(L170),LOOKUP(L170,BandMin,BandName),"Incomplete"))</f>
        <v/>
      </c>
      <c r="N170" s="34"/>
      <c r="O170" s="34"/>
      <c r="P170" s="50"/>
      <c r="Q170" s="50"/>
      <c r="R170" s="61" t="str">
        <f aca="false">IF(A170="","",IF(AND(ISNUMBER(P170),ISNUMBER(Q170),P170&gt;=1,P170&lt;=5,Q170&gt;=1,Q170&lt;=5),P170*Q170,"Incomplete"))</f>
        <v/>
      </c>
      <c r="S170" s="52" t="str">
        <f aca="false">IF(A170="","",IF(ISNUMBER(R170),LOOKUP(R170,BandMin,BandName),"Incomplete"))</f>
        <v/>
      </c>
      <c r="T170" s="34"/>
      <c r="U170" s="50"/>
      <c r="V170" s="50"/>
      <c r="W170" s="50"/>
      <c r="X170" s="52" t="str">
        <f aca="false">IF(A170="","",IF(AND(V170="",W170=""),"Not set",IF(AND(ISNUMBER(V170),ISNUMBER(W170),V170&gt;=1,V170&lt;=5,W170&gt;=1,W170&lt;=5),V170*W170,"Incomplete")))</f>
        <v/>
      </c>
      <c r="Y170" s="52" t="str">
        <f aca="false">IF(A170="","",IF(X170="Not set","Not set",IF(ISNUMBER(X170),LOOKUP(X170,BandMin,BandName),"Incomplete")))</f>
        <v/>
      </c>
      <c r="Z170" s="34"/>
      <c r="AA170" s="54" t="str">
        <f aca="false">IF(A170="","",IF(AppetiteThreshold="","Not configured",IF(NOT(ISNUMBER(R170)),"Cannot assess - residual incomplete",IF(MATCH(S170,BandName,0)&gt;=MATCH(AppetiteThreshold,BandName,0),"Above appetite - escalation required","Within appetite"))))</f>
        <v/>
      </c>
      <c r="AB170" s="50"/>
      <c r="AC170" s="54" t="str">
        <f aca="false">IF(A170="","",IF(AB170="","No decision referenced",IFERROR(INDEX(DEC_FINAL,MATCH(AB170,DEC_ID,0))&amp;" - "&amp;INDEX(DEC_CURR,MATCH(AB170,DEC_ID,0)),"CHECK: Decision ID not found")))</f>
        <v/>
      </c>
      <c r="AD170" s="54" t="str">
        <f aca="false">IF(A170="","",IF(COUNTIF(TRT_RISK,A170)=0,"No treatment recorded",COUNTIF(TRT_RISK,A170)&amp;" action(s); "&amp;COUNTIFS(TRT_RISK,A170,TRT_OPEN,"Open")&amp;" open; "&amp;COUNTIFS(TRT_RISK,A170,TRT_OVERDUE,"Overdue")&amp;" overdue"))</f>
        <v/>
      </c>
      <c r="AE170" s="51"/>
      <c r="AF170" s="51"/>
      <c r="AG170" s="54" t="str">
        <f aca="false">IF(A170="","",IF(AI170="","Complete","Incomplete: "&amp;AI170))</f>
        <v/>
      </c>
      <c r="AH170" s="54" t="str">
        <f aca="false">IF(A170="","",IF(COUNTIF(RSK_ID,A170)&gt;1,"CHECK: duplicate ID",IF(B170="","CHECK: Supplier ID missing",IF(COUNTIF(INV_ID,B170)=0,"CHECK: Supplier ID not in inventory",IF(AND(ISNUMBER(R170),ISNUMBER(L170),R170&gt;L170),"CHECK: residual score exceeds inherent - confirm",IF(AND(ISNUMBER(AF170),AF170&lt;AsOf),"Review overdue (administrative)","OK"))))))</f>
        <v/>
      </c>
      <c r="AI170" s="52" t="str">
        <f aca="false">IF(A170="","",IF(I170="","risk owner; ","")&amp;IF(OR(J170="",K170=""),"inherent rating; ","")&amp;IF(N170="","inherent rationale; ","")&amp;IF(OR(P170="",Q170=""),"residual rating; ","")&amp;IF(AND(OR(P170&lt;&gt;"",Q170&lt;&gt;""),T170=""),"residual rationale; ","")&amp;IF(AND(OR(P170&lt;&gt;"",Q170&lt;&gt;""),U170=""),"assessment confidence; ","")&amp;IF(AE170="","assessment date; ",""))</f>
        <v/>
      </c>
      <c r="AJ170" s="52" t="str">
        <f aca="false">IF(OR(A170="",B170=""),"",IF(B170=RptSup,B170&amp;"|"&amp;COUNTIF($B$7:B170,B170),""))</f>
        <v/>
      </c>
    </row>
    <row r="171" customFormat="false" ht="15" hidden="false" customHeight="false" outlineLevel="0" collapsed="false">
      <c r="A171" s="50"/>
      <c r="B171" s="50"/>
      <c r="C171" s="59" t="str">
        <f aca="false">IF(B171="","",IFERROR(INDEX(INV_NAME,MATCH(B171,INV_ID,0)),"CHECK: Supplier ID not found"))</f>
        <v/>
      </c>
      <c r="D171" s="34"/>
      <c r="E171" s="34"/>
      <c r="F171" s="34"/>
      <c r="G171" s="34"/>
      <c r="H171" s="34"/>
      <c r="I171" s="34"/>
      <c r="J171" s="50"/>
      <c r="K171" s="50"/>
      <c r="L171" s="52" t="str">
        <f aca="false">IF(A171="","",IF(AND(ISNUMBER(J171),ISNUMBER(K171),J171&gt;=1,J171&lt;=5,K171&gt;=1,K171&lt;=5),J171*K171,"Incomplete"))</f>
        <v/>
      </c>
      <c r="M171" s="52" t="str">
        <f aca="false">IF(A171="","",IF(ISNUMBER(L171),LOOKUP(L171,BandMin,BandName),"Incomplete"))</f>
        <v/>
      </c>
      <c r="N171" s="34"/>
      <c r="O171" s="34"/>
      <c r="P171" s="50"/>
      <c r="Q171" s="50"/>
      <c r="R171" s="61" t="str">
        <f aca="false">IF(A171="","",IF(AND(ISNUMBER(P171),ISNUMBER(Q171),P171&gt;=1,P171&lt;=5,Q171&gt;=1,Q171&lt;=5),P171*Q171,"Incomplete"))</f>
        <v/>
      </c>
      <c r="S171" s="52" t="str">
        <f aca="false">IF(A171="","",IF(ISNUMBER(R171),LOOKUP(R171,BandMin,BandName),"Incomplete"))</f>
        <v/>
      </c>
      <c r="T171" s="34"/>
      <c r="U171" s="50"/>
      <c r="V171" s="50"/>
      <c r="W171" s="50"/>
      <c r="X171" s="52" t="str">
        <f aca="false">IF(A171="","",IF(AND(V171="",W171=""),"Not set",IF(AND(ISNUMBER(V171),ISNUMBER(W171),V171&gt;=1,V171&lt;=5,W171&gt;=1,W171&lt;=5),V171*W171,"Incomplete")))</f>
        <v/>
      </c>
      <c r="Y171" s="52" t="str">
        <f aca="false">IF(A171="","",IF(X171="Not set","Not set",IF(ISNUMBER(X171),LOOKUP(X171,BandMin,BandName),"Incomplete")))</f>
        <v/>
      </c>
      <c r="Z171" s="34"/>
      <c r="AA171" s="54" t="str">
        <f aca="false">IF(A171="","",IF(AppetiteThreshold="","Not configured",IF(NOT(ISNUMBER(R171)),"Cannot assess - residual incomplete",IF(MATCH(S171,BandName,0)&gt;=MATCH(AppetiteThreshold,BandName,0),"Above appetite - escalation required","Within appetite"))))</f>
        <v/>
      </c>
      <c r="AB171" s="50"/>
      <c r="AC171" s="54" t="str">
        <f aca="false">IF(A171="","",IF(AB171="","No decision referenced",IFERROR(INDEX(DEC_FINAL,MATCH(AB171,DEC_ID,0))&amp;" - "&amp;INDEX(DEC_CURR,MATCH(AB171,DEC_ID,0)),"CHECK: Decision ID not found")))</f>
        <v/>
      </c>
      <c r="AD171" s="54" t="str">
        <f aca="false">IF(A171="","",IF(COUNTIF(TRT_RISK,A171)=0,"No treatment recorded",COUNTIF(TRT_RISK,A171)&amp;" action(s); "&amp;COUNTIFS(TRT_RISK,A171,TRT_OPEN,"Open")&amp;" open; "&amp;COUNTIFS(TRT_RISK,A171,TRT_OVERDUE,"Overdue")&amp;" overdue"))</f>
        <v/>
      </c>
      <c r="AE171" s="51"/>
      <c r="AF171" s="51"/>
      <c r="AG171" s="54" t="str">
        <f aca="false">IF(A171="","",IF(AI171="","Complete","Incomplete: "&amp;AI171))</f>
        <v/>
      </c>
      <c r="AH171" s="54" t="str">
        <f aca="false">IF(A171="","",IF(COUNTIF(RSK_ID,A171)&gt;1,"CHECK: duplicate ID",IF(B171="","CHECK: Supplier ID missing",IF(COUNTIF(INV_ID,B171)=0,"CHECK: Supplier ID not in inventory",IF(AND(ISNUMBER(R171),ISNUMBER(L171),R171&gt;L171),"CHECK: residual score exceeds inherent - confirm",IF(AND(ISNUMBER(AF171),AF171&lt;AsOf),"Review overdue (administrative)","OK"))))))</f>
        <v/>
      </c>
      <c r="AI171" s="52" t="str">
        <f aca="false">IF(A171="","",IF(I171="","risk owner; ","")&amp;IF(OR(J171="",K171=""),"inherent rating; ","")&amp;IF(N171="","inherent rationale; ","")&amp;IF(OR(P171="",Q171=""),"residual rating; ","")&amp;IF(AND(OR(P171&lt;&gt;"",Q171&lt;&gt;""),T171=""),"residual rationale; ","")&amp;IF(AND(OR(P171&lt;&gt;"",Q171&lt;&gt;""),U171=""),"assessment confidence; ","")&amp;IF(AE171="","assessment date; ",""))</f>
        <v/>
      </c>
      <c r="AJ171" s="52" t="str">
        <f aca="false">IF(OR(A171="",B171=""),"",IF(B171=RptSup,B171&amp;"|"&amp;COUNTIF($B$7:B171,B171),""))</f>
        <v/>
      </c>
    </row>
    <row r="172" customFormat="false" ht="15" hidden="false" customHeight="false" outlineLevel="0" collapsed="false">
      <c r="A172" s="50"/>
      <c r="B172" s="50"/>
      <c r="C172" s="59" t="str">
        <f aca="false">IF(B172="","",IFERROR(INDEX(INV_NAME,MATCH(B172,INV_ID,0)),"CHECK: Supplier ID not found"))</f>
        <v/>
      </c>
      <c r="D172" s="34"/>
      <c r="E172" s="34"/>
      <c r="F172" s="34"/>
      <c r="G172" s="34"/>
      <c r="H172" s="34"/>
      <c r="I172" s="34"/>
      <c r="J172" s="50"/>
      <c r="K172" s="50"/>
      <c r="L172" s="52" t="str">
        <f aca="false">IF(A172="","",IF(AND(ISNUMBER(J172),ISNUMBER(K172),J172&gt;=1,J172&lt;=5,K172&gt;=1,K172&lt;=5),J172*K172,"Incomplete"))</f>
        <v/>
      </c>
      <c r="M172" s="52" t="str">
        <f aca="false">IF(A172="","",IF(ISNUMBER(L172),LOOKUP(L172,BandMin,BandName),"Incomplete"))</f>
        <v/>
      </c>
      <c r="N172" s="34"/>
      <c r="O172" s="34"/>
      <c r="P172" s="50"/>
      <c r="Q172" s="50"/>
      <c r="R172" s="61" t="str">
        <f aca="false">IF(A172="","",IF(AND(ISNUMBER(P172),ISNUMBER(Q172),P172&gt;=1,P172&lt;=5,Q172&gt;=1,Q172&lt;=5),P172*Q172,"Incomplete"))</f>
        <v/>
      </c>
      <c r="S172" s="52" t="str">
        <f aca="false">IF(A172="","",IF(ISNUMBER(R172),LOOKUP(R172,BandMin,BandName),"Incomplete"))</f>
        <v/>
      </c>
      <c r="T172" s="34"/>
      <c r="U172" s="50"/>
      <c r="V172" s="50"/>
      <c r="W172" s="50"/>
      <c r="X172" s="52" t="str">
        <f aca="false">IF(A172="","",IF(AND(V172="",W172=""),"Not set",IF(AND(ISNUMBER(V172),ISNUMBER(W172),V172&gt;=1,V172&lt;=5,W172&gt;=1,W172&lt;=5),V172*W172,"Incomplete")))</f>
        <v/>
      </c>
      <c r="Y172" s="52" t="str">
        <f aca="false">IF(A172="","",IF(X172="Not set","Not set",IF(ISNUMBER(X172),LOOKUP(X172,BandMin,BandName),"Incomplete")))</f>
        <v/>
      </c>
      <c r="Z172" s="34"/>
      <c r="AA172" s="54" t="str">
        <f aca="false">IF(A172="","",IF(AppetiteThreshold="","Not configured",IF(NOT(ISNUMBER(R172)),"Cannot assess - residual incomplete",IF(MATCH(S172,BandName,0)&gt;=MATCH(AppetiteThreshold,BandName,0),"Above appetite - escalation required","Within appetite"))))</f>
        <v/>
      </c>
      <c r="AB172" s="50"/>
      <c r="AC172" s="54" t="str">
        <f aca="false">IF(A172="","",IF(AB172="","No decision referenced",IFERROR(INDEX(DEC_FINAL,MATCH(AB172,DEC_ID,0))&amp;" - "&amp;INDEX(DEC_CURR,MATCH(AB172,DEC_ID,0)),"CHECK: Decision ID not found")))</f>
        <v/>
      </c>
      <c r="AD172" s="54" t="str">
        <f aca="false">IF(A172="","",IF(COUNTIF(TRT_RISK,A172)=0,"No treatment recorded",COUNTIF(TRT_RISK,A172)&amp;" action(s); "&amp;COUNTIFS(TRT_RISK,A172,TRT_OPEN,"Open")&amp;" open; "&amp;COUNTIFS(TRT_RISK,A172,TRT_OVERDUE,"Overdue")&amp;" overdue"))</f>
        <v/>
      </c>
      <c r="AE172" s="51"/>
      <c r="AF172" s="51"/>
      <c r="AG172" s="54" t="str">
        <f aca="false">IF(A172="","",IF(AI172="","Complete","Incomplete: "&amp;AI172))</f>
        <v/>
      </c>
      <c r="AH172" s="54" t="str">
        <f aca="false">IF(A172="","",IF(COUNTIF(RSK_ID,A172)&gt;1,"CHECK: duplicate ID",IF(B172="","CHECK: Supplier ID missing",IF(COUNTIF(INV_ID,B172)=0,"CHECK: Supplier ID not in inventory",IF(AND(ISNUMBER(R172),ISNUMBER(L172),R172&gt;L172),"CHECK: residual score exceeds inherent - confirm",IF(AND(ISNUMBER(AF172),AF172&lt;AsOf),"Review overdue (administrative)","OK"))))))</f>
        <v/>
      </c>
      <c r="AI172" s="52" t="str">
        <f aca="false">IF(A172="","",IF(I172="","risk owner; ","")&amp;IF(OR(J172="",K172=""),"inherent rating; ","")&amp;IF(N172="","inherent rationale; ","")&amp;IF(OR(P172="",Q172=""),"residual rating; ","")&amp;IF(AND(OR(P172&lt;&gt;"",Q172&lt;&gt;""),T172=""),"residual rationale; ","")&amp;IF(AND(OR(P172&lt;&gt;"",Q172&lt;&gt;""),U172=""),"assessment confidence; ","")&amp;IF(AE172="","assessment date; ",""))</f>
        <v/>
      </c>
      <c r="AJ172" s="52" t="str">
        <f aca="false">IF(OR(A172="",B172=""),"",IF(B172=RptSup,B172&amp;"|"&amp;COUNTIF($B$7:B172,B172),""))</f>
        <v/>
      </c>
    </row>
    <row r="173" customFormat="false" ht="15" hidden="false" customHeight="false" outlineLevel="0" collapsed="false">
      <c r="A173" s="50"/>
      <c r="B173" s="50"/>
      <c r="C173" s="59" t="str">
        <f aca="false">IF(B173="","",IFERROR(INDEX(INV_NAME,MATCH(B173,INV_ID,0)),"CHECK: Supplier ID not found"))</f>
        <v/>
      </c>
      <c r="D173" s="34"/>
      <c r="E173" s="34"/>
      <c r="F173" s="34"/>
      <c r="G173" s="34"/>
      <c r="H173" s="34"/>
      <c r="I173" s="34"/>
      <c r="J173" s="50"/>
      <c r="K173" s="50"/>
      <c r="L173" s="52" t="str">
        <f aca="false">IF(A173="","",IF(AND(ISNUMBER(J173),ISNUMBER(K173),J173&gt;=1,J173&lt;=5,K173&gt;=1,K173&lt;=5),J173*K173,"Incomplete"))</f>
        <v/>
      </c>
      <c r="M173" s="52" t="str">
        <f aca="false">IF(A173="","",IF(ISNUMBER(L173),LOOKUP(L173,BandMin,BandName),"Incomplete"))</f>
        <v/>
      </c>
      <c r="N173" s="34"/>
      <c r="O173" s="34"/>
      <c r="P173" s="50"/>
      <c r="Q173" s="50"/>
      <c r="R173" s="61" t="str">
        <f aca="false">IF(A173="","",IF(AND(ISNUMBER(P173),ISNUMBER(Q173),P173&gt;=1,P173&lt;=5,Q173&gt;=1,Q173&lt;=5),P173*Q173,"Incomplete"))</f>
        <v/>
      </c>
      <c r="S173" s="52" t="str">
        <f aca="false">IF(A173="","",IF(ISNUMBER(R173),LOOKUP(R173,BandMin,BandName),"Incomplete"))</f>
        <v/>
      </c>
      <c r="T173" s="34"/>
      <c r="U173" s="50"/>
      <c r="V173" s="50"/>
      <c r="W173" s="50"/>
      <c r="X173" s="52" t="str">
        <f aca="false">IF(A173="","",IF(AND(V173="",W173=""),"Not set",IF(AND(ISNUMBER(V173),ISNUMBER(W173),V173&gt;=1,V173&lt;=5,W173&gt;=1,W173&lt;=5),V173*W173,"Incomplete")))</f>
        <v/>
      </c>
      <c r="Y173" s="52" t="str">
        <f aca="false">IF(A173="","",IF(X173="Not set","Not set",IF(ISNUMBER(X173),LOOKUP(X173,BandMin,BandName),"Incomplete")))</f>
        <v/>
      </c>
      <c r="Z173" s="34"/>
      <c r="AA173" s="54" t="str">
        <f aca="false">IF(A173="","",IF(AppetiteThreshold="","Not configured",IF(NOT(ISNUMBER(R173)),"Cannot assess - residual incomplete",IF(MATCH(S173,BandName,0)&gt;=MATCH(AppetiteThreshold,BandName,0),"Above appetite - escalation required","Within appetite"))))</f>
        <v/>
      </c>
      <c r="AB173" s="50"/>
      <c r="AC173" s="54" t="str">
        <f aca="false">IF(A173="","",IF(AB173="","No decision referenced",IFERROR(INDEX(DEC_FINAL,MATCH(AB173,DEC_ID,0))&amp;" - "&amp;INDEX(DEC_CURR,MATCH(AB173,DEC_ID,0)),"CHECK: Decision ID not found")))</f>
        <v/>
      </c>
      <c r="AD173" s="54" t="str">
        <f aca="false">IF(A173="","",IF(COUNTIF(TRT_RISK,A173)=0,"No treatment recorded",COUNTIF(TRT_RISK,A173)&amp;" action(s); "&amp;COUNTIFS(TRT_RISK,A173,TRT_OPEN,"Open")&amp;" open; "&amp;COUNTIFS(TRT_RISK,A173,TRT_OVERDUE,"Overdue")&amp;" overdue"))</f>
        <v/>
      </c>
      <c r="AE173" s="51"/>
      <c r="AF173" s="51"/>
      <c r="AG173" s="54" t="str">
        <f aca="false">IF(A173="","",IF(AI173="","Complete","Incomplete: "&amp;AI173))</f>
        <v/>
      </c>
      <c r="AH173" s="54" t="str">
        <f aca="false">IF(A173="","",IF(COUNTIF(RSK_ID,A173)&gt;1,"CHECK: duplicate ID",IF(B173="","CHECK: Supplier ID missing",IF(COUNTIF(INV_ID,B173)=0,"CHECK: Supplier ID not in inventory",IF(AND(ISNUMBER(R173),ISNUMBER(L173),R173&gt;L173),"CHECK: residual score exceeds inherent - confirm",IF(AND(ISNUMBER(AF173),AF173&lt;AsOf),"Review overdue (administrative)","OK"))))))</f>
        <v/>
      </c>
      <c r="AI173" s="52" t="str">
        <f aca="false">IF(A173="","",IF(I173="","risk owner; ","")&amp;IF(OR(J173="",K173=""),"inherent rating; ","")&amp;IF(N173="","inherent rationale; ","")&amp;IF(OR(P173="",Q173=""),"residual rating; ","")&amp;IF(AND(OR(P173&lt;&gt;"",Q173&lt;&gt;""),T173=""),"residual rationale; ","")&amp;IF(AND(OR(P173&lt;&gt;"",Q173&lt;&gt;""),U173=""),"assessment confidence; ","")&amp;IF(AE173="","assessment date; ",""))</f>
        <v/>
      </c>
      <c r="AJ173" s="52" t="str">
        <f aca="false">IF(OR(A173="",B173=""),"",IF(B173=RptSup,B173&amp;"|"&amp;COUNTIF($B$7:B173,B173),""))</f>
        <v/>
      </c>
    </row>
    <row r="174" customFormat="false" ht="15" hidden="false" customHeight="false" outlineLevel="0" collapsed="false">
      <c r="A174" s="50"/>
      <c r="B174" s="50"/>
      <c r="C174" s="59" t="str">
        <f aca="false">IF(B174="","",IFERROR(INDEX(INV_NAME,MATCH(B174,INV_ID,0)),"CHECK: Supplier ID not found"))</f>
        <v/>
      </c>
      <c r="D174" s="34"/>
      <c r="E174" s="34"/>
      <c r="F174" s="34"/>
      <c r="G174" s="34"/>
      <c r="H174" s="34"/>
      <c r="I174" s="34"/>
      <c r="J174" s="50"/>
      <c r="K174" s="50"/>
      <c r="L174" s="52" t="str">
        <f aca="false">IF(A174="","",IF(AND(ISNUMBER(J174),ISNUMBER(K174),J174&gt;=1,J174&lt;=5,K174&gt;=1,K174&lt;=5),J174*K174,"Incomplete"))</f>
        <v/>
      </c>
      <c r="M174" s="52" t="str">
        <f aca="false">IF(A174="","",IF(ISNUMBER(L174),LOOKUP(L174,BandMin,BandName),"Incomplete"))</f>
        <v/>
      </c>
      <c r="N174" s="34"/>
      <c r="O174" s="34"/>
      <c r="P174" s="50"/>
      <c r="Q174" s="50"/>
      <c r="R174" s="61" t="str">
        <f aca="false">IF(A174="","",IF(AND(ISNUMBER(P174),ISNUMBER(Q174),P174&gt;=1,P174&lt;=5,Q174&gt;=1,Q174&lt;=5),P174*Q174,"Incomplete"))</f>
        <v/>
      </c>
      <c r="S174" s="52" t="str">
        <f aca="false">IF(A174="","",IF(ISNUMBER(R174),LOOKUP(R174,BandMin,BandName),"Incomplete"))</f>
        <v/>
      </c>
      <c r="T174" s="34"/>
      <c r="U174" s="50"/>
      <c r="V174" s="50"/>
      <c r="W174" s="50"/>
      <c r="X174" s="52" t="str">
        <f aca="false">IF(A174="","",IF(AND(V174="",W174=""),"Not set",IF(AND(ISNUMBER(V174),ISNUMBER(W174),V174&gt;=1,V174&lt;=5,W174&gt;=1,W174&lt;=5),V174*W174,"Incomplete")))</f>
        <v/>
      </c>
      <c r="Y174" s="52" t="str">
        <f aca="false">IF(A174="","",IF(X174="Not set","Not set",IF(ISNUMBER(X174),LOOKUP(X174,BandMin,BandName),"Incomplete")))</f>
        <v/>
      </c>
      <c r="Z174" s="34"/>
      <c r="AA174" s="54" t="str">
        <f aca="false">IF(A174="","",IF(AppetiteThreshold="","Not configured",IF(NOT(ISNUMBER(R174)),"Cannot assess - residual incomplete",IF(MATCH(S174,BandName,0)&gt;=MATCH(AppetiteThreshold,BandName,0),"Above appetite - escalation required","Within appetite"))))</f>
        <v/>
      </c>
      <c r="AB174" s="50"/>
      <c r="AC174" s="54" t="str">
        <f aca="false">IF(A174="","",IF(AB174="","No decision referenced",IFERROR(INDEX(DEC_FINAL,MATCH(AB174,DEC_ID,0))&amp;" - "&amp;INDEX(DEC_CURR,MATCH(AB174,DEC_ID,0)),"CHECK: Decision ID not found")))</f>
        <v/>
      </c>
      <c r="AD174" s="54" t="str">
        <f aca="false">IF(A174="","",IF(COUNTIF(TRT_RISK,A174)=0,"No treatment recorded",COUNTIF(TRT_RISK,A174)&amp;" action(s); "&amp;COUNTIFS(TRT_RISK,A174,TRT_OPEN,"Open")&amp;" open; "&amp;COUNTIFS(TRT_RISK,A174,TRT_OVERDUE,"Overdue")&amp;" overdue"))</f>
        <v/>
      </c>
      <c r="AE174" s="51"/>
      <c r="AF174" s="51"/>
      <c r="AG174" s="54" t="str">
        <f aca="false">IF(A174="","",IF(AI174="","Complete","Incomplete: "&amp;AI174))</f>
        <v/>
      </c>
      <c r="AH174" s="54" t="str">
        <f aca="false">IF(A174="","",IF(COUNTIF(RSK_ID,A174)&gt;1,"CHECK: duplicate ID",IF(B174="","CHECK: Supplier ID missing",IF(COUNTIF(INV_ID,B174)=0,"CHECK: Supplier ID not in inventory",IF(AND(ISNUMBER(R174),ISNUMBER(L174),R174&gt;L174),"CHECK: residual score exceeds inherent - confirm",IF(AND(ISNUMBER(AF174),AF174&lt;AsOf),"Review overdue (administrative)","OK"))))))</f>
        <v/>
      </c>
      <c r="AI174" s="52" t="str">
        <f aca="false">IF(A174="","",IF(I174="","risk owner; ","")&amp;IF(OR(J174="",K174=""),"inherent rating; ","")&amp;IF(N174="","inherent rationale; ","")&amp;IF(OR(P174="",Q174=""),"residual rating; ","")&amp;IF(AND(OR(P174&lt;&gt;"",Q174&lt;&gt;""),T174=""),"residual rationale; ","")&amp;IF(AND(OR(P174&lt;&gt;"",Q174&lt;&gt;""),U174=""),"assessment confidence; ","")&amp;IF(AE174="","assessment date; ",""))</f>
        <v/>
      </c>
      <c r="AJ174" s="52" t="str">
        <f aca="false">IF(OR(A174="",B174=""),"",IF(B174=RptSup,B174&amp;"|"&amp;COUNTIF($B$7:B174,B174),""))</f>
        <v/>
      </c>
    </row>
    <row r="175" customFormat="false" ht="15" hidden="false" customHeight="false" outlineLevel="0" collapsed="false">
      <c r="A175" s="50"/>
      <c r="B175" s="50"/>
      <c r="C175" s="59" t="str">
        <f aca="false">IF(B175="","",IFERROR(INDEX(INV_NAME,MATCH(B175,INV_ID,0)),"CHECK: Supplier ID not found"))</f>
        <v/>
      </c>
      <c r="D175" s="34"/>
      <c r="E175" s="34"/>
      <c r="F175" s="34"/>
      <c r="G175" s="34"/>
      <c r="H175" s="34"/>
      <c r="I175" s="34"/>
      <c r="J175" s="50"/>
      <c r="K175" s="50"/>
      <c r="L175" s="52" t="str">
        <f aca="false">IF(A175="","",IF(AND(ISNUMBER(J175),ISNUMBER(K175),J175&gt;=1,J175&lt;=5,K175&gt;=1,K175&lt;=5),J175*K175,"Incomplete"))</f>
        <v/>
      </c>
      <c r="M175" s="52" t="str">
        <f aca="false">IF(A175="","",IF(ISNUMBER(L175),LOOKUP(L175,BandMin,BandName),"Incomplete"))</f>
        <v/>
      </c>
      <c r="N175" s="34"/>
      <c r="O175" s="34"/>
      <c r="P175" s="50"/>
      <c r="Q175" s="50"/>
      <c r="R175" s="61" t="str">
        <f aca="false">IF(A175="","",IF(AND(ISNUMBER(P175),ISNUMBER(Q175),P175&gt;=1,P175&lt;=5,Q175&gt;=1,Q175&lt;=5),P175*Q175,"Incomplete"))</f>
        <v/>
      </c>
      <c r="S175" s="52" t="str">
        <f aca="false">IF(A175="","",IF(ISNUMBER(R175),LOOKUP(R175,BandMin,BandName),"Incomplete"))</f>
        <v/>
      </c>
      <c r="T175" s="34"/>
      <c r="U175" s="50"/>
      <c r="V175" s="50"/>
      <c r="W175" s="50"/>
      <c r="X175" s="52" t="str">
        <f aca="false">IF(A175="","",IF(AND(V175="",W175=""),"Not set",IF(AND(ISNUMBER(V175),ISNUMBER(W175),V175&gt;=1,V175&lt;=5,W175&gt;=1,W175&lt;=5),V175*W175,"Incomplete")))</f>
        <v/>
      </c>
      <c r="Y175" s="52" t="str">
        <f aca="false">IF(A175="","",IF(X175="Not set","Not set",IF(ISNUMBER(X175),LOOKUP(X175,BandMin,BandName),"Incomplete")))</f>
        <v/>
      </c>
      <c r="Z175" s="34"/>
      <c r="AA175" s="54" t="str">
        <f aca="false">IF(A175="","",IF(AppetiteThreshold="","Not configured",IF(NOT(ISNUMBER(R175)),"Cannot assess - residual incomplete",IF(MATCH(S175,BandName,0)&gt;=MATCH(AppetiteThreshold,BandName,0),"Above appetite - escalation required","Within appetite"))))</f>
        <v/>
      </c>
      <c r="AB175" s="50"/>
      <c r="AC175" s="54" t="str">
        <f aca="false">IF(A175="","",IF(AB175="","No decision referenced",IFERROR(INDEX(DEC_FINAL,MATCH(AB175,DEC_ID,0))&amp;" - "&amp;INDEX(DEC_CURR,MATCH(AB175,DEC_ID,0)),"CHECK: Decision ID not found")))</f>
        <v/>
      </c>
      <c r="AD175" s="54" t="str">
        <f aca="false">IF(A175="","",IF(COUNTIF(TRT_RISK,A175)=0,"No treatment recorded",COUNTIF(TRT_RISK,A175)&amp;" action(s); "&amp;COUNTIFS(TRT_RISK,A175,TRT_OPEN,"Open")&amp;" open; "&amp;COUNTIFS(TRT_RISK,A175,TRT_OVERDUE,"Overdue")&amp;" overdue"))</f>
        <v/>
      </c>
      <c r="AE175" s="51"/>
      <c r="AF175" s="51"/>
      <c r="AG175" s="54" t="str">
        <f aca="false">IF(A175="","",IF(AI175="","Complete","Incomplete: "&amp;AI175))</f>
        <v/>
      </c>
      <c r="AH175" s="54" t="str">
        <f aca="false">IF(A175="","",IF(COUNTIF(RSK_ID,A175)&gt;1,"CHECK: duplicate ID",IF(B175="","CHECK: Supplier ID missing",IF(COUNTIF(INV_ID,B175)=0,"CHECK: Supplier ID not in inventory",IF(AND(ISNUMBER(R175),ISNUMBER(L175),R175&gt;L175),"CHECK: residual score exceeds inherent - confirm",IF(AND(ISNUMBER(AF175),AF175&lt;AsOf),"Review overdue (administrative)","OK"))))))</f>
        <v/>
      </c>
      <c r="AI175" s="52" t="str">
        <f aca="false">IF(A175="","",IF(I175="","risk owner; ","")&amp;IF(OR(J175="",K175=""),"inherent rating; ","")&amp;IF(N175="","inherent rationale; ","")&amp;IF(OR(P175="",Q175=""),"residual rating; ","")&amp;IF(AND(OR(P175&lt;&gt;"",Q175&lt;&gt;""),T175=""),"residual rationale; ","")&amp;IF(AND(OR(P175&lt;&gt;"",Q175&lt;&gt;""),U175=""),"assessment confidence; ","")&amp;IF(AE175="","assessment date; ",""))</f>
        <v/>
      </c>
      <c r="AJ175" s="52" t="str">
        <f aca="false">IF(OR(A175="",B175=""),"",IF(B175=RptSup,B175&amp;"|"&amp;COUNTIF($B$7:B175,B175),""))</f>
        <v/>
      </c>
    </row>
    <row r="176" customFormat="false" ht="15" hidden="false" customHeight="false" outlineLevel="0" collapsed="false">
      <c r="A176" s="50"/>
      <c r="B176" s="50"/>
      <c r="C176" s="59" t="str">
        <f aca="false">IF(B176="","",IFERROR(INDEX(INV_NAME,MATCH(B176,INV_ID,0)),"CHECK: Supplier ID not found"))</f>
        <v/>
      </c>
      <c r="D176" s="34"/>
      <c r="E176" s="34"/>
      <c r="F176" s="34"/>
      <c r="G176" s="34"/>
      <c r="H176" s="34"/>
      <c r="I176" s="34"/>
      <c r="J176" s="50"/>
      <c r="K176" s="50"/>
      <c r="L176" s="52" t="str">
        <f aca="false">IF(A176="","",IF(AND(ISNUMBER(J176),ISNUMBER(K176),J176&gt;=1,J176&lt;=5,K176&gt;=1,K176&lt;=5),J176*K176,"Incomplete"))</f>
        <v/>
      </c>
      <c r="M176" s="52" t="str">
        <f aca="false">IF(A176="","",IF(ISNUMBER(L176),LOOKUP(L176,BandMin,BandName),"Incomplete"))</f>
        <v/>
      </c>
      <c r="N176" s="34"/>
      <c r="O176" s="34"/>
      <c r="P176" s="50"/>
      <c r="Q176" s="50"/>
      <c r="R176" s="61" t="str">
        <f aca="false">IF(A176="","",IF(AND(ISNUMBER(P176),ISNUMBER(Q176),P176&gt;=1,P176&lt;=5,Q176&gt;=1,Q176&lt;=5),P176*Q176,"Incomplete"))</f>
        <v/>
      </c>
      <c r="S176" s="52" t="str">
        <f aca="false">IF(A176="","",IF(ISNUMBER(R176),LOOKUP(R176,BandMin,BandName),"Incomplete"))</f>
        <v/>
      </c>
      <c r="T176" s="34"/>
      <c r="U176" s="50"/>
      <c r="V176" s="50"/>
      <c r="W176" s="50"/>
      <c r="X176" s="52" t="str">
        <f aca="false">IF(A176="","",IF(AND(V176="",W176=""),"Not set",IF(AND(ISNUMBER(V176),ISNUMBER(W176),V176&gt;=1,V176&lt;=5,W176&gt;=1,W176&lt;=5),V176*W176,"Incomplete")))</f>
        <v/>
      </c>
      <c r="Y176" s="52" t="str">
        <f aca="false">IF(A176="","",IF(X176="Not set","Not set",IF(ISNUMBER(X176),LOOKUP(X176,BandMin,BandName),"Incomplete")))</f>
        <v/>
      </c>
      <c r="Z176" s="34"/>
      <c r="AA176" s="54" t="str">
        <f aca="false">IF(A176="","",IF(AppetiteThreshold="","Not configured",IF(NOT(ISNUMBER(R176)),"Cannot assess - residual incomplete",IF(MATCH(S176,BandName,0)&gt;=MATCH(AppetiteThreshold,BandName,0),"Above appetite - escalation required","Within appetite"))))</f>
        <v/>
      </c>
      <c r="AB176" s="50"/>
      <c r="AC176" s="54" t="str">
        <f aca="false">IF(A176="","",IF(AB176="","No decision referenced",IFERROR(INDEX(DEC_FINAL,MATCH(AB176,DEC_ID,0))&amp;" - "&amp;INDEX(DEC_CURR,MATCH(AB176,DEC_ID,0)),"CHECK: Decision ID not found")))</f>
        <v/>
      </c>
      <c r="AD176" s="54" t="str">
        <f aca="false">IF(A176="","",IF(COUNTIF(TRT_RISK,A176)=0,"No treatment recorded",COUNTIF(TRT_RISK,A176)&amp;" action(s); "&amp;COUNTIFS(TRT_RISK,A176,TRT_OPEN,"Open")&amp;" open; "&amp;COUNTIFS(TRT_RISK,A176,TRT_OVERDUE,"Overdue")&amp;" overdue"))</f>
        <v/>
      </c>
      <c r="AE176" s="51"/>
      <c r="AF176" s="51"/>
      <c r="AG176" s="54" t="str">
        <f aca="false">IF(A176="","",IF(AI176="","Complete","Incomplete: "&amp;AI176))</f>
        <v/>
      </c>
      <c r="AH176" s="54" t="str">
        <f aca="false">IF(A176="","",IF(COUNTIF(RSK_ID,A176)&gt;1,"CHECK: duplicate ID",IF(B176="","CHECK: Supplier ID missing",IF(COUNTIF(INV_ID,B176)=0,"CHECK: Supplier ID not in inventory",IF(AND(ISNUMBER(R176),ISNUMBER(L176),R176&gt;L176),"CHECK: residual score exceeds inherent - confirm",IF(AND(ISNUMBER(AF176),AF176&lt;AsOf),"Review overdue (administrative)","OK"))))))</f>
        <v/>
      </c>
      <c r="AI176" s="52" t="str">
        <f aca="false">IF(A176="","",IF(I176="","risk owner; ","")&amp;IF(OR(J176="",K176=""),"inherent rating; ","")&amp;IF(N176="","inherent rationale; ","")&amp;IF(OR(P176="",Q176=""),"residual rating; ","")&amp;IF(AND(OR(P176&lt;&gt;"",Q176&lt;&gt;""),T176=""),"residual rationale; ","")&amp;IF(AND(OR(P176&lt;&gt;"",Q176&lt;&gt;""),U176=""),"assessment confidence; ","")&amp;IF(AE176="","assessment date; ",""))</f>
        <v/>
      </c>
      <c r="AJ176" s="52" t="str">
        <f aca="false">IF(OR(A176="",B176=""),"",IF(B176=RptSup,B176&amp;"|"&amp;COUNTIF($B$7:B176,B176),""))</f>
        <v/>
      </c>
    </row>
    <row r="177" customFormat="false" ht="15" hidden="false" customHeight="false" outlineLevel="0" collapsed="false">
      <c r="A177" s="50"/>
      <c r="B177" s="50"/>
      <c r="C177" s="59" t="str">
        <f aca="false">IF(B177="","",IFERROR(INDEX(INV_NAME,MATCH(B177,INV_ID,0)),"CHECK: Supplier ID not found"))</f>
        <v/>
      </c>
      <c r="D177" s="34"/>
      <c r="E177" s="34"/>
      <c r="F177" s="34"/>
      <c r="G177" s="34"/>
      <c r="H177" s="34"/>
      <c r="I177" s="34"/>
      <c r="J177" s="50"/>
      <c r="K177" s="50"/>
      <c r="L177" s="52" t="str">
        <f aca="false">IF(A177="","",IF(AND(ISNUMBER(J177),ISNUMBER(K177),J177&gt;=1,J177&lt;=5,K177&gt;=1,K177&lt;=5),J177*K177,"Incomplete"))</f>
        <v/>
      </c>
      <c r="M177" s="52" t="str">
        <f aca="false">IF(A177="","",IF(ISNUMBER(L177),LOOKUP(L177,BandMin,BandName),"Incomplete"))</f>
        <v/>
      </c>
      <c r="N177" s="34"/>
      <c r="O177" s="34"/>
      <c r="P177" s="50"/>
      <c r="Q177" s="50"/>
      <c r="R177" s="61" t="str">
        <f aca="false">IF(A177="","",IF(AND(ISNUMBER(P177),ISNUMBER(Q177),P177&gt;=1,P177&lt;=5,Q177&gt;=1,Q177&lt;=5),P177*Q177,"Incomplete"))</f>
        <v/>
      </c>
      <c r="S177" s="52" t="str">
        <f aca="false">IF(A177="","",IF(ISNUMBER(R177),LOOKUP(R177,BandMin,BandName),"Incomplete"))</f>
        <v/>
      </c>
      <c r="T177" s="34"/>
      <c r="U177" s="50"/>
      <c r="V177" s="50"/>
      <c r="W177" s="50"/>
      <c r="X177" s="52" t="str">
        <f aca="false">IF(A177="","",IF(AND(V177="",W177=""),"Not set",IF(AND(ISNUMBER(V177),ISNUMBER(W177),V177&gt;=1,V177&lt;=5,W177&gt;=1,W177&lt;=5),V177*W177,"Incomplete")))</f>
        <v/>
      </c>
      <c r="Y177" s="52" t="str">
        <f aca="false">IF(A177="","",IF(X177="Not set","Not set",IF(ISNUMBER(X177),LOOKUP(X177,BandMin,BandName),"Incomplete")))</f>
        <v/>
      </c>
      <c r="Z177" s="34"/>
      <c r="AA177" s="54" t="str">
        <f aca="false">IF(A177="","",IF(AppetiteThreshold="","Not configured",IF(NOT(ISNUMBER(R177)),"Cannot assess - residual incomplete",IF(MATCH(S177,BandName,0)&gt;=MATCH(AppetiteThreshold,BandName,0),"Above appetite - escalation required","Within appetite"))))</f>
        <v/>
      </c>
      <c r="AB177" s="50"/>
      <c r="AC177" s="54" t="str">
        <f aca="false">IF(A177="","",IF(AB177="","No decision referenced",IFERROR(INDEX(DEC_FINAL,MATCH(AB177,DEC_ID,0))&amp;" - "&amp;INDEX(DEC_CURR,MATCH(AB177,DEC_ID,0)),"CHECK: Decision ID not found")))</f>
        <v/>
      </c>
      <c r="AD177" s="54" t="str">
        <f aca="false">IF(A177="","",IF(COUNTIF(TRT_RISK,A177)=0,"No treatment recorded",COUNTIF(TRT_RISK,A177)&amp;" action(s); "&amp;COUNTIFS(TRT_RISK,A177,TRT_OPEN,"Open")&amp;" open; "&amp;COUNTIFS(TRT_RISK,A177,TRT_OVERDUE,"Overdue")&amp;" overdue"))</f>
        <v/>
      </c>
      <c r="AE177" s="51"/>
      <c r="AF177" s="51"/>
      <c r="AG177" s="54" t="str">
        <f aca="false">IF(A177="","",IF(AI177="","Complete","Incomplete: "&amp;AI177))</f>
        <v/>
      </c>
      <c r="AH177" s="54" t="str">
        <f aca="false">IF(A177="","",IF(COUNTIF(RSK_ID,A177)&gt;1,"CHECK: duplicate ID",IF(B177="","CHECK: Supplier ID missing",IF(COUNTIF(INV_ID,B177)=0,"CHECK: Supplier ID not in inventory",IF(AND(ISNUMBER(R177),ISNUMBER(L177),R177&gt;L177),"CHECK: residual score exceeds inherent - confirm",IF(AND(ISNUMBER(AF177),AF177&lt;AsOf),"Review overdue (administrative)","OK"))))))</f>
        <v/>
      </c>
      <c r="AI177" s="52" t="str">
        <f aca="false">IF(A177="","",IF(I177="","risk owner; ","")&amp;IF(OR(J177="",K177=""),"inherent rating; ","")&amp;IF(N177="","inherent rationale; ","")&amp;IF(OR(P177="",Q177=""),"residual rating; ","")&amp;IF(AND(OR(P177&lt;&gt;"",Q177&lt;&gt;""),T177=""),"residual rationale; ","")&amp;IF(AND(OR(P177&lt;&gt;"",Q177&lt;&gt;""),U177=""),"assessment confidence; ","")&amp;IF(AE177="","assessment date; ",""))</f>
        <v/>
      </c>
      <c r="AJ177" s="52" t="str">
        <f aca="false">IF(OR(A177="",B177=""),"",IF(B177=RptSup,B177&amp;"|"&amp;COUNTIF($B$7:B177,B177),""))</f>
        <v/>
      </c>
    </row>
    <row r="178" customFormat="false" ht="15" hidden="false" customHeight="false" outlineLevel="0" collapsed="false">
      <c r="A178" s="50"/>
      <c r="B178" s="50"/>
      <c r="C178" s="59" t="str">
        <f aca="false">IF(B178="","",IFERROR(INDEX(INV_NAME,MATCH(B178,INV_ID,0)),"CHECK: Supplier ID not found"))</f>
        <v/>
      </c>
      <c r="D178" s="34"/>
      <c r="E178" s="34"/>
      <c r="F178" s="34"/>
      <c r="G178" s="34"/>
      <c r="H178" s="34"/>
      <c r="I178" s="34"/>
      <c r="J178" s="50"/>
      <c r="K178" s="50"/>
      <c r="L178" s="52" t="str">
        <f aca="false">IF(A178="","",IF(AND(ISNUMBER(J178),ISNUMBER(K178),J178&gt;=1,J178&lt;=5,K178&gt;=1,K178&lt;=5),J178*K178,"Incomplete"))</f>
        <v/>
      </c>
      <c r="M178" s="52" t="str">
        <f aca="false">IF(A178="","",IF(ISNUMBER(L178),LOOKUP(L178,BandMin,BandName),"Incomplete"))</f>
        <v/>
      </c>
      <c r="N178" s="34"/>
      <c r="O178" s="34"/>
      <c r="P178" s="50"/>
      <c r="Q178" s="50"/>
      <c r="R178" s="61" t="str">
        <f aca="false">IF(A178="","",IF(AND(ISNUMBER(P178),ISNUMBER(Q178),P178&gt;=1,P178&lt;=5,Q178&gt;=1,Q178&lt;=5),P178*Q178,"Incomplete"))</f>
        <v/>
      </c>
      <c r="S178" s="52" t="str">
        <f aca="false">IF(A178="","",IF(ISNUMBER(R178),LOOKUP(R178,BandMin,BandName),"Incomplete"))</f>
        <v/>
      </c>
      <c r="T178" s="34"/>
      <c r="U178" s="50"/>
      <c r="V178" s="50"/>
      <c r="W178" s="50"/>
      <c r="X178" s="52" t="str">
        <f aca="false">IF(A178="","",IF(AND(V178="",W178=""),"Not set",IF(AND(ISNUMBER(V178),ISNUMBER(W178),V178&gt;=1,V178&lt;=5,W178&gt;=1,W178&lt;=5),V178*W178,"Incomplete")))</f>
        <v/>
      </c>
      <c r="Y178" s="52" t="str">
        <f aca="false">IF(A178="","",IF(X178="Not set","Not set",IF(ISNUMBER(X178),LOOKUP(X178,BandMin,BandName),"Incomplete")))</f>
        <v/>
      </c>
      <c r="Z178" s="34"/>
      <c r="AA178" s="54" t="str">
        <f aca="false">IF(A178="","",IF(AppetiteThreshold="","Not configured",IF(NOT(ISNUMBER(R178)),"Cannot assess - residual incomplete",IF(MATCH(S178,BandName,0)&gt;=MATCH(AppetiteThreshold,BandName,0),"Above appetite - escalation required","Within appetite"))))</f>
        <v/>
      </c>
      <c r="AB178" s="50"/>
      <c r="AC178" s="54" t="str">
        <f aca="false">IF(A178="","",IF(AB178="","No decision referenced",IFERROR(INDEX(DEC_FINAL,MATCH(AB178,DEC_ID,0))&amp;" - "&amp;INDEX(DEC_CURR,MATCH(AB178,DEC_ID,0)),"CHECK: Decision ID not found")))</f>
        <v/>
      </c>
      <c r="AD178" s="54" t="str">
        <f aca="false">IF(A178="","",IF(COUNTIF(TRT_RISK,A178)=0,"No treatment recorded",COUNTIF(TRT_RISK,A178)&amp;" action(s); "&amp;COUNTIFS(TRT_RISK,A178,TRT_OPEN,"Open")&amp;" open; "&amp;COUNTIFS(TRT_RISK,A178,TRT_OVERDUE,"Overdue")&amp;" overdue"))</f>
        <v/>
      </c>
      <c r="AE178" s="51"/>
      <c r="AF178" s="51"/>
      <c r="AG178" s="54" t="str">
        <f aca="false">IF(A178="","",IF(AI178="","Complete","Incomplete: "&amp;AI178))</f>
        <v/>
      </c>
      <c r="AH178" s="54" t="str">
        <f aca="false">IF(A178="","",IF(COUNTIF(RSK_ID,A178)&gt;1,"CHECK: duplicate ID",IF(B178="","CHECK: Supplier ID missing",IF(COUNTIF(INV_ID,B178)=0,"CHECK: Supplier ID not in inventory",IF(AND(ISNUMBER(R178),ISNUMBER(L178),R178&gt;L178),"CHECK: residual score exceeds inherent - confirm",IF(AND(ISNUMBER(AF178),AF178&lt;AsOf),"Review overdue (administrative)","OK"))))))</f>
        <v/>
      </c>
      <c r="AI178" s="52" t="str">
        <f aca="false">IF(A178="","",IF(I178="","risk owner; ","")&amp;IF(OR(J178="",K178=""),"inherent rating; ","")&amp;IF(N178="","inherent rationale; ","")&amp;IF(OR(P178="",Q178=""),"residual rating; ","")&amp;IF(AND(OR(P178&lt;&gt;"",Q178&lt;&gt;""),T178=""),"residual rationale; ","")&amp;IF(AND(OR(P178&lt;&gt;"",Q178&lt;&gt;""),U178=""),"assessment confidence; ","")&amp;IF(AE178="","assessment date; ",""))</f>
        <v/>
      </c>
      <c r="AJ178" s="52" t="str">
        <f aca="false">IF(OR(A178="",B178=""),"",IF(B178=RptSup,B178&amp;"|"&amp;COUNTIF($B$7:B178,B178),""))</f>
        <v/>
      </c>
    </row>
    <row r="179" customFormat="false" ht="15" hidden="false" customHeight="false" outlineLevel="0" collapsed="false">
      <c r="A179" s="50"/>
      <c r="B179" s="50"/>
      <c r="C179" s="59" t="str">
        <f aca="false">IF(B179="","",IFERROR(INDEX(INV_NAME,MATCH(B179,INV_ID,0)),"CHECK: Supplier ID not found"))</f>
        <v/>
      </c>
      <c r="D179" s="34"/>
      <c r="E179" s="34"/>
      <c r="F179" s="34"/>
      <c r="G179" s="34"/>
      <c r="H179" s="34"/>
      <c r="I179" s="34"/>
      <c r="J179" s="50"/>
      <c r="K179" s="50"/>
      <c r="L179" s="52" t="str">
        <f aca="false">IF(A179="","",IF(AND(ISNUMBER(J179),ISNUMBER(K179),J179&gt;=1,J179&lt;=5,K179&gt;=1,K179&lt;=5),J179*K179,"Incomplete"))</f>
        <v/>
      </c>
      <c r="M179" s="52" t="str">
        <f aca="false">IF(A179="","",IF(ISNUMBER(L179),LOOKUP(L179,BandMin,BandName),"Incomplete"))</f>
        <v/>
      </c>
      <c r="N179" s="34"/>
      <c r="O179" s="34"/>
      <c r="P179" s="50"/>
      <c r="Q179" s="50"/>
      <c r="R179" s="61" t="str">
        <f aca="false">IF(A179="","",IF(AND(ISNUMBER(P179),ISNUMBER(Q179),P179&gt;=1,P179&lt;=5,Q179&gt;=1,Q179&lt;=5),P179*Q179,"Incomplete"))</f>
        <v/>
      </c>
      <c r="S179" s="52" t="str">
        <f aca="false">IF(A179="","",IF(ISNUMBER(R179),LOOKUP(R179,BandMin,BandName),"Incomplete"))</f>
        <v/>
      </c>
      <c r="T179" s="34"/>
      <c r="U179" s="50"/>
      <c r="V179" s="50"/>
      <c r="W179" s="50"/>
      <c r="X179" s="52" t="str">
        <f aca="false">IF(A179="","",IF(AND(V179="",W179=""),"Not set",IF(AND(ISNUMBER(V179),ISNUMBER(W179),V179&gt;=1,V179&lt;=5,W179&gt;=1,W179&lt;=5),V179*W179,"Incomplete")))</f>
        <v/>
      </c>
      <c r="Y179" s="52" t="str">
        <f aca="false">IF(A179="","",IF(X179="Not set","Not set",IF(ISNUMBER(X179),LOOKUP(X179,BandMin,BandName),"Incomplete")))</f>
        <v/>
      </c>
      <c r="Z179" s="34"/>
      <c r="AA179" s="54" t="str">
        <f aca="false">IF(A179="","",IF(AppetiteThreshold="","Not configured",IF(NOT(ISNUMBER(R179)),"Cannot assess - residual incomplete",IF(MATCH(S179,BandName,0)&gt;=MATCH(AppetiteThreshold,BandName,0),"Above appetite - escalation required","Within appetite"))))</f>
        <v/>
      </c>
      <c r="AB179" s="50"/>
      <c r="AC179" s="54" t="str">
        <f aca="false">IF(A179="","",IF(AB179="","No decision referenced",IFERROR(INDEX(DEC_FINAL,MATCH(AB179,DEC_ID,0))&amp;" - "&amp;INDEX(DEC_CURR,MATCH(AB179,DEC_ID,0)),"CHECK: Decision ID not found")))</f>
        <v/>
      </c>
      <c r="AD179" s="54" t="str">
        <f aca="false">IF(A179="","",IF(COUNTIF(TRT_RISK,A179)=0,"No treatment recorded",COUNTIF(TRT_RISK,A179)&amp;" action(s); "&amp;COUNTIFS(TRT_RISK,A179,TRT_OPEN,"Open")&amp;" open; "&amp;COUNTIFS(TRT_RISK,A179,TRT_OVERDUE,"Overdue")&amp;" overdue"))</f>
        <v/>
      </c>
      <c r="AE179" s="51"/>
      <c r="AF179" s="51"/>
      <c r="AG179" s="54" t="str">
        <f aca="false">IF(A179="","",IF(AI179="","Complete","Incomplete: "&amp;AI179))</f>
        <v/>
      </c>
      <c r="AH179" s="54" t="str">
        <f aca="false">IF(A179="","",IF(COUNTIF(RSK_ID,A179)&gt;1,"CHECK: duplicate ID",IF(B179="","CHECK: Supplier ID missing",IF(COUNTIF(INV_ID,B179)=0,"CHECK: Supplier ID not in inventory",IF(AND(ISNUMBER(R179),ISNUMBER(L179),R179&gt;L179),"CHECK: residual score exceeds inherent - confirm",IF(AND(ISNUMBER(AF179),AF179&lt;AsOf),"Review overdue (administrative)","OK"))))))</f>
        <v/>
      </c>
      <c r="AI179" s="52" t="str">
        <f aca="false">IF(A179="","",IF(I179="","risk owner; ","")&amp;IF(OR(J179="",K179=""),"inherent rating; ","")&amp;IF(N179="","inherent rationale; ","")&amp;IF(OR(P179="",Q179=""),"residual rating; ","")&amp;IF(AND(OR(P179&lt;&gt;"",Q179&lt;&gt;""),T179=""),"residual rationale; ","")&amp;IF(AND(OR(P179&lt;&gt;"",Q179&lt;&gt;""),U179=""),"assessment confidence; ","")&amp;IF(AE179="","assessment date; ",""))</f>
        <v/>
      </c>
      <c r="AJ179" s="52" t="str">
        <f aca="false">IF(OR(A179="",B179=""),"",IF(B179=RptSup,B179&amp;"|"&amp;COUNTIF($B$7:B179,B179),""))</f>
        <v/>
      </c>
    </row>
    <row r="180" customFormat="false" ht="15" hidden="false" customHeight="false" outlineLevel="0" collapsed="false">
      <c r="A180" s="50"/>
      <c r="B180" s="50"/>
      <c r="C180" s="59" t="str">
        <f aca="false">IF(B180="","",IFERROR(INDEX(INV_NAME,MATCH(B180,INV_ID,0)),"CHECK: Supplier ID not found"))</f>
        <v/>
      </c>
      <c r="D180" s="34"/>
      <c r="E180" s="34"/>
      <c r="F180" s="34"/>
      <c r="G180" s="34"/>
      <c r="H180" s="34"/>
      <c r="I180" s="34"/>
      <c r="J180" s="50"/>
      <c r="K180" s="50"/>
      <c r="L180" s="52" t="str">
        <f aca="false">IF(A180="","",IF(AND(ISNUMBER(J180),ISNUMBER(K180),J180&gt;=1,J180&lt;=5,K180&gt;=1,K180&lt;=5),J180*K180,"Incomplete"))</f>
        <v/>
      </c>
      <c r="M180" s="52" t="str">
        <f aca="false">IF(A180="","",IF(ISNUMBER(L180),LOOKUP(L180,BandMin,BandName),"Incomplete"))</f>
        <v/>
      </c>
      <c r="N180" s="34"/>
      <c r="O180" s="34"/>
      <c r="P180" s="50"/>
      <c r="Q180" s="50"/>
      <c r="R180" s="61" t="str">
        <f aca="false">IF(A180="","",IF(AND(ISNUMBER(P180),ISNUMBER(Q180),P180&gt;=1,P180&lt;=5,Q180&gt;=1,Q180&lt;=5),P180*Q180,"Incomplete"))</f>
        <v/>
      </c>
      <c r="S180" s="52" t="str">
        <f aca="false">IF(A180="","",IF(ISNUMBER(R180),LOOKUP(R180,BandMin,BandName),"Incomplete"))</f>
        <v/>
      </c>
      <c r="T180" s="34"/>
      <c r="U180" s="50"/>
      <c r="V180" s="50"/>
      <c r="W180" s="50"/>
      <c r="X180" s="52" t="str">
        <f aca="false">IF(A180="","",IF(AND(V180="",W180=""),"Not set",IF(AND(ISNUMBER(V180),ISNUMBER(W180),V180&gt;=1,V180&lt;=5,W180&gt;=1,W180&lt;=5),V180*W180,"Incomplete")))</f>
        <v/>
      </c>
      <c r="Y180" s="52" t="str">
        <f aca="false">IF(A180="","",IF(X180="Not set","Not set",IF(ISNUMBER(X180),LOOKUP(X180,BandMin,BandName),"Incomplete")))</f>
        <v/>
      </c>
      <c r="Z180" s="34"/>
      <c r="AA180" s="54" t="str">
        <f aca="false">IF(A180="","",IF(AppetiteThreshold="","Not configured",IF(NOT(ISNUMBER(R180)),"Cannot assess - residual incomplete",IF(MATCH(S180,BandName,0)&gt;=MATCH(AppetiteThreshold,BandName,0),"Above appetite - escalation required","Within appetite"))))</f>
        <v/>
      </c>
      <c r="AB180" s="50"/>
      <c r="AC180" s="54" t="str">
        <f aca="false">IF(A180="","",IF(AB180="","No decision referenced",IFERROR(INDEX(DEC_FINAL,MATCH(AB180,DEC_ID,0))&amp;" - "&amp;INDEX(DEC_CURR,MATCH(AB180,DEC_ID,0)),"CHECK: Decision ID not found")))</f>
        <v/>
      </c>
      <c r="AD180" s="54" t="str">
        <f aca="false">IF(A180="","",IF(COUNTIF(TRT_RISK,A180)=0,"No treatment recorded",COUNTIF(TRT_RISK,A180)&amp;" action(s); "&amp;COUNTIFS(TRT_RISK,A180,TRT_OPEN,"Open")&amp;" open; "&amp;COUNTIFS(TRT_RISK,A180,TRT_OVERDUE,"Overdue")&amp;" overdue"))</f>
        <v/>
      </c>
      <c r="AE180" s="51"/>
      <c r="AF180" s="51"/>
      <c r="AG180" s="54" t="str">
        <f aca="false">IF(A180="","",IF(AI180="","Complete","Incomplete: "&amp;AI180))</f>
        <v/>
      </c>
      <c r="AH180" s="54" t="str">
        <f aca="false">IF(A180="","",IF(COUNTIF(RSK_ID,A180)&gt;1,"CHECK: duplicate ID",IF(B180="","CHECK: Supplier ID missing",IF(COUNTIF(INV_ID,B180)=0,"CHECK: Supplier ID not in inventory",IF(AND(ISNUMBER(R180),ISNUMBER(L180),R180&gt;L180),"CHECK: residual score exceeds inherent - confirm",IF(AND(ISNUMBER(AF180),AF180&lt;AsOf),"Review overdue (administrative)","OK"))))))</f>
        <v/>
      </c>
      <c r="AI180" s="52" t="str">
        <f aca="false">IF(A180="","",IF(I180="","risk owner; ","")&amp;IF(OR(J180="",K180=""),"inherent rating; ","")&amp;IF(N180="","inherent rationale; ","")&amp;IF(OR(P180="",Q180=""),"residual rating; ","")&amp;IF(AND(OR(P180&lt;&gt;"",Q180&lt;&gt;""),T180=""),"residual rationale; ","")&amp;IF(AND(OR(P180&lt;&gt;"",Q180&lt;&gt;""),U180=""),"assessment confidence; ","")&amp;IF(AE180="","assessment date; ",""))</f>
        <v/>
      </c>
      <c r="AJ180" s="52" t="str">
        <f aca="false">IF(OR(A180="",B180=""),"",IF(B180=RptSup,B180&amp;"|"&amp;COUNTIF($B$7:B180,B180),""))</f>
        <v/>
      </c>
    </row>
    <row r="181" customFormat="false" ht="15" hidden="false" customHeight="false" outlineLevel="0" collapsed="false">
      <c r="A181" s="50"/>
      <c r="B181" s="50"/>
      <c r="C181" s="59" t="str">
        <f aca="false">IF(B181="","",IFERROR(INDEX(INV_NAME,MATCH(B181,INV_ID,0)),"CHECK: Supplier ID not found"))</f>
        <v/>
      </c>
      <c r="D181" s="34"/>
      <c r="E181" s="34"/>
      <c r="F181" s="34"/>
      <c r="G181" s="34"/>
      <c r="H181" s="34"/>
      <c r="I181" s="34"/>
      <c r="J181" s="50"/>
      <c r="K181" s="50"/>
      <c r="L181" s="52" t="str">
        <f aca="false">IF(A181="","",IF(AND(ISNUMBER(J181),ISNUMBER(K181),J181&gt;=1,J181&lt;=5,K181&gt;=1,K181&lt;=5),J181*K181,"Incomplete"))</f>
        <v/>
      </c>
      <c r="M181" s="52" t="str">
        <f aca="false">IF(A181="","",IF(ISNUMBER(L181),LOOKUP(L181,BandMin,BandName),"Incomplete"))</f>
        <v/>
      </c>
      <c r="N181" s="34"/>
      <c r="O181" s="34"/>
      <c r="P181" s="50"/>
      <c r="Q181" s="50"/>
      <c r="R181" s="61" t="str">
        <f aca="false">IF(A181="","",IF(AND(ISNUMBER(P181),ISNUMBER(Q181),P181&gt;=1,P181&lt;=5,Q181&gt;=1,Q181&lt;=5),P181*Q181,"Incomplete"))</f>
        <v/>
      </c>
      <c r="S181" s="52" t="str">
        <f aca="false">IF(A181="","",IF(ISNUMBER(R181),LOOKUP(R181,BandMin,BandName),"Incomplete"))</f>
        <v/>
      </c>
      <c r="T181" s="34"/>
      <c r="U181" s="50"/>
      <c r="V181" s="50"/>
      <c r="W181" s="50"/>
      <c r="X181" s="52" t="str">
        <f aca="false">IF(A181="","",IF(AND(V181="",W181=""),"Not set",IF(AND(ISNUMBER(V181),ISNUMBER(W181),V181&gt;=1,V181&lt;=5,W181&gt;=1,W181&lt;=5),V181*W181,"Incomplete")))</f>
        <v/>
      </c>
      <c r="Y181" s="52" t="str">
        <f aca="false">IF(A181="","",IF(X181="Not set","Not set",IF(ISNUMBER(X181),LOOKUP(X181,BandMin,BandName),"Incomplete")))</f>
        <v/>
      </c>
      <c r="Z181" s="34"/>
      <c r="AA181" s="54" t="str">
        <f aca="false">IF(A181="","",IF(AppetiteThreshold="","Not configured",IF(NOT(ISNUMBER(R181)),"Cannot assess - residual incomplete",IF(MATCH(S181,BandName,0)&gt;=MATCH(AppetiteThreshold,BandName,0),"Above appetite - escalation required","Within appetite"))))</f>
        <v/>
      </c>
      <c r="AB181" s="50"/>
      <c r="AC181" s="54" t="str">
        <f aca="false">IF(A181="","",IF(AB181="","No decision referenced",IFERROR(INDEX(DEC_FINAL,MATCH(AB181,DEC_ID,0))&amp;" - "&amp;INDEX(DEC_CURR,MATCH(AB181,DEC_ID,0)),"CHECK: Decision ID not found")))</f>
        <v/>
      </c>
      <c r="AD181" s="54" t="str">
        <f aca="false">IF(A181="","",IF(COUNTIF(TRT_RISK,A181)=0,"No treatment recorded",COUNTIF(TRT_RISK,A181)&amp;" action(s); "&amp;COUNTIFS(TRT_RISK,A181,TRT_OPEN,"Open")&amp;" open; "&amp;COUNTIFS(TRT_RISK,A181,TRT_OVERDUE,"Overdue")&amp;" overdue"))</f>
        <v/>
      </c>
      <c r="AE181" s="51"/>
      <c r="AF181" s="51"/>
      <c r="AG181" s="54" t="str">
        <f aca="false">IF(A181="","",IF(AI181="","Complete","Incomplete: "&amp;AI181))</f>
        <v/>
      </c>
      <c r="AH181" s="54" t="str">
        <f aca="false">IF(A181="","",IF(COUNTIF(RSK_ID,A181)&gt;1,"CHECK: duplicate ID",IF(B181="","CHECK: Supplier ID missing",IF(COUNTIF(INV_ID,B181)=0,"CHECK: Supplier ID not in inventory",IF(AND(ISNUMBER(R181),ISNUMBER(L181),R181&gt;L181),"CHECK: residual score exceeds inherent - confirm",IF(AND(ISNUMBER(AF181),AF181&lt;AsOf),"Review overdue (administrative)","OK"))))))</f>
        <v/>
      </c>
      <c r="AI181" s="52" t="str">
        <f aca="false">IF(A181="","",IF(I181="","risk owner; ","")&amp;IF(OR(J181="",K181=""),"inherent rating; ","")&amp;IF(N181="","inherent rationale; ","")&amp;IF(OR(P181="",Q181=""),"residual rating; ","")&amp;IF(AND(OR(P181&lt;&gt;"",Q181&lt;&gt;""),T181=""),"residual rationale; ","")&amp;IF(AND(OR(P181&lt;&gt;"",Q181&lt;&gt;""),U181=""),"assessment confidence; ","")&amp;IF(AE181="","assessment date; ",""))</f>
        <v/>
      </c>
      <c r="AJ181" s="52" t="str">
        <f aca="false">IF(OR(A181="",B181=""),"",IF(B181=RptSup,B181&amp;"|"&amp;COUNTIF($B$7:B181,B181),""))</f>
        <v/>
      </c>
    </row>
    <row r="182" customFormat="false" ht="15" hidden="false" customHeight="false" outlineLevel="0" collapsed="false">
      <c r="A182" s="50"/>
      <c r="B182" s="50"/>
      <c r="C182" s="59" t="str">
        <f aca="false">IF(B182="","",IFERROR(INDEX(INV_NAME,MATCH(B182,INV_ID,0)),"CHECK: Supplier ID not found"))</f>
        <v/>
      </c>
      <c r="D182" s="34"/>
      <c r="E182" s="34"/>
      <c r="F182" s="34"/>
      <c r="G182" s="34"/>
      <c r="H182" s="34"/>
      <c r="I182" s="34"/>
      <c r="J182" s="50"/>
      <c r="K182" s="50"/>
      <c r="L182" s="52" t="str">
        <f aca="false">IF(A182="","",IF(AND(ISNUMBER(J182),ISNUMBER(K182),J182&gt;=1,J182&lt;=5,K182&gt;=1,K182&lt;=5),J182*K182,"Incomplete"))</f>
        <v/>
      </c>
      <c r="M182" s="52" t="str">
        <f aca="false">IF(A182="","",IF(ISNUMBER(L182),LOOKUP(L182,BandMin,BandName),"Incomplete"))</f>
        <v/>
      </c>
      <c r="N182" s="34"/>
      <c r="O182" s="34"/>
      <c r="P182" s="50"/>
      <c r="Q182" s="50"/>
      <c r="R182" s="61" t="str">
        <f aca="false">IF(A182="","",IF(AND(ISNUMBER(P182),ISNUMBER(Q182),P182&gt;=1,P182&lt;=5,Q182&gt;=1,Q182&lt;=5),P182*Q182,"Incomplete"))</f>
        <v/>
      </c>
      <c r="S182" s="52" t="str">
        <f aca="false">IF(A182="","",IF(ISNUMBER(R182),LOOKUP(R182,BandMin,BandName),"Incomplete"))</f>
        <v/>
      </c>
      <c r="T182" s="34"/>
      <c r="U182" s="50"/>
      <c r="V182" s="50"/>
      <c r="W182" s="50"/>
      <c r="X182" s="52" t="str">
        <f aca="false">IF(A182="","",IF(AND(V182="",W182=""),"Not set",IF(AND(ISNUMBER(V182),ISNUMBER(W182),V182&gt;=1,V182&lt;=5,W182&gt;=1,W182&lt;=5),V182*W182,"Incomplete")))</f>
        <v/>
      </c>
      <c r="Y182" s="52" t="str">
        <f aca="false">IF(A182="","",IF(X182="Not set","Not set",IF(ISNUMBER(X182),LOOKUP(X182,BandMin,BandName),"Incomplete")))</f>
        <v/>
      </c>
      <c r="Z182" s="34"/>
      <c r="AA182" s="54" t="str">
        <f aca="false">IF(A182="","",IF(AppetiteThreshold="","Not configured",IF(NOT(ISNUMBER(R182)),"Cannot assess - residual incomplete",IF(MATCH(S182,BandName,0)&gt;=MATCH(AppetiteThreshold,BandName,0),"Above appetite - escalation required","Within appetite"))))</f>
        <v/>
      </c>
      <c r="AB182" s="50"/>
      <c r="AC182" s="54" t="str">
        <f aca="false">IF(A182="","",IF(AB182="","No decision referenced",IFERROR(INDEX(DEC_FINAL,MATCH(AB182,DEC_ID,0))&amp;" - "&amp;INDEX(DEC_CURR,MATCH(AB182,DEC_ID,0)),"CHECK: Decision ID not found")))</f>
        <v/>
      </c>
      <c r="AD182" s="54" t="str">
        <f aca="false">IF(A182="","",IF(COUNTIF(TRT_RISK,A182)=0,"No treatment recorded",COUNTIF(TRT_RISK,A182)&amp;" action(s); "&amp;COUNTIFS(TRT_RISK,A182,TRT_OPEN,"Open")&amp;" open; "&amp;COUNTIFS(TRT_RISK,A182,TRT_OVERDUE,"Overdue")&amp;" overdue"))</f>
        <v/>
      </c>
      <c r="AE182" s="51"/>
      <c r="AF182" s="51"/>
      <c r="AG182" s="54" t="str">
        <f aca="false">IF(A182="","",IF(AI182="","Complete","Incomplete: "&amp;AI182))</f>
        <v/>
      </c>
      <c r="AH182" s="54" t="str">
        <f aca="false">IF(A182="","",IF(COUNTIF(RSK_ID,A182)&gt;1,"CHECK: duplicate ID",IF(B182="","CHECK: Supplier ID missing",IF(COUNTIF(INV_ID,B182)=0,"CHECK: Supplier ID not in inventory",IF(AND(ISNUMBER(R182),ISNUMBER(L182),R182&gt;L182),"CHECK: residual score exceeds inherent - confirm",IF(AND(ISNUMBER(AF182),AF182&lt;AsOf),"Review overdue (administrative)","OK"))))))</f>
        <v/>
      </c>
      <c r="AI182" s="52" t="str">
        <f aca="false">IF(A182="","",IF(I182="","risk owner; ","")&amp;IF(OR(J182="",K182=""),"inherent rating; ","")&amp;IF(N182="","inherent rationale; ","")&amp;IF(OR(P182="",Q182=""),"residual rating; ","")&amp;IF(AND(OR(P182&lt;&gt;"",Q182&lt;&gt;""),T182=""),"residual rationale; ","")&amp;IF(AND(OR(P182&lt;&gt;"",Q182&lt;&gt;""),U182=""),"assessment confidence; ","")&amp;IF(AE182="","assessment date; ",""))</f>
        <v/>
      </c>
      <c r="AJ182" s="52" t="str">
        <f aca="false">IF(OR(A182="",B182=""),"",IF(B182=RptSup,B182&amp;"|"&amp;COUNTIF($B$7:B182,B182),""))</f>
        <v/>
      </c>
    </row>
    <row r="183" customFormat="false" ht="15" hidden="false" customHeight="false" outlineLevel="0" collapsed="false">
      <c r="A183" s="50"/>
      <c r="B183" s="50"/>
      <c r="C183" s="59" t="str">
        <f aca="false">IF(B183="","",IFERROR(INDEX(INV_NAME,MATCH(B183,INV_ID,0)),"CHECK: Supplier ID not found"))</f>
        <v/>
      </c>
      <c r="D183" s="34"/>
      <c r="E183" s="34"/>
      <c r="F183" s="34"/>
      <c r="G183" s="34"/>
      <c r="H183" s="34"/>
      <c r="I183" s="34"/>
      <c r="J183" s="50"/>
      <c r="K183" s="50"/>
      <c r="L183" s="52" t="str">
        <f aca="false">IF(A183="","",IF(AND(ISNUMBER(J183),ISNUMBER(K183),J183&gt;=1,J183&lt;=5,K183&gt;=1,K183&lt;=5),J183*K183,"Incomplete"))</f>
        <v/>
      </c>
      <c r="M183" s="52" t="str">
        <f aca="false">IF(A183="","",IF(ISNUMBER(L183),LOOKUP(L183,BandMin,BandName),"Incomplete"))</f>
        <v/>
      </c>
      <c r="N183" s="34"/>
      <c r="O183" s="34"/>
      <c r="P183" s="50"/>
      <c r="Q183" s="50"/>
      <c r="R183" s="61" t="str">
        <f aca="false">IF(A183="","",IF(AND(ISNUMBER(P183),ISNUMBER(Q183),P183&gt;=1,P183&lt;=5,Q183&gt;=1,Q183&lt;=5),P183*Q183,"Incomplete"))</f>
        <v/>
      </c>
      <c r="S183" s="52" t="str">
        <f aca="false">IF(A183="","",IF(ISNUMBER(R183),LOOKUP(R183,BandMin,BandName),"Incomplete"))</f>
        <v/>
      </c>
      <c r="T183" s="34"/>
      <c r="U183" s="50"/>
      <c r="V183" s="50"/>
      <c r="W183" s="50"/>
      <c r="X183" s="52" t="str">
        <f aca="false">IF(A183="","",IF(AND(V183="",W183=""),"Not set",IF(AND(ISNUMBER(V183),ISNUMBER(W183),V183&gt;=1,V183&lt;=5,W183&gt;=1,W183&lt;=5),V183*W183,"Incomplete")))</f>
        <v/>
      </c>
      <c r="Y183" s="52" t="str">
        <f aca="false">IF(A183="","",IF(X183="Not set","Not set",IF(ISNUMBER(X183),LOOKUP(X183,BandMin,BandName),"Incomplete")))</f>
        <v/>
      </c>
      <c r="Z183" s="34"/>
      <c r="AA183" s="54" t="str">
        <f aca="false">IF(A183="","",IF(AppetiteThreshold="","Not configured",IF(NOT(ISNUMBER(R183)),"Cannot assess - residual incomplete",IF(MATCH(S183,BandName,0)&gt;=MATCH(AppetiteThreshold,BandName,0),"Above appetite - escalation required","Within appetite"))))</f>
        <v/>
      </c>
      <c r="AB183" s="50"/>
      <c r="AC183" s="54" t="str">
        <f aca="false">IF(A183="","",IF(AB183="","No decision referenced",IFERROR(INDEX(DEC_FINAL,MATCH(AB183,DEC_ID,0))&amp;" - "&amp;INDEX(DEC_CURR,MATCH(AB183,DEC_ID,0)),"CHECK: Decision ID not found")))</f>
        <v/>
      </c>
      <c r="AD183" s="54" t="str">
        <f aca="false">IF(A183="","",IF(COUNTIF(TRT_RISK,A183)=0,"No treatment recorded",COUNTIF(TRT_RISK,A183)&amp;" action(s); "&amp;COUNTIFS(TRT_RISK,A183,TRT_OPEN,"Open")&amp;" open; "&amp;COUNTIFS(TRT_RISK,A183,TRT_OVERDUE,"Overdue")&amp;" overdue"))</f>
        <v/>
      </c>
      <c r="AE183" s="51"/>
      <c r="AF183" s="51"/>
      <c r="AG183" s="54" t="str">
        <f aca="false">IF(A183="","",IF(AI183="","Complete","Incomplete: "&amp;AI183))</f>
        <v/>
      </c>
      <c r="AH183" s="54" t="str">
        <f aca="false">IF(A183="","",IF(COUNTIF(RSK_ID,A183)&gt;1,"CHECK: duplicate ID",IF(B183="","CHECK: Supplier ID missing",IF(COUNTIF(INV_ID,B183)=0,"CHECK: Supplier ID not in inventory",IF(AND(ISNUMBER(R183),ISNUMBER(L183),R183&gt;L183),"CHECK: residual score exceeds inherent - confirm",IF(AND(ISNUMBER(AF183),AF183&lt;AsOf),"Review overdue (administrative)","OK"))))))</f>
        <v/>
      </c>
      <c r="AI183" s="52" t="str">
        <f aca="false">IF(A183="","",IF(I183="","risk owner; ","")&amp;IF(OR(J183="",K183=""),"inherent rating; ","")&amp;IF(N183="","inherent rationale; ","")&amp;IF(OR(P183="",Q183=""),"residual rating; ","")&amp;IF(AND(OR(P183&lt;&gt;"",Q183&lt;&gt;""),T183=""),"residual rationale; ","")&amp;IF(AND(OR(P183&lt;&gt;"",Q183&lt;&gt;""),U183=""),"assessment confidence; ","")&amp;IF(AE183="","assessment date; ",""))</f>
        <v/>
      </c>
      <c r="AJ183" s="52" t="str">
        <f aca="false">IF(OR(A183="",B183=""),"",IF(B183=RptSup,B183&amp;"|"&amp;COUNTIF($B$7:B183,B183),""))</f>
        <v/>
      </c>
    </row>
    <row r="184" customFormat="false" ht="15" hidden="false" customHeight="false" outlineLevel="0" collapsed="false">
      <c r="A184" s="50"/>
      <c r="B184" s="50"/>
      <c r="C184" s="59" t="str">
        <f aca="false">IF(B184="","",IFERROR(INDEX(INV_NAME,MATCH(B184,INV_ID,0)),"CHECK: Supplier ID not found"))</f>
        <v/>
      </c>
      <c r="D184" s="34"/>
      <c r="E184" s="34"/>
      <c r="F184" s="34"/>
      <c r="G184" s="34"/>
      <c r="H184" s="34"/>
      <c r="I184" s="34"/>
      <c r="J184" s="50"/>
      <c r="K184" s="50"/>
      <c r="L184" s="52" t="str">
        <f aca="false">IF(A184="","",IF(AND(ISNUMBER(J184),ISNUMBER(K184),J184&gt;=1,J184&lt;=5,K184&gt;=1,K184&lt;=5),J184*K184,"Incomplete"))</f>
        <v/>
      </c>
      <c r="M184" s="52" t="str">
        <f aca="false">IF(A184="","",IF(ISNUMBER(L184),LOOKUP(L184,BandMin,BandName),"Incomplete"))</f>
        <v/>
      </c>
      <c r="N184" s="34"/>
      <c r="O184" s="34"/>
      <c r="P184" s="50"/>
      <c r="Q184" s="50"/>
      <c r="R184" s="61" t="str">
        <f aca="false">IF(A184="","",IF(AND(ISNUMBER(P184),ISNUMBER(Q184),P184&gt;=1,P184&lt;=5,Q184&gt;=1,Q184&lt;=5),P184*Q184,"Incomplete"))</f>
        <v/>
      </c>
      <c r="S184" s="52" t="str">
        <f aca="false">IF(A184="","",IF(ISNUMBER(R184),LOOKUP(R184,BandMin,BandName),"Incomplete"))</f>
        <v/>
      </c>
      <c r="T184" s="34"/>
      <c r="U184" s="50"/>
      <c r="V184" s="50"/>
      <c r="W184" s="50"/>
      <c r="X184" s="52" t="str">
        <f aca="false">IF(A184="","",IF(AND(V184="",W184=""),"Not set",IF(AND(ISNUMBER(V184),ISNUMBER(W184),V184&gt;=1,V184&lt;=5,W184&gt;=1,W184&lt;=5),V184*W184,"Incomplete")))</f>
        <v/>
      </c>
      <c r="Y184" s="52" t="str">
        <f aca="false">IF(A184="","",IF(X184="Not set","Not set",IF(ISNUMBER(X184),LOOKUP(X184,BandMin,BandName),"Incomplete")))</f>
        <v/>
      </c>
      <c r="Z184" s="34"/>
      <c r="AA184" s="54" t="str">
        <f aca="false">IF(A184="","",IF(AppetiteThreshold="","Not configured",IF(NOT(ISNUMBER(R184)),"Cannot assess - residual incomplete",IF(MATCH(S184,BandName,0)&gt;=MATCH(AppetiteThreshold,BandName,0),"Above appetite - escalation required","Within appetite"))))</f>
        <v/>
      </c>
      <c r="AB184" s="50"/>
      <c r="AC184" s="54" t="str">
        <f aca="false">IF(A184="","",IF(AB184="","No decision referenced",IFERROR(INDEX(DEC_FINAL,MATCH(AB184,DEC_ID,0))&amp;" - "&amp;INDEX(DEC_CURR,MATCH(AB184,DEC_ID,0)),"CHECK: Decision ID not found")))</f>
        <v/>
      </c>
      <c r="AD184" s="54" t="str">
        <f aca="false">IF(A184="","",IF(COUNTIF(TRT_RISK,A184)=0,"No treatment recorded",COUNTIF(TRT_RISK,A184)&amp;" action(s); "&amp;COUNTIFS(TRT_RISK,A184,TRT_OPEN,"Open")&amp;" open; "&amp;COUNTIFS(TRT_RISK,A184,TRT_OVERDUE,"Overdue")&amp;" overdue"))</f>
        <v/>
      </c>
      <c r="AE184" s="51"/>
      <c r="AF184" s="51"/>
      <c r="AG184" s="54" t="str">
        <f aca="false">IF(A184="","",IF(AI184="","Complete","Incomplete: "&amp;AI184))</f>
        <v/>
      </c>
      <c r="AH184" s="54" t="str">
        <f aca="false">IF(A184="","",IF(COUNTIF(RSK_ID,A184)&gt;1,"CHECK: duplicate ID",IF(B184="","CHECK: Supplier ID missing",IF(COUNTIF(INV_ID,B184)=0,"CHECK: Supplier ID not in inventory",IF(AND(ISNUMBER(R184),ISNUMBER(L184),R184&gt;L184),"CHECK: residual score exceeds inherent - confirm",IF(AND(ISNUMBER(AF184),AF184&lt;AsOf),"Review overdue (administrative)","OK"))))))</f>
        <v/>
      </c>
      <c r="AI184" s="52" t="str">
        <f aca="false">IF(A184="","",IF(I184="","risk owner; ","")&amp;IF(OR(J184="",K184=""),"inherent rating; ","")&amp;IF(N184="","inherent rationale; ","")&amp;IF(OR(P184="",Q184=""),"residual rating; ","")&amp;IF(AND(OR(P184&lt;&gt;"",Q184&lt;&gt;""),T184=""),"residual rationale; ","")&amp;IF(AND(OR(P184&lt;&gt;"",Q184&lt;&gt;""),U184=""),"assessment confidence; ","")&amp;IF(AE184="","assessment date; ",""))</f>
        <v/>
      </c>
      <c r="AJ184" s="52" t="str">
        <f aca="false">IF(OR(A184="",B184=""),"",IF(B184=RptSup,B184&amp;"|"&amp;COUNTIF($B$7:B184,B184),""))</f>
        <v/>
      </c>
    </row>
    <row r="185" customFormat="false" ht="15" hidden="false" customHeight="false" outlineLevel="0" collapsed="false">
      <c r="A185" s="50"/>
      <c r="B185" s="50"/>
      <c r="C185" s="59" t="str">
        <f aca="false">IF(B185="","",IFERROR(INDEX(INV_NAME,MATCH(B185,INV_ID,0)),"CHECK: Supplier ID not found"))</f>
        <v/>
      </c>
      <c r="D185" s="34"/>
      <c r="E185" s="34"/>
      <c r="F185" s="34"/>
      <c r="G185" s="34"/>
      <c r="H185" s="34"/>
      <c r="I185" s="34"/>
      <c r="J185" s="50"/>
      <c r="K185" s="50"/>
      <c r="L185" s="52" t="str">
        <f aca="false">IF(A185="","",IF(AND(ISNUMBER(J185),ISNUMBER(K185),J185&gt;=1,J185&lt;=5,K185&gt;=1,K185&lt;=5),J185*K185,"Incomplete"))</f>
        <v/>
      </c>
      <c r="M185" s="52" t="str">
        <f aca="false">IF(A185="","",IF(ISNUMBER(L185),LOOKUP(L185,BandMin,BandName),"Incomplete"))</f>
        <v/>
      </c>
      <c r="N185" s="34"/>
      <c r="O185" s="34"/>
      <c r="P185" s="50"/>
      <c r="Q185" s="50"/>
      <c r="R185" s="61" t="str">
        <f aca="false">IF(A185="","",IF(AND(ISNUMBER(P185),ISNUMBER(Q185),P185&gt;=1,P185&lt;=5,Q185&gt;=1,Q185&lt;=5),P185*Q185,"Incomplete"))</f>
        <v/>
      </c>
      <c r="S185" s="52" t="str">
        <f aca="false">IF(A185="","",IF(ISNUMBER(R185),LOOKUP(R185,BandMin,BandName),"Incomplete"))</f>
        <v/>
      </c>
      <c r="T185" s="34"/>
      <c r="U185" s="50"/>
      <c r="V185" s="50"/>
      <c r="W185" s="50"/>
      <c r="X185" s="52" t="str">
        <f aca="false">IF(A185="","",IF(AND(V185="",W185=""),"Not set",IF(AND(ISNUMBER(V185),ISNUMBER(W185),V185&gt;=1,V185&lt;=5,W185&gt;=1,W185&lt;=5),V185*W185,"Incomplete")))</f>
        <v/>
      </c>
      <c r="Y185" s="52" t="str">
        <f aca="false">IF(A185="","",IF(X185="Not set","Not set",IF(ISNUMBER(X185),LOOKUP(X185,BandMin,BandName),"Incomplete")))</f>
        <v/>
      </c>
      <c r="Z185" s="34"/>
      <c r="AA185" s="54" t="str">
        <f aca="false">IF(A185="","",IF(AppetiteThreshold="","Not configured",IF(NOT(ISNUMBER(R185)),"Cannot assess - residual incomplete",IF(MATCH(S185,BandName,0)&gt;=MATCH(AppetiteThreshold,BandName,0),"Above appetite - escalation required","Within appetite"))))</f>
        <v/>
      </c>
      <c r="AB185" s="50"/>
      <c r="AC185" s="54" t="str">
        <f aca="false">IF(A185="","",IF(AB185="","No decision referenced",IFERROR(INDEX(DEC_FINAL,MATCH(AB185,DEC_ID,0))&amp;" - "&amp;INDEX(DEC_CURR,MATCH(AB185,DEC_ID,0)),"CHECK: Decision ID not found")))</f>
        <v/>
      </c>
      <c r="AD185" s="54" t="str">
        <f aca="false">IF(A185="","",IF(COUNTIF(TRT_RISK,A185)=0,"No treatment recorded",COUNTIF(TRT_RISK,A185)&amp;" action(s); "&amp;COUNTIFS(TRT_RISK,A185,TRT_OPEN,"Open")&amp;" open; "&amp;COUNTIFS(TRT_RISK,A185,TRT_OVERDUE,"Overdue")&amp;" overdue"))</f>
        <v/>
      </c>
      <c r="AE185" s="51"/>
      <c r="AF185" s="51"/>
      <c r="AG185" s="54" t="str">
        <f aca="false">IF(A185="","",IF(AI185="","Complete","Incomplete: "&amp;AI185))</f>
        <v/>
      </c>
      <c r="AH185" s="54" t="str">
        <f aca="false">IF(A185="","",IF(COUNTIF(RSK_ID,A185)&gt;1,"CHECK: duplicate ID",IF(B185="","CHECK: Supplier ID missing",IF(COUNTIF(INV_ID,B185)=0,"CHECK: Supplier ID not in inventory",IF(AND(ISNUMBER(R185),ISNUMBER(L185),R185&gt;L185),"CHECK: residual score exceeds inherent - confirm",IF(AND(ISNUMBER(AF185),AF185&lt;AsOf),"Review overdue (administrative)","OK"))))))</f>
        <v/>
      </c>
      <c r="AI185" s="52" t="str">
        <f aca="false">IF(A185="","",IF(I185="","risk owner; ","")&amp;IF(OR(J185="",K185=""),"inherent rating; ","")&amp;IF(N185="","inherent rationale; ","")&amp;IF(OR(P185="",Q185=""),"residual rating; ","")&amp;IF(AND(OR(P185&lt;&gt;"",Q185&lt;&gt;""),T185=""),"residual rationale; ","")&amp;IF(AND(OR(P185&lt;&gt;"",Q185&lt;&gt;""),U185=""),"assessment confidence; ","")&amp;IF(AE185="","assessment date; ",""))</f>
        <v/>
      </c>
      <c r="AJ185" s="52" t="str">
        <f aca="false">IF(OR(A185="",B185=""),"",IF(B185=RptSup,B185&amp;"|"&amp;COUNTIF($B$7:B185,B185),""))</f>
        <v/>
      </c>
    </row>
    <row r="186" customFormat="false" ht="15" hidden="false" customHeight="false" outlineLevel="0" collapsed="false">
      <c r="A186" s="50"/>
      <c r="B186" s="50"/>
      <c r="C186" s="59" t="str">
        <f aca="false">IF(B186="","",IFERROR(INDEX(INV_NAME,MATCH(B186,INV_ID,0)),"CHECK: Supplier ID not found"))</f>
        <v/>
      </c>
      <c r="D186" s="34"/>
      <c r="E186" s="34"/>
      <c r="F186" s="34"/>
      <c r="G186" s="34"/>
      <c r="H186" s="34"/>
      <c r="I186" s="34"/>
      <c r="J186" s="50"/>
      <c r="K186" s="50"/>
      <c r="L186" s="52" t="str">
        <f aca="false">IF(A186="","",IF(AND(ISNUMBER(J186),ISNUMBER(K186),J186&gt;=1,J186&lt;=5,K186&gt;=1,K186&lt;=5),J186*K186,"Incomplete"))</f>
        <v/>
      </c>
      <c r="M186" s="52" t="str">
        <f aca="false">IF(A186="","",IF(ISNUMBER(L186),LOOKUP(L186,BandMin,BandName),"Incomplete"))</f>
        <v/>
      </c>
      <c r="N186" s="34"/>
      <c r="O186" s="34"/>
      <c r="P186" s="50"/>
      <c r="Q186" s="50"/>
      <c r="R186" s="61" t="str">
        <f aca="false">IF(A186="","",IF(AND(ISNUMBER(P186),ISNUMBER(Q186),P186&gt;=1,P186&lt;=5,Q186&gt;=1,Q186&lt;=5),P186*Q186,"Incomplete"))</f>
        <v/>
      </c>
      <c r="S186" s="52" t="str">
        <f aca="false">IF(A186="","",IF(ISNUMBER(R186),LOOKUP(R186,BandMin,BandName),"Incomplete"))</f>
        <v/>
      </c>
      <c r="T186" s="34"/>
      <c r="U186" s="50"/>
      <c r="V186" s="50"/>
      <c r="W186" s="50"/>
      <c r="X186" s="52" t="str">
        <f aca="false">IF(A186="","",IF(AND(V186="",W186=""),"Not set",IF(AND(ISNUMBER(V186),ISNUMBER(W186),V186&gt;=1,V186&lt;=5,W186&gt;=1,W186&lt;=5),V186*W186,"Incomplete")))</f>
        <v/>
      </c>
      <c r="Y186" s="52" t="str">
        <f aca="false">IF(A186="","",IF(X186="Not set","Not set",IF(ISNUMBER(X186),LOOKUP(X186,BandMin,BandName),"Incomplete")))</f>
        <v/>
      </c>
      <c r="Z186" s="34"/>
      <c r="AA186" s="54" t="str">
        <f aca="false">IF(A186="","",IF(AppetiteThreshold="","Not configured",IF(NOT(ISNUMBER(R186)),"Cannot assess - residual incomplete",IF(MATCH(S186,BandName,0)&gt;=MATCH(AppetiteThreshold,BandName,0),"Above appetite - escalation required","Within appetite"))))</f>
        <v/>
      </c>
      <c r="AB186" s="50"/>
      <c r="AC186" s="54" t="str">
        <f aca="false">IF(A186="","",IF(AB186="","No decision referenced",IFERROR(INDEX(DEC_FINAL,MATCH(AB186,DEC_ID,0))&amp;" - "&amp;INDEX(DEC_CURR,MATCH(AB186,DEC_ID,0)),"CHECK: Decision ID not found")))</f>
        <v/>
      </c>
      <c r="AD186" s="54" t="str">
        <f aca="false">IF(A186="","",IF(COUNTIF(TRT_RISK,A186)=0,"No treatment recorded",COUNTIF(TRT_RISK,A186)&amp;" action(s); "&amp;COUNTIFS(TRT_RISK,A186,TRT_OPEN,"Open")&amp;" open; "&amp;COUNTIFS(TRT_RISK,A186,TRT_OVERDUE,"Overdue")&amp;" overdue"))</f>
        <v/>
      </c>
      <c r="AE186" s="51"/>
      <c r="AF186" s="51"/>
      <c r="AG186" s="54" t="str">
        <f aca="false">IF(A186="","",IF(AI186="","Complete","Incomplete: "&amp;AI186))</f>
        <v/>
      </c>
      <c r="AH186" s="54" t="str">
        <f aca="false">IF(A186="","",IF(COUNTIF(RSK_ID,A186)&gt;1,"CHECK: duplicate ID",IF(B186="","CHECK: Supplier ID missing",IF(COUNTIF(INV_ID,B186)=0,"CHECK: Supplier ID not in inventory",IF(AND(ISNUMBER(R186),ISNUMBER(L186),R186&gt;L186),"CHECK: residual score exceeds inherent - confirm",IF(AND(ISNUMBER(AF186),AF186&lt;AsOf),"Review overdue (administrative)","OK"))))))</f>
        <v/>
      </c>
      <c r="AI186" s="52" t="str">
        <f aca="false">IF(A186="","",IF(I186="","risk owner; ","")&amp;IF(OR(J186="",K186=""),"inherent rating; ","")&amp;IF(N186="","inherent rationale; ","")&amp;IF(OR(P186="",Q186=""),"residual rating; ","")&amp;IF(AND(OR(P186&lt;&gt;"",Q186&lt;&gt;""),T186=""),"residual rationale; ","")&amp;IF(AND(OR(P186&lt;&gt;"",Q186&lt;&gt;""),U186=""),"assessment confidence; ","")&amp;IF(AE186="","assessment date; ",""))</f>
        <v/>
      </c>
      <c r="AJ186" s="52" t="str">
        <f aca="false">IF(OR(A186="",B186=""),"",IF(B186=RptSup,B186&amp;"|"&amp;COUNTIF($B$7:B186,B186),""))</f>
        <v/>
      </c>
    </row>
    <row r="187" customFormat="false" ht="15" hidden="false" customHeight="false" outlineLevel="0" collapsed="false">
      <c r="A187" s="50"/>
      <c r="B187" s="50"/>
      <c r="C187" s="59" t="str">
        <f aca="false">IF(B187="","",IFERROR(INDEX(INV_NAME,MATCH(B187,INV_ID,0)),"CHECK: Supplier ID not found"))</f>
        <v/>
      </c>
      <c r="D187" s="34"/>
      <c r="E187" s="34"/>
      <c r="F187" s="34"/>
      <c r="G187" s="34"/>
      <c r="H187" s="34"/>
      <c r="I187" s="34"/>
      <c r="J187" s="50"/>
      <c r="K187" s="50"/>
      <c r="L187" s="52" t="str">
        <f aca="false">IF(A187="","",IF(AND(ISNUMBER(J187),ISNUMBER(K187),J187&gt;=1,J187&lt;=5,K187&gt;=1,K187&lt;=5),J187*K187,"Incomplete"))</f>
        <v/>
      </c>
      <c r="M187" s="52" t="str">
        <f aca="false">IF(A187="","",IF(ISNUMBER(L187),LOOKUP(L187,BandMin,BandName),"Incomplete"))</f>
        <v/>
      </c>
      <c r="N187" s="34"/>
      <c r="O187" s="34"/>
      <c r="P187" s="50"/>
      <c r="Q187" s="50"/>
      <c r="R187" s="61" t="str">
        <f aca="false">IF(A187="","",IF(AND(ISNUMBER(P187),ISNUMBER(Q187),P187&gt;=1,P187&lt;=5,Q187&gt;=1,Q187&lt;=5),P187*Q187,"Incomplete"))</f>
        <v/>
      </c>
      <c r="S187" s="52" t="str">
        <f aca="false">IF(A187="","",IF(ISNUMBER(R187),LOOKUP(R187,BandMin,BandName),"Incomplete"))</f>
        <v/>
      </c>
      <c r="T187" s="34"/>
      <c r="U187" s="50"/>
      <c r="V187" s="50"/>
      <c r="W187" s="50"/>
      <c r="X187" s="52" t="str">
        <f aca="false">IF(A187="","",IF(AND(V187="",W187=""),"Not set",IF(AND(ISNUMBER(V187),ISNUMBER(W187),V187&gt;=1,V187&lt;=5,W187&gt;=1,W187&lt;=5),V187*W187,"Incomplete")))</f>
        <v/>
      </c>
      <c r="Y187" s="52" t="str">
        <f aca="false">IF(A187="","",IF(X187="Not set","Not set",IF(ISNUMBER(X187),LOOKUP(X187,BandMin,BandName),"Incomplete")))</f>
        <v/>
      </c>
      <c r="Z187" s="34"/>
      <c r="AA187" s="54" t="str">
        <f aca="false">IF(A187="","",IF(AppetiteThreshold="","Not configured",IF(NOT(ISNUMBER(R187)),"Cannot assess - residual incomplete",IF(MATCH(S187,BandName,0)&gt;=MATCH(AppetiteThreshold,BandName,0),"Above appetite - escalation required","Within appetite"))))</f>
        <v/>
      </c>
      <c r="AB187" s="50"/>
      <c r="AC187" s="54" t="str">
        <f aca="false">IF(A187="","",IF(AB187="","No decision referenced",IFERROR(INDEX(DEC_FINAL,MATCH(AB187,DEC_ID,0))&amp;" - "&amp;INDEX(DEC_CURR,MATCH(AB187,DEC_ID,0)),"CHECK: Decision ID not found")))</f>
        <v/>
      </c>
      <c r="AD187" s="54" t="str">
        <f aca="false">IF(A187="","",IF(COUNTIF(TRT_RISK,A187)=0,"No treatment recorded",COUNTIF(TRT_RISK,A187)&amp;" action(s); "&amp;COUNTIFS(TRT_RISK,A187,TRT_OPEN,"Open")&amp;" open; "&amp;COUNTIFS(TRT_RISK,A187,TRT_OVERDUE,"Overdue")&amp;" overdue"))</f>
        <v/>
      </c>
      <c r="AE187" s="51"/>
      <c r="AF187" s="51"/>
      <c r="AG187" s="54" t="str">
        <f aca="false">IF(A187="","",IF(AI187="","Complete","Incomplete: "&amp;AI187))</f>
        <v/>
      </c>
      <c r="AH187" s="54" t="str">
        <f aca="false">IF(A187="","",IF(COUNTIF(RSK_ID,A187)&gt;1,"CHECK: duplicate ID",IF(B187="","CHECK: Supplier ID missing",IF(COUNTIF(INV_ID,B187)=0,"CHECK: Supplier ID not in inventory",IF(AND(ISNUMBER(R187),ISNUMBER(L187),R187&gt;L187),"CHECK: residual score exceeds inherent - confirm",IF(AND(ISNUMBER(AF187),AF187&lt;AsOf),"Review overdue (administrative)","OK"))))))</f>
        <v/>
      </c>
      <c r="AI187" s="52" t="str">
        <f aca="false">IF(A187="","",IF(I187="","risk owner; ","")&amp;IF(OR(J187="",K187=""),"inherent rating; ","")&amp;IF(N187="","inherent rationale; ","")&amp;IF(OR(P187="",Q187=""),"residual rating; ","")&amp;IF(AND(OR(P187&lt;&gt;"",Q187&lt;&gt;""),T187=""),"residual rationale; ","")&amp;IF(AND(OR(P187&lt;&gt;"",Q187&lt;&gt;""),U187=""),"assessment confidence; ","")&amp;IF(AE187="","assessment date; ",""))</f>
        <v/>
      </c>
      <c r="AJ187" s="52" t="str">
        <f aca="false">IF(OR(A187="",B187=""),"",IF(B187=RptSup,B187&amp;"|"&amp;COUNTIF($B$7:B187,B187),""))</f>
        <v/>
      </c>
    </row>
    <row r="188" customFormat="false" ht="15" hidden="false" customHeight="false" outlineLevel="0" collapsed="false">
      <c r="A188" s="50"/>
      <c r="B188" s="50"/>
      <c r="C188" s="59" t="str">
        <f aca="false">IF(B188="","",IFERROR(INDEX(INV_NAME,MATCH(B188,INV_ID,0)),"CHECK: Supplier ID not found"))</f>
        <v/>
      </c>
      <c r="D188" s="34"/>
      <c r="E188" s="34"/>
      <c r="F188" s="34"/>
      <c r="G188" s="34"/>
      <c r="H188" s="34"/>
      <c r="I188" s="34"/>
      <c r="J188" s="50"/>
      <c r="K188" s="50"/>
      <c r="L188" s="52" t="str">
        <f aca="false">IF(A188="","",IF(AND(ISNUMBER(J188),ISNUMBER(K188),J188&gt;=1,J188&lt;=5,K188&gt;=1,K188&lt;=5),J188*K188,"Incomplete"))</f>
        <v/>
      </c>
      <c r="M188" s="52" t="str">
        <f aca="false">IF(A188="","",IF(ISNUMBER(L188),LOOKUP(L188,BandMin,BandName),"Incomplete"))</f>
        <v/>
      </c>
      <c r="N188" s="34"/>
      <c r="O188" s="34"/>
      <c r="P188" s="50"/>
      <c r="Q188" s="50"/>
      <c r="R188" s="61" t="str">
        <f aca="false">IF(A188="","",IF(AND(ISNUMBER(P188),ISNUMBER(Q188),P188&gt;=1,P188&lt;=5,Q188&gt;=1,Q188&lt;=5),P188*Q188,"Incomplete"))</f>
        <v/>
      </c>
      <c r="S188" s="52" t="str">
        <f aca="false">IF(A188="","",IF(ISNUMBER(R188),LOOKUP(R188,BandMin,BandName),"Incomplete"))</f>
        <v/>
      </c>
      <c r="T188" s="34"/>
      <c r="U188" s="50"/>
      <c r="V188" s="50"/>
      <c r="W188" s="50"/>
      <c r="X188" s="52" t="str">
        <f aca="false">IF(A188="","",IF(AND(V188="",W188=""),"Not set",IF(AND(ISNUMBER(V188),ISNUMBER(W188),V188&gt;=1,V188&lt;=5,W188&gt;=1,W188&lt;=5),V188*W188,"Incomplete")))</f>
        <v/>
      </c>
      <c r="Y188" s="52" t="str">
        <f aca="false">IF(A188="","",IF(X188="Not set","Not set",IF(ISNUMBER(X188),LOOKUP(X188,BandMin,BandName),"Incomplete")))</f>
        <v/>
      </c>
      <c r="Z188" s="34"/>
      <c r="AA188" s="54" t="str">
        <f aca="false">IF(A188="","",IF(AppetiteThreshold="","Not configured",IF(NOT(ISNUMBER(R188)),"Cannot assess - residual incomplete",IF(MATCH(S188,BandName,0)&gt;=MATCH(AppetiteThreshold,BandName,0),"Above appetite - escalation required","Within appetite"))))</f>
        <v/>
      </c>
      <c r="AB188" s="50"/>
      <c r="AC188" s="54" t="str">
        <f aca="false">IF(A188="","",IF(AB188="","No decision referenced",IFERROR(INDEX(DEC_FINAL,MATCH(AB188,DEC_ID,0))&amp;" - "&amp;INDEX(DEC_CURR,MATCH(AB188,DEC_ID,0)),"CHECK: Decision ID not found")))</f>
        <v/>
      </c>
      <c r="AD188" s="54" t="str">
        <f aca="false">IF(A188="","",IF(COUNTIF(TRT_RISK,A188)=0,"No treatment recorded",COUNTIF(TRT_RISK,A188)&amp;" action(s); "&amp;COUNTIFS(TRT_RISK,A188,TRT_OPEN,"Open")&amp;" open; "&amp;COUNTIFS(TRT_RISK,A188,TRT_OVERDUE,"Overdue")&amp;" overdue"))</f>
        <v/>
      </c>
      <c r="AE188" s="51"/>
      <c r="AF188" s="51"/>
      <c r="AG188" s="54" t="str">
        <f aca="false">IF(A188="","",IF(AI188="","Complete","Incomplete: "&amp;AI188))</f>
        <v/>
      </c>
      <c r="AH188" s="54" t="str">
        <f aca="false">IF(A188="","",IF(COUNTIF(RSK_ID,A188)&gt;1,"CHECK: duplicate ID",IF(B188="","CHECK: Supplier ID missing",IF(COUNTIF(INV_ID,B188)=0,"CHECK: Supplier ID not in inventory",IF(AND(ISNUMBER(R188),ISNUMBER(L188),R188&gt;L188),"CHECK: residual score exceeds inherent - confirm",IF(AND(ISNUMBER(AF188),AF188&lt;AsOf),"Review overdue (administrative)","OK"))))))</f>
        <v/>
      </c>
      <c r="AI188" s="52" t="str">
        <f aca="false">IF(A188="","",IF(I188="","risk owner; ","")&amp;IF(OR(J188="",K188=""),"inherent rating; ","")&amp;IF(N188="","inherent rationale; ","")&amp;IF(OR(P188="",Q188=""),"residual rating; ","")&amp;IF(AND(OR(P188&lt;&gt;"",Q188&lt;&gt;""),T188=""),"residual rationale; ","")&amp;IF(AND(OR(P188&lt;&gt;"",Q188&lt;&gt;""),U188=""),"assessment confidence; ","")&amp;IF(AE188="","assessment date; ",""))</f>
        <v/>
      </c>
      <c r="AJ188" s="52" t="str">
        <f aca="false">IF(OR(A188="",B188=""),"",IF(B188=RptSup,B188&amp;"|"&amp;COUNTIF($B$7:B188,B188),""))</f>
        <v/>
      </c>
    </row>
    <row r="189" customFormat="false" ht="15" hidden="false" customHeight="false" outlineLevel="0" collapsed="false">
      <c r="A189" s="50"/>
      <c r="B189" s="50"/>
      <c r="C189" s="59" t="str">
        <f aca="false">IF(B189="","",IFERROR(INDEX(INV_NAME,MATCH(B189,INV_ID,0)),"CHECK: Supplier ID not found"))</f>
        <v/>
      </c>
      <c r="D189" s="34"/>
      <c r="E189" s="34"/>
      <c r="F189" s="34"/>
      <c r="G189" s="34"/>
      <c r="H189" s="34"/>
      <c r="I189" s="34"/>
      <c r="J189" s="50"/>
      <c r="K189" s="50"/>
      <c r="L189" s="52" t="str">
        <f aca="false">IF(A189="","",IF(AND(ISNUMBER(J189),ISNUMBER(K189),J189&gt;=1,J189&lt;=5,K189&gt;=1,K189&lt;=5),J189*K189,"Incomplete"))</f>
        <v/>
      </c>
      <c r="M189" s="52" t="str">
        <f aca="false">IF(A189="","",IF(ISNUMBER(L189),LOOKUP(L189,BandMin,BandName),"Incomplete"))</f>
        <v/>
      </c>
      <c r="N189" s="34"/>
      <c r="O189" s="34"/>
      <c r="P189" s="50"/>
      <c r="Q189" s="50"/>
      <c r="R189" s="61" t="str">
        <f aca="false">IF(A189="","",IF(AND(ISNUMBER(P189),ISNUMBER(Q189),P189&gt;=1,P189&lt;=5,Q189&gt;=1,Q189&lt;=5),P189*Q189,"Incomplete"))</f>
        <v/>
      </c>
      <c r="S189" s="52" t="str">
        <f aca="false">IF(A189="","",IF(ISNUMBER(R189),LOOKUP(R189,BandMin,BandName),"Incomplete"))</f>
        <v/>
      </c>
      <c r="T189" s="34"/>
      <c r="U189" s="50"/>
      <c r="V189" s="50"/>
      <c r="W189" s="50"/>
      <c r="X189" s="52" t="str">
        <f aca="false">IF(A189="","",IF(AND(V189="",W189=""),"Not set",IF(AND(ISNUMBER(V189),ISNUMBER(W189),V189&gt;=1,V189&lt;=5,W189&gt;=1,W189&lt;=5),V189*W189,"Incomplete")))</f>
        <v/>
      </c>
      <c r="Y189" s="52" t="str">
        <f aca="false">IF(A189="","",IF(X189="Not set","Not set",IF(ISNUMBER(X189),LOOKUP(X189,BandMin,BandName),"Incomplete")))</f>
        <v/>
      </c>
      <c r="Z189" s="34"/>
      <c r="AA189" s="54" t="str">
        <f aca="false">IF(A189="","",IF(AppetiteThreshold="","Not configured",IF(NOT(ISNUMBER(R189)),"Cannot assess - residual incomplete",IF(MATCH(S189,BandName,0)&gt;=MATCH(AppetiteThreshold,BandName,0),"Above appetite - escalation required","Within appetite"))))</f>
        <v/>
      </c>
      <c r="AB189" s="50"/>
      <c r="AC189" s="54" t="str">
        <f aca="false">IF(A189="","",IF(AB189="","No decision referenced",IFERROR(INDEX(DEC_FINAL,MATCH(AB189,DEC_ID,0))&amp;" - "&amp;INDEX(DEC_CURR,MATCH(AB189,DEC_ID,0)),"CHECK: Decision ID not found")))</f>
        <v/>
      </c>
      <c r="AD189" s="54" t="str">
        <f aca="false">IF(A189="","",IF(COUNTIF(TRT_RISK,A189)=0,"No treatment recorded",COUNTIF(TRT_RISK,A189)&amp;" action(s); "&amp;COUNTIFS(TRT_RISK,A189,TRT_OPEN,"Open")&amp;" open; "&amp;COUNTIFS(TRT_RISK,A189,TRT_OVERDUE,"Overdue")&amp;" overdue"))</f>
        <v/>
      </c>
      <c r="AE189" s="51"/>
      <c r="AF189" s="51"/>
      <c r="AG189" s="54" t="str">
        <f aca="false">IF(A189="","",IF(AI189="","Complete","Incomplete: "&amp;AI189))</f>
        <v/>
      </c>
      <c r="AH189" s="54" t="str">
        <f aca="false">IF(A189="","",IF(COUNTIF(RSK_ID,A189)&gt;1,"CHECK: duplicate ID",IF(B189="","CHECK: Supplier ID missing",IF(COUNTIF(INV_ID,B189)=0,"CHECK: Supplier ID not in inventory",IF(AND(ISNUMBER(R189),ISNUMBER(L189),R189&gt;L189),"CHECK: residual score exceeds inherent - confirm",IF(AND(ISNUMBER(AF189),AF189&lt;AsOf),"Review overdue (administrative)","OK"))))))</f>
        <v/>
      </c>
      <c r="AI189" s="52" t="str">
        <f aca="false">IF(A189="","",IF(I189="","risk owner; ","")&amp;IF(OR(J189="",K189=""),"inherent rating; ","")&amp;IF(N189="","inherent rationale; ","")&amp;IF(OR(P189="",Q189=""),"residual rating; ","")&amp;IF(AND(OR(P189&lt;&gt;"",Q189&lt;&gt;""),T189=""),"residual rationale; ","")&amp;IF(AND(OR(P189&lt;&gt;"",Q189&lt;&gt;""),U189=""),"assessment confidence; ","")&amp;IF(AE189="","assessment date; ",""))</f>
        <v/>
      </c>
      <c r="AJ189" s="52" t="str">
        <f aca="false">IF(OR(A189="",B189=""),"",IF(B189=RptSup,B189&amp;"|"&amp;COUNTIF($B$7:B189,B189),""))</f>
        <v/>
      </c>
    </row>
    <row r="190" customFormat="false" ht="15" hidden="false" customHeight="false" outlineLevel="0" collapsed="false">
      <c r="A190" s="50"/>
      <c r="B190" s="50"/>
      <c r="C190" s="59" t="str">
        <f aca="false">IF(B190="","",IFERROR(INDEX(INV_NAME,MATCH(B190,INV_ID,0)),"CHECK: Supplier ID not found"))</f>
        <v/>
      </c>
      <c r="D190" s="34"/>
      <c r="E190" s="34"/>
      <c r="F190" s="34"/>
      <c r="G190" s="34"/>
      <c r="H190" s="34"/>
      <c r="I190" s="34"/>
      <c r="J190" s="50"/>
      <c r="K190" s="50"/>
      <c r="L190" s="52" t="str">
        <f aca="false">IF(A190="","",IF(AND(ISNUMBER(J190),ISNUMBER(K190),J190&gt;=1,J190&lt;=5,K190&gt;=1,K190&lt;=5),J190*K190,"Incomplete"))</f>
        <v/>
      </c>
      <c r="M190" s="52" t="str">
        <f aca="false">IF(A190="","",IF(ISNUMBER(L190),LOOKUP(L190,BandMin,BandName),"Incomplete"))</f>
        <v/>
      </c>
      <c r="N190" s="34"/>
      <c r="O190" s="34"/>
      <c r="P190" s="50"/>
      <c r="Q190" s="50"/>
      <c r="R190" s="61" t="str">
        <f aca="false">IF(A190="","",IF(AND(ISNUMBER(P190),ISNUMBER(Q190),P190&gt;=1,P190&lt;=5,Q190&gt;=1,Q190&lt;=5),P190*Q190,"Incomplete"))</f>
        <v/>
      </c>
      <c r="S190" s="52" t="str">
        <f aca="false">IF(A190="","",IF(ISNUMBER(R190),LOOKUP(R190,BandMin,BandName),"Incomplete"))</f>
        <v/>
      </c>
      <c r="T190" s="34"/>
      <c r="U190" s="50"/>
      <c r="V190" s="50"/>
      <c r="W190" s="50"/>
      <c r="X190" s="52" t="str">
        <f aca="false">IF(A190="","",IF(AND(V190="",W190=""),"Not set",IF(AND(ISNUMBER(V190),ISNUMBER(W190),V190&gt;=1,V190&lt;=5,W190&gt;=1,W190&lt;=5),V190*W190,"Incomplete")))</f>
        <v/>
      </c>
      <c r="Y190" s="52" t="str">
        <f aca="false">IF(A190="","",IF(X190="Not set","Not set",IF(ISNUMBER(X190),LOOKUP(X190,BandMin,BandName),"Incomplete")))</f>
        <v/>
      </c>
      <c r="Z190" s="34"/>
      <c r="AA190" s="54" t="str">
        <f aca="false">IF(A190="","",IF(AppetiteThreshold="","Not configured",IF(NOT(ISNUMBER(R190)),"Cannot assess - residual incomplete",IF(MATCH(S190,BandName,0)&gt;=MATCH(AppetiteThreshold,BandName,0),"Above appetite - escalation required","Within appetite"))))</f>
        <v/>
      </c>
      <c r="AB190" s="50"/>
      <c r="AC190" s="54" t="str">
        <f aca="false">IF(A190="","",IF(AB190="","No decision referenced",IFERROR(INDEX(DEC_FINAL,MATCH(AB190,DEC_ID,0))&amp;" - "&amp;INDEX(DEC_CURR,MATCH(AB190,DEC_ID,0)),"CHECK: Decision ID not found")))</f>
        <v/>
      </c>
      <c r="AD190" s="54" t="str">
        <f aca="false">IF(A190="","",IF(COUNTIF(TRT_RISK,A190)=0,"No treatment recorded",COUNTIF(TRT_RISK,A190)&amp;" action(s); "&amp;COUNTIFS(TRT_RISK,A190,TRT_OPEN,"Open")&amp;" open; "&amp;COUNTIFS(TRT_RISK,A190,TRT_OVERDUE,"Overdue")&amp;" overdue"))</f>
        <v/>
      </c>
      <c r="AE190" s="51"/>
      <c r="AF190" s="51"/>
      <c r="AG190" s="54" t="str">
        <f aca="false">IF(A190="","",IF(AI190="","Complete","Incomplete: "&amp;AI190))</f>
        <v/>
      </c>
      <c r="AH190" s="54" t="str">
        <f aca="false">IF(A190="","",IF(COUNTIF(RSK_ID,A190)&gt;1,"CHECK: duplicate ID",IF(B190="","CHECK: Supplier ID missing",IF(COUNTIF(INV_ID,B190)=0,"CHECK: Supplier ID not in inventory",IF(AND(ISNUMBER(R190),ISNUMBER(L190),R190&gt;L190),"CHECK: residual score exceeds inherent - confirm",IF(AND(ISNUMBER(AF190),AF190&lt;AsOf),"Review overdue (administrative)","OK"))))))</f>
        <v/>
      </c>
      <c r="AI190" s="52" t="str">
        <f aca="false">IF(A190="","",IF(I190="","risk owner; ","")&amp;IF(OR(J190="",K190=""),"inherent rating; ","")&amp;IF(N190="","inherent rationale; ","")&amp;IF(OR(P190="",Q190=""),"residual rating; ","")&amp;IF(AND(OR(P190&lt;&gt;"",Q190&lt;&gt;""),T190=""),"residual rationale; ","")&amp;IF(AND(OR(P190&lt;&gt;"",Q190&lt;&gt;""),U190=""),"assessment confidence; ","")&amp;IF(AE190="","assessment date; ",""))</f>
        <v/>
      </c>
      <c r="AJ190" s="52" t="str">
        <f aca="false">IF(OR(A190="",B190=""),"",IF(B190=RptSup,B190&amp;"|"&amp;COUNTIF($B$7:B190,B190),""))</f>
        <v/>
      </c>
    </row>
    <row r="191" customFormat="false" ht="15" hidden="false" customHeight="false" outlineLevel="0" collapsed="false">
      <c r="A191" s="50"/>
      <c r="B191" s="50"/>
      <c r="C191" s="59" t="str">
        <f aca="false">IF(B191="","",IFERROR(INDEX(INV_NAME,MATCH(B191,INV_ID,0)),"CHECK: Supplier ID not found"))</f>
        <v/>
      </c>
      <c r="D191" s="34"/>
      <c r="E191" s="34"/>
      <c r="F191" s="34"/>
      <c r="G191" s="34"/>
      <c r="H191" s="34"/>
      <c r="I191" s="34"/>
      <c r="J191" s="50"/>
      <c r="K191" s="50"/>
      <c r="L191" s="52" t="str">
        <f aca="false">IF(A191="","",IF(AND(ISNUMBER(J191),ISNUMBER(K191),J191&gt;=1,J191&lt;=5,K191&gt;=1,K191&lt;=5),J191*K191,"Incomplete"))</f>
        <v/>
      </c>
      <c r="M191" s="52" t="str">
        <f aca="false">IF(A191="","",IF(ISNUMBER(L191),LOOKUP(L191,BandMin,BandName),"Incomplete"))</f>
        <v/>
      </c>
      <c r="N191" s="34"/>
      <c r="O191" s="34"/>
      <c r="P191" s="50"/>
      <c r="Q191" s="50"/>
      <c r="R191" s="61" t="str">
        <f aca="false">IF(A191="","",IF(AND(ISNUMBER(P191),ISNUMBER(Q191),P191&gt;=1,P191&lt;=5,Q191&gt;=1,Q191&lt;=5),P191*Q191,"Incomplete"))</f>
        <v/>
      </c>
      <c r="S191" s="52" t="str">
        <f aca="false">IF(A191="","",IF(ISNUMBER(R191),LOOKUP(R191,BandMin,BandName),"Incomplete"))</f>
        <v/>
      </c>
      <c r="T191" s="34"/>
      <c r="U191" s="50"/>
      <c r="V191" s="50"/>
      <c r="W191" s="50"/>
      <c r="X191" s="52" t="str">
        <f aca="false">IF(A191="","",IF(AND(V191="",W191=""),"Not set",IF(AND(ISNUMBER(V191),ISNUMBER(W191),V191&gt;=1,V191&lt;=5,W191&gt;=1,W191&lt;=5),V191*W191,"Incomplete")))</f>
        <v/>
      </c>
      <c r="Y191" s="52" t="str">
        <f aca="false">IF(A191="","",IF(X191="Not set","Not set",IF(ISNUMBER(X191),LOOKUP(X191,BandMin,BandName),"Incomplete")))</f>
        <v/>
      </c>
      <c r="Z191" s="34"/>
      <c r="AA191" s="54" t="str">
        <f aca="false">IF(A191="","",IF(AppetiteThreshold="","Not configured",IF(NOT(ISNUMBER(R191)),"Cannot assess - residual incomplete",IF(MATCH(S191,BandName,0)&gt;=MATCH(AppetiteThreshold,BandName,0),"Above appetite - escalation required","Within appetite"))))</f>
        <v/>
      </c>
      <c r="AB191" s="50"/>
      <c r="AC191" s="54" t="str">
        <f aca="false">IF(A191="","",IF(AB191="","No decision referenced",IFERROR(INDEX(DEC_FINAL,MATCH(AB191,DEC_ID,0))&amp;" - "&amp;INDEX(DEC_CURR,MATCH(AB191,DEC_ID,0)),"CHECK: Decision ID not found")))</f>
        <v/>
      </c>
      <c r="AD191" s="54" t="str">
        <f aca="false">IF(A191="","",IF(COUNTIF(TRT_RISK,A191)=0,"No treatment recorded",COUNTIF(TRT_RISK,A191)&amp;" action(s); "&amp;COUNTIFS(TRT_RISK,A191,TRT_OPEN,"Open")&amp;" open; "&amp;COUNTIFS(TRT_RISK,A191,TRT_OVERDUE,"Overdue")&amp;" overdue"))</f>
        <v/>
      </c>
      <c r="AE191" s="51"/>
      <c r="AF191" s="51"/>
      <c r="AG191" s="54" t="str">
        <f aca="false">IF(A191="","",IF(AI191="","Complete","Incomplete: "&amp;AI191))</f>
        <v/>
      </c>
      <c r="AH191" s="54" t="str">
        <f aca="false">IF(A191="","",IF(COUNTIF(RSK_ID,A191)&gt;1,"CHECK: duplicate ID",IF(B191="","CHECK: Supplier ID missing",IF(COUNTIF(INV_ID,B191)=0,"CHECK: Supplier ID not in inventory",IF(AND(ISNUMBER(R191),ISNUMBER(L191),R191&gt;L191),"CHECK: residual score exceeds inherent - confirm",IF(AND(ISNUMBER(AF191),AF191&lt;AsOf),"Review overdue (administrative)","OK"))))))</f>
        <v/>
      </c>
      <c r="AI191" s="52" t="str">
        <f aca="false">IF(A191="","",IF(I191="","risk owner; ","")&amp;IF(OR(J191="",K191=""),"inherent rating; ","")&amp;IF(N191="","inherent rationale; ","")&amp;IF(OR(P191="",Q191=""),"residual rating; ","")&amp;IF(AND(OR(P191&lt;&gt;"",Q191&lt;&gt;""),T191=""),"residual rationale; ","")&amp;IF(AND(OR(P191&lt;&gt;"",Q191&lt;&gt;""),U191=""),"assessment confidence; ","")&amp;IF(AE191="","assessment date; ",""))</f>
        <v/>
      </c>
      <c r="AJ191" s="52" t="str">
        <f aca="false">IF(OR(A191="",B191=""),"",IF(B191=RptSup,B191&amp;"|"&amp;COUNTIF($B$7:B191,B191),""))</f>
        <v/>
      </c>
    </row>
    <row r="192" customFormat="false" ht="15" hidden="false" customHeight="false" outlineLevel="0" collapsed="false">
      <c r="A192" s="50"/>
      <c r="B192" s="50"/>
      <c r="C192" s="59" t="str">
        <f aca="false">IF(B192="","",IFERROR(INDEX(INV_NAME,MATCH(B192,INV_ID,0)),"CHECK: Supplier ID not found"))</f>
        <v/>
      </c>
      <c r="D192" s="34"/>
      <c r="E192" s="34"/>
      <c r="F192" s="34"/>
      <c r="G192" s="34"/>
      <c r="H192" s="34"/>
      <c r="I192" s="34"/>
      <c r="J192" s="50"/>
      <c r="K192" s="50"/>
      <c r="L192" s="52" t="str">
        <f aca="false">IF(A192="","",IF(AND(ISNUMBER(J192),ISNUMBER(K192),J192&gt;=1,J192&lt;=5,K192&gt;=1,K192&lt;=5),J192*K192,"Incomplete"))</f>
        <v/>
      </c>
      <c r="M192" s="52" t="str">
        <f aca="false">IF(A192="","",IF(ISNUMBER(L192),LOOKUP(L192,BandMin,BandName),"Incomplete"))</f>
        <v/>
      </c>
      <c r="N192" s="34"/>
      <c r="O192" s="34"/>
      <c r="P192" s="50"/>
      <c r="Q192" s="50"/>
      <c r="R192" s="61" t="str">
        <f aca="false">IF(A192="","",IF(AND(ISNUMBER(P192),ISNUMBER(Q192),P192&gt;=1,P192&lt;=5,Q192&gt;=1,Q192&lt;=5),P192*Q192,"Incomplete"))</f>
        <v/>
      </c>
      <c r="S192" s="52" t="str">
        <f aca="false">IF(A192="","",IF(ISNUMBER(R192),LOOKUP(R192,BandMin,BandName),"Incomplete"))</f>
        <v/>
      </c>
      <c r="T192" s="34"/>
      <c r="U192" s="50"/>
      <c r="V192" s="50"/>
      <c r="W192" s="50"/>
      <c r="X192" s="52" t="str">
        <f aca="false">IF(A192="","",IF(AND(V192="",W192=""),"Not set",IF(AND(ISNUMBER(V192),ISNUMBER(W192),V192&gt;=1,V192&lt;=5,W192&gt;=1,W192&lt;=5),V192*W192,"Incomplete")))</f>
        <v/>
      </c>
      <c r="Y192" s="52" t="str">
        <f aca="false">IF(A192="","",IF(X192="Not set","Not set",IF(ISNUMBER(X192),LOOKUP(X192,BandMin,BandName),"Incomplete")))</f>
        <v/>
      </c>
      <c r="Z192" s="34"/>
      <c r="AA192" s="54" t="str">
        <f aca="false">IF(A192="","",IF(AppetiteThreshold="","Not configured",IF(NOT(ISNUMBER(R192)),"Cannot assess - residual incomplete",IF(MATCH(S192,BandName,0)&gt;=MATCH(AppetiteThreshold,BandName,0),"Above appetite - escalation required","Within appetite"))))</f>
        <v/>
      </c>
      <c r="AB192" s="50"/>
      <c r="AC192" s="54" t="str">
        <f aca="false">IF(A192="","",IF(AB192="","No decision referenced",IFERROR(INDEX(DEC_FINAL,MATCH(AB192,DEC_ID,0))&amp;" - "&amp;INDEX(DEC_CURR,MATCH(AB192,DEC_ID,0)),"CHECK: Decision ID not found")))</f>
        <v/>
      </c>
      <c r="AD192" s="54" t="str">
        <f aca="false">IF(A192="","",IF(COUNTIF(TRT_RISK,A192)=0,"No treatment recorded",COUNTIF(TRT_RISK,A192)&amp;" action(s); "&amp;COUNTIFS(TRT_RISK,A192,TRT_OPEN,"Open")&amp;" open; "&amp;COUNTIFS(TRT_RISK,A192,TRT_OVERDUE,"Overdue")&amp;" overdue"))</f>
        <v/>
      </c>
      <c r="AE192" s="51"/>
      <c r="AF192" s="51"/>
      <c r="AG192" s="54" t="str">
        <f aca="false">IF(A192="","",IF(AI192="","Complete","Incomplete: "&amp;AI192))</f>
        <v/>
      </c>
      <c r="AH192" s="54" t="str">
        <f aca="false">IF(A192="","",IF(COUNTIF(RSK_ID,A192)&gt;1,"CHECK: duplicate ID",IF(B192="","CHECK: Supplier ID missing",IF(COUNTIF(INV_ID,B192)=0,"CHECK: Supplier ID not in inventory",IF(AND(ISNUMBER(R192),ISNUMBER(L192),R192&gt;L192),"CHECK: residual score exceeds inherent - confirm",IF(AND(ISNUMBER(AF192),AF192&lt;AsOf),"Review overdue (administrative)","OK"))))))</f>
        <v/>
      </c>
      <c r="AI192" s="52" t="str">
        <f aca="false">IF(A192="","",IF(I192="","risk owner; ","")&amp;IF(OR(J192="",K192=""),"inherent rating; ","")&amp;IF(N192="","inherent rationale; ","")&amp;IF(OR(P192="",Q192=""),"residual rating; ","")&amp;IF(AND(OR(P192&lt;&gt;"",Q192&lt;&gt;""),T192=""),"residual rationale; ","")&amp;IF(AND(OR(P192&lt;&gt;"",Q192&lt;&gt;""),U192=""),"assessment confidence; ","")&amp;IF(AE192="","assessment date; ",""))</f>
        <v/>
      </c>
      <c r="AJ192" s="52" t="str">
        <f aca="false">IF(OR(A192="",B192=""),"",IF(B192=RptSup,B192&amp;"|"&amp;COUNTIF($B$7:B192,B192),""))</f>
        <v/>
      </c>
    </row>
    <row r="193" customFormat="false" ht="15" hidden="false" customHeight="false" outlineLevel="0" collapsed="false">
      <c r="A193" s="50"/>
      <c r="B193" s="50"/>
      <c r="C193" s="59" t="str">
        <f aca="false">IF(B193="","",IFERROR(INDEX(INV_NAME,MATCH(B193,INV_ID,0)),"CHECK: Supplier ID not found"))</f>
        <v/>
      </c>
      <c r="D193" s="34"/>
      <c r="E193" s="34"/>
      <c r="F193" s="34"/>
      <c r="G193" s="34"/>
      <c r="H193" s="34"/>
      <c r="I193" s="34"/>
      <c r="J193" s="50"/>
      <c r="K193" s="50"/>
      <c r="L193" s="52" t="str">
        <f aca="false">IF(A193="","",IF(AND(ISNUMBER(J193),ISNUMBER(K193),J193&gt;=1,J193&lt;=5,K193&gt;=1,K193&lt;=5),J193*K193,"Incomplete"))</f>
        <v/>
      </c>
      <c r="M193" s="52" t="str">
        <f aca="false">IF(A193="","",IF(ISNUMBER(L193),LOOKUP(L193,BandMin,BandName),"Incomplete"))</f>
        <v/>
      </c>
      <c r="N193" s="34"/>
      <c r="O193" s="34"/>
      <c r="P193" s="50"/>
      <c r="Q193" s="50"/>
      <c r="R193" s="61" t="str">
        <f aca="false">IF(A193="","",IF(AND(ISNUMBER(P193),ISNUMBER(Q193),P193&gt;=1,P193&lt;=5,Q193&gt;=1,Q193&lt;=5),P193*Q193,"Incomplete"))</f>
        <v/>
      </c>
      <c r="S193" s="52" t="str">
        <f aca="false">IF(A193="","",IF(ISNUMBER(R193),LOOKUP(R193,BandMin,BandName),"Incomplete"))</f>
        <v/>
      </c>
      <c r="T193" s="34"/>
      <c r="U193" s="50"/>
      <c r="V193" s="50"/>
      <c r="W193" s="50"/>
      <c r="X193" s="52" t="str">
        <f aca="false">IF(A193="","",IF(AND(V193="",W193=""),"Not set",IF(AND(ISNUMBER(V193),ISNUMBER(W193),V193&gt;=1,V193&lt;=5,W193&gt;=1,W193&lt;=5),V193*W193,"Incomplete")))</f>
        <v/>
      </c>
      <c r="Y193" s="52" t="str">
        <f aca="false">IF(A193="","",IF(X193="Not set","Not set",IF(ISNUMBER(X193),LOOKUP(X193,BandMin,BandName),"Incomplete")))</f>
        <v/>
      </c>
      <c r="Z193" s="34"/>
      <c r="AA193" s="54" t="str">
        <f aca="false">IF(A193="","",IF(AppetiteThreshold="","Not configured",IF(NOT(ISNUMBER(R193)),"Cannot assess - residual incomplete",IF(MATCH(S193,BandName,0)&gt;=MATCH(AppetiteThreshold,BandName,0),"Above appetite - escalation required","Within appetite"))))</f>
        <v/>
      </c>
      <c r="AB193" s="50"/>
      <c r="AC193" s="54" t="str">
        <f aca="false">IF(A193="","",IF(AB193="","No decision referenced",IFERROR(INDEX(DEC_FINAL,MATCH(AB193,DEC_ID,0))&amp;" - "&amp;INDEX(DEC_CURR,MATCH(AB193,DEC_ID,0)),"CHECK: Decision ID not found")))</f>
        <v/>
      </c>
      <c r="AD193" s="54" t="str">
        <f aca="false">IF(A193="","",IF(COUNTIF(TRT_RISK,A193)=0,"No treatment recorded",COUNTIF(TRT_RISK,A193)&amp;" action(s); "&amp;COUNTIFS(TRT_RISK,A193,TRT_OPEN,"Open")&amp;" open; "&amp;COUNTIFS(TRT_RISK,A193,TRT_OVERDUE,"Overdue")&amp;" overdue"))</f>
        <v/>
      </c>
      <c r="AE193" s="51"/>
      <c r="AF193" s="51"/>
      <c r="AG193" s="54" t="str">
        <f aca="false">IF(A193="","",IF(AI193="","Complete","Incomplete: "&amp;AI193))</f>
        <v/>
      </c>
      <c r="AH193" s="54" t="str">
        <f aca="false">IF(A193="","",IF(COUNTIF(RSK_ID,A193)&gt;1,"CHECK: duplicate ID",IF(B193="","CHECK: Supplier ID missing",IF(COUNTIF(INV_ID,B193)=0,"CHECK: Supplier ID not in inventory",IF(AND(ISNUMBER(R193),ISNUMBER(L193),R193&gt;L193),"CHECK: residual score exceeds inherent - confirm",IF(AND(ISNUMBER(AF193),AF193&lt;AsOf),"Review overdue (administrative)","OK"))))))</f>
        <v/>
      </c>
      <c r="AI193" s="52" t="str">
        <f aca="false">IF(A193="","",IF(I193="","risk owner; ","")&amp;IF(OR(J193="",K193=""),"inherent rating; ","")&amp;IF(N193="","inherent rationale; ","")&amp;IF(OR(P193="",Q193=""),"residual rating; ","")&amp;IF(AND(OR(P193&lt;&gt;"",Q193&lt;&gt;""),T193=""),"residual rationale; ","")&amp;IF(AND(OR(P193&lt;&gt;"",Q193&lt;&gt;""),U193=""),"assessment confidence; ","")&amp;IF(AE193="","assessment date; ",""))</f>
        <v/>
      </c>
      <c r="AJ193" s="52" t="str">
        <f aca="false">IF(OR(A193="",B193=""),"",IF(B193=RptSup,B193&amp;"|"&amp;COUNTIF($B$7:B193,B193),""))</f>
        <v/>
      </c>
    </row>
    <row r="194" customFormat="false" ht="15" hidden="false" customHeight="false" outlineLevel="0" collapsed="false">
      <c r="A194" s="50"/>
      <c r="B194" s="50"/>
      <c r="C194" s="59" t="str">
        <f aca="false">IF(B194="","",IFERROR(INDEX(INV_NAME,MATCH(B194,INV_ID,0)),"CHECK: Supplier ID not found"))</f>
        <v/>
      </c>
      <c r="D194" s="34"/>
      <c r="E194" s="34"/>
      <c r="F194" s="34"/>
      <c r="G194" s="34"/>
      <c r="H194" s="34"/>
      <c r="I194" s="34"/>
      <c r="J194" s="50"/>
      <c r="K194" s="50"/>
      <c r="L194" s="52" t="str">
        <f aca="false">IF(A194="","",IF(AND(ISNUMBER(J194),ISNUMBER(K194),J194&gt;=1,J194&lt;=5,K194&gt;=1,K194&lt;=5),J194*K194,"Incomplete"))</f>
        <v/>
      </c>
      <c r="M194" s="52" t="str">
        <f aca="false">IF(A194="","",IF(ISNUMBER(L194),LOOKUP(L194,BandMin,BandName),"Incomplete"))</f>
        <v/>
      </c>
      <c r="N194" s="34"/>
      <c r="O194" s="34"/>
      <c r="P194" s="50"/>
      <c r="Q194" s="50"/>
      <c r="R194" s="61" t="str">
        <f aca="false">IF(A194="","",IF(AND(ISNUMBER(P194),ISNUMBER(Q194),P194&gt;=1,P194&lt;=5,Q194&gt;=1,Q194&lt;=5),P194*Q194,"Incomplete"))</f>
        <v/>
      </c>
      <c r="S194" s="52" t="str">
        <f aca="false">IF(A194="","",IF(ISNUMBER(R194),LOOKUP(R194,BandMin,BandName),"Incomplete"))</f>
        <v/>
      </c>
      <c r="T194" s="34"/>
      <c r="U194" s="50"/>
      <c r="V194" s="50"/>
      <c r="W194" s="50"/>
      <c r="X194" s="52" t="str">
        <f aca="false">IF(A194="","",IF(AND(V194="",W194=""),"Not set",IF(AND(ISNUMBER(V194),ISNUMBER(W194),V194&gt;=1,V194&lt;=5,W194&gt;=1,W194&lt;=5),V194*W194,"Incomplete")))</f>
        <v/>
      </c>
      <c r="Y194" s="52" t="str">
        <f aca="false">IF(A194="","",IF(X194="Not set","Not set",IF(ISNUMBER(X194),LOOKUP(X194,BandMin,BandName),"Incomplete")))</f>
        <v/>
      </c>
      <c r="Z194" s="34"/>
      <c r="AA194" s="54" t="str">
        <f aca="false">IF(A194="","",IF(AppetiteThreshold="","Not configured",IF(NOT(ISNUMBER(R194)),"Cannot assess - residual incomplete",IF(MATCH(S194,BandName,0)&gt;=MATCH(AppetiteThreshold,BandName,0),"Above appetite - escalation required","Within appetite"))))</f>
        <v/>
      </c>
      <c r="AB194" s="50"/>
      <c r="AC194" s="54" t="str">
        <f aca="false">IF(A194="","",IF(AB194="","No decision referenced",IFERROR(INDEX(DEC_FINAL,MATCH(AB194,DEC_ID,0))&amp;" - "&amp;INDEX(DEC_CURR,MATCH(AB194,DEC_ID,0)),"CHECK: Decision ID not found")))</f>
        <v/>
      </c>
      <c r="AD194" s="54" t="str">
        <f aca="false">IF(A194="","",IF(COUNTIF(TRT_RISK,A194)=0,"No treatment recorded",COUNTIF(TRT_RISK,A194)&amp;" action(s); "&amp;COUNTIFS(TRT_RISK,A194,TRT_OPEN,"Open")&amp;" open; "&amp;COUNTIFS(TRT_RISK,A194,TRT_OVERDUE,"Overdue")&amp;" overdue"))</f>
        <v/>
      </c>
      <c r="AE194" s="51"/>
      <c r="AF194" s="51"/>
      <c r="AG194" s="54" t="str">
        <f aca="false">IF(A194="","",IF(AI194="","Complete","Incomplete: "&amp;AI194))</f>
        <v/>
      </c>
      <c r="AH194" s="54" t="str">
        <f aca="false">IF(A194="","",IF(COUNTIF(RSK_ID,A194)&gt;1,"CHECK: duplicate ID",IF(B194="","CHECK: Supplier ID missing",IF(COUNTIF(INV_ID,B194)=0,"CHECK: Supplier ID not in inventory",IF(AND(ISNUMBER(R194),ISNUMBER(L194),R194&gt;L194),"CHECK: residual score exceeds inherent - confirm",IF(AND(ISNUMBER(AF194),AF194&lt;AsOf),"Review overdue (administrative)","OK"))))))</f>
        <v/>
      </c>
      <c r="AI194" s="52" t="str">
        <f aca="false">IF(A194="","",IF(I194="","risk owner; ","")&amp;IF(OR(J194="",K194=""),"inherent rating; ","")&amp;IF(N194="","inherent rationale; ","")&amp;IF(OR(P194="",Q194=""),"residual rating; ","")&amp;IF(AND(OR(P194&lt;&gt;"",Q194&lt;&gt;""),T194=""),"residual rationale; ","")&amp;IF(AND(OR(P194&lt;&gt;"",Q194&lt;&gt;""),U194=""),"assessment confidence; ","")&amp;IF(AE194="","assessment date; ",""))</f>
        <v/>
      </c>
      <c r="AJ194" s="52" t="str">
        <f aca="false">IF(OR(A194="",B194=""),"",IF(B194=RptSup,B194&amp;"|"&amp;COUNTIF($B$7:B194,B194),""))</f>
        <v/>
      </c>
    </row>
    <row r="195" customFormat="false" ht="15" hidden="false" customHeight="false" outlineLevel="0" collapsed="false">
      <c r="A195" s="50"/>
      <c r="B195" s="50"/>
      <c r="C195" s="59" t="str">
        <f aca="false">IF(B195="","",IFERROR(INDEX(INV_NAME,MATCH(B195,INV_ID,0)),"CHECK: Supplier ID not found"))</f>
        <v/>
      </c>
      <c r="D195" s="34"/>
      <c r="E195" s="34"/>
      <c r="F195" s="34"/>
      <c r="G195" s="34"/>
      <c r="H195" s="34"/>
      <c r="I195" s="34"/>
      <c r="J195" s="50"/>
      <c r="K195" s="50"/>
      <c r="L195" s="52" t="str">
        <f aca="false">IF(A195="","",IF(AND(ISNUMBER(J195),ISNUMBER(K195),J195&gt;=1,J195&lt;=5,K195&gt;=1,K195&lt;=5),J195*K195,"Incomplete"))</f>
        <v/>
      </c>
      <c r="M195" s="52" t="str">
        <f aca="false">IF(A195="","",IF(ISNUMBER(L195),LOOKUP(L195,BandMin,BandName),"Incomplete"))</f>
        <v/>
      </c>
      <c r="N195" s="34"/>
      <c r="O195" s="34"/>
      <c r="P195" s="50"/>
      <c r="Q195" s="50"/>
      <c r="R195" s="61" t="str">
        <f aca="false">IF(A195="","",IF(AND(ISNUMBER(P195),ISNUMBER(Q195),P195&gt;=1,P195&lt;=5,Q195&gt;=1,Q195&lt;=5),P195*Q195,"Incomplete"))</f>
        <v/>
      </c>
      <c r="S195" s="52" t="str">
        <f aca="false">IF(A195="","",IF(ISNUMBER(R195),LOOKUP(R195,BandMin,BandName),"Incomplete"))</f>
        <v/>
      </c>
      <c r="T195" s="34"/>
      <c r="U195" s="50"/>
      <c r="V195" s="50"/>
      <c r="W195" s="50"/>
      <c r="X195" s="52" t="str">
        <f aca="false">IF(A195="","",IF(AND(V195="",W195=""),"Not set",IF(AND(ISNUMBER(V195),ISNUMBER(W195),V195&gt;=1,V195&lt;=5,W195&gt;=1,W195&lt;=5),V195*W195,"Incomplete")))</f>
        <v/>
      </c>
      <c r="Y195" s="52" t="str">
        <f aca="false">IF(A195="","",IF(X195="Not set","Not set",IF(ISNUMBER(X195),LOOKUP(X195,BandMin,BandName),"Incomplete")))</f>
        <v/>
      </c>
      <c r="Z195" s="34"/>
      <c r="AA195" s="54" t="str">
        <f aca="false">IF(A195="","",IF(AppetiteThreshold="","Not configured",IF(NOT(ISNUMBER(R195)),"Cannot assess - residual incomplete",IF(MATCH(S195,BandName,0)&gt;=MATCH(AppetiteThreshold,BandName,0),"Above appetite - escalation required","Within appetite"))))</f>
        <v/>
      </c>
      <c r="AB195" s="50"/>
      <c r="AC195" s="54" t="str">
        <f aca="false">IF(A195="","",IF(AB195="","No decision referenced",IFERROR(INDEX(DEC_FINAL,MATCH(AB195,DEC_ID,0))&amp;" - "&amp;INDEX(DEC_CURR,MATCH(AB195,DEC_ID,0)),"CHECK: Decision ID not found")))</f>
        <v/>
      </c>
      <c r="AD195" s="54" t="str">
        <f aca="false">IF(A195="","",IF(COUNTIF(TRT_RISK,A195)=0,"No treatment recorded",COUNTIF(TRT_RISK,A195)&amp;" action(s); "&amp;COUNTIFS(TRT_RISK,A195,TRT_OPEN,"Open")&amp;" open; "&amp;COUNTIFS(TRT_RISK,A195,TRT_OVERDUE,"Overdue")&amp;" overdue"))</f>
        <v/>
      </c>
      <c r="AE195" s="51"/>
      <c r="AF195" s="51"/>
      <c r="AG195" s="54" t="str">
        <f aca="false">IF(A195="","",IF(AI195="","Complete","Incomplete: "&amp;AI195))</f>
        <v/>
      </c>
      <c r="AH195" s="54" t="str">
        <f aca="false">IF(A195="","",IF(COUNTIF(RSK_ID,A195)&gt;1,"CHECK: duplicate ID",IF(B195="","CHECK: Supplier ID missing",IF(COUNTIF(INV_ID,B195)=0,"CHECK: Supplier ID not in inventory",IF(AND(ISNUMBER(R195),ISNUMBER(L195),R195&gt;L195),"CHECK: residual score exceeds inherent - confirm",IF(AND(ISNUMBER(AF195),AF195&lt;AsOf),"Review overdue (administrative)","OK"))))))</f>
        <v/>
      </c>
      <c r="AI195" s="52" t="str">
        <f aca="false">IF(A195="","",IF(I195="","risk owner; ","")&amp;IF(OR(J195="",K195=""),"inherent rating; ","")&amp;IF(N195="","inherent rationale; ","")&amp;IF(OR(P195="",Q195=""),"residual rating; ","")&amp;IF(AND(OR(P195&lt;&gt;"",Q195&lt;&gt;""),T195=""),"residual rationale; ","")&amp;IF(AND(OR(P195&lt;&gt;"",Q195&lt;&gt;""),U195=""),"assessment confidence; ","")&amp;IF(AE195="","assessment date; ",""))</f>
        <v/>
      </c>
      <c r="AJ195" s="52" t="str">
        <f aca="false">IF(OR(A195="",B195=""),"",IF(B195=RptSup,B195&amp;"|"&amp;COUNTIF($B$7:B195,B195),""))</f>
        <v/>
      </c>
    </row>
    <row r="196" customFormat="false" ht="15" hidden="false" customHeight="false" outlineLevel="0" collapsed="false">
      <c r="A196" s="50"/>
      <c r="B196" s="50"/>
      <c r="C196" s="59" t="str">
        <f aca="false">IF(B196="","",IFERROR(INDEX(INV_NAME,MATCH(B196,INV_ID,0)),"CHECK: Supplier ID not found"))</f>
        <v/>
      </c>
      <c r="D196" s="34"/>
      <c r="E196" s="34"/>
      <c r="F196" s="34"/>
      <c r="G196" s="34"/>
      <c r="H196" s="34"/>
      <c r="I196" s="34"/>
      <c r="J196" s="50"/>
      <c r="K196" s="50"/>
      <c r="L196" s="52" t="str">
        <f aca="false">IF(A196="","",IF(AND(ISNUMBER(J196),ISNUMBER(K196),J196&gt;=1,J196&lt;=5,K196&gt;=1,K196&lt;=5),J196*K196,"Incomplete"))</f>
        <v/>
      </c>
      <c r="M196" s="52" t="str">
        <f aca="false">IF(A196="","",IF(ISNUMBER(L196),LOOKUP(L196,BandMin,BandName),"Incomplete"))</f>
        <v/>
      </c>
      <c r="N196" s="34"/>
      <c r="O196" s="34"/>
      <c r="P196" s="50"/>
      <c r="Q196" s="50"/>
      <c r="R196" s="61" t="str">
        <f aca="false">IF(A196="","",IF(AND(ISNUMBER(P196),ISNUMBER(Q196),P196&gt;=1,P196&lt;=5,Q196&gt;=1,Q196&lt;=5),P196*Q196,"Incomplete"))</f>
        <v/>
      </c>
      <c r="S196" s="52" t="str">
        <f aca="false">IF(A196="","",IF(ISNUMBER(R196),LOOKUP(R196,BandMin,BandName),"Incomplete"))</f>
        <v/>
      </c>
      <c r="T196" s="34"/>
      <c r="U196" s="50"/>
      <c r="V196" s="50"/>
      <c r="W196" s="50"/>
      <c r="X196" s="52" t="str">
        <f aca="false">IF(A196="","",IF(AND(V196="",W196=""),"Not set",IF(AND(ISNUMBER(V196),ISNUMBER(W196),V196&gt;=1,V196&lt;=5,W196&gt;=1,W196&lt;=5),V196*W196,"Incomplete")))</f>
        <v/>
      </c>
      <c r="Y196" s="52" t="str">
        <f aca="false">IF(A196="","",IF(X196="Not set","Not set",IF(ISNUMBER(X196),LOOKUP(X196,BandMin,BandName),"Incomplete")))</f>
        <v/>
      </c>
      <c r="Z196" s="34"/>
      <c r="AA196" s="54" t="str">
        <f aca="false">IF(A196="","",IF(AppetiteThreshold="","Not configured",IF(NOT(ISNUMBER(R196)),"Cannot assess - residual incomplete",IF(MATCH(S196,BandName,0)&gt;=MATCH(AppetiteThreshold,BandName,0),"Above appetite - escalation required","Within appetite"))))</f>
        <v/>
      </c>
      <c r="AB196" s="50"/>
      <c r="AC196" s="54" t="str">
        <f aca="false">IF(A196="","",IF(AB196="","No decision referenced",IFERROR(INDEX(DEC_FINAL,MATCH(AB196,DEC_ID,0))&amp;" - "&amp;INDEX(DEC_CURR,MATCH(AB196,DEC_ID,0)),"CHECK: Decision ID not found")))</f>
        <v/>
      </c>
      <c r="AD196" s="54" t="str">
        <f aca="false">IF(A196="","",IF(COUNTIF(TRT_RISK,A196)=0,"No treatment recorded",COUNTIF(TRT_RISK,A196)&amp;" action(s); "&amp;COUNTIFS(TRT_RISK,A196,TRT_OPEN,"Open")&amp;" open; "&amp;COUNTIFS(TRT_RISK,A196,TRT_OVERDUE,"Overdue")&amp;" overdue"))</f>
        <v/>
      </c>
      <c r="AE196" s="51"/>
      <c r="AF196" s="51"/>
      <c r="AG196" s="54" t="str">
        <f aca="false">IF(A196="","",IF(AI196="","Complete","Incomplete: "&amp;AI196))</f>
        <v/>
      </c>
      <c r="AH196" s="54" t="str">
        <f aca="false">IF(A196="","",IF(COUNTIF(RSK_ID,A196)&gt;1,"CHECK: duplicate ID",IF(B196="","CHECK: Supplier ID missing",IF(COUNTIF(INV_ID,B196)=0,"CHECK: Supplier ID not in inventory",IF(AND(ISNUMBER(R196),ISNUMBER(L196),R196&gt;L196),"CHECK: residual score exceeds inherent - confirm",IF(AND(ISNUMBER(AF196),AF196&lt;AsOf),"Review overdue (administrative)","OK"))))))</f>
        <v/>
      </c>
      <c r="AI196" s="52" t="str">
        <f aca="false">IF(A196="","",IF(I196="","risk owner; ","")&amp;IF(OR(J196="",K196=""),"inherent rating; ","")&amp;IF(N196="","inherent rationale; ","")&amp;IF(OR(P196="",Q196=""),"residual rating; ","")&amp;IF(AND(OR(P196&lt;&gt;"",Q196&lt;&gt;""),T196=""),"residual rationale; ","")&amp;IF(AND(OR(P196&lt;&gt;"",Q196&lt;&gt;""),U196=""),"assessment confidence; ","")&amp;IF(AE196="","assessment date; ",""))</f>
        <v/>
      </c>
      <c r="AJ196" s="52" t="str">
        <f aca="false">IF(OR(A196="",B196=""),"",IF(B196=RptSup,B196&amp;"|"&amp;COUNTIF($B$7:B196,B196),""))</f>
        <v/>
      </c>
    </row>
    <row r="197" customFormat="false" ht="15" hidden="false" customHeight="false" outlineLevel="0" collapsed="false">
      <c r="A197" s="50"/>
      <c r="B197" s="50"/>
      <c r="C197" s="59" t="str">
        <f aca="false">IF(B197="","",IFERROR(INDEX(INV_NAME,MATCH(B197,INV_ID,0)),"CHECK: Supplier ID not found"))</f>
        <v/>
      </c>
      <c r="D197" s="34"/>
      <c r="E197" s="34"/>
      <c r="F197" s="34"/>
      <c r="G197" s="34"/>
      <c r="H197" s="34"/>
      <c r="I197" s="34"/>
      <c r="J197" s="50"/>
      <c r="K197" s="50"/>
      <c r="L197" s="52" t="str">
        <f aca="false">IF(A197="","",IF(AND(ISNUMBER(J197),ISNUMBER(K197),J197&gt;=1,J197&lt;=5,K197&gt;=1,K197&lt;=5),J197*K197,"Incomplete"))</f>
        <v/>
      </c>
      <c r="M197" s="52" t="str">
        <f aca="false">IF(A197="","",IF(ISNUMBER(L197),LOOKUP(L197,BandMin,BandName),"Incomplete"))</f>
        <v/>
      </c>
      <c r="N197" s="34"/>
      <c r="O197" s="34"/>
      <c r="P197" s="50"/>
      <c r="Q197" s="50"/>
      <c r="R197" s="61" t="str">
        <f aca="false">IF(A197="","",IF(AND(ISNUMBER(P197),ISNUMBER(Q197),P197&gt;=1,P197&lt;=5,Q197&gt;=1,Q197&lt;=5),P197*Q197,"Incomplete"))</f>
        <v/>
      </c>
      <c r="S197" s="52" t="str">
        <f aca="false">IF(A197="","",IF(ISNUMBER(R197),LOOKUP(R197,BandMin,BandName),"Incomplete"))</f>
        <v/>
      </c>
      <c r="T197" s="34"/>
      <c r="U197" s="50"/>
      <c r="V197" s="50"/>
      <c r="W197" s="50"/>
      <c r="X197" s="52" t="str">
        <f aca="false">IF(A197="","",IF(AND(V197="",W197=""),"Not set",IF(AND(ISNUMBER(V197),ISNUMBER(W197),V197&gt;=1,V197&lt;=5,W197&gt;=1,W197&lt;=5),V197*W197,"Incomplete")))</f>
        <v/>
      </c>
      <c r="Y197" s="52" t="str">
        <f aca="false">IF(A197="","",IF(X197="Not set","Not set",IF(ISNUMBER(X197),LOOKUP(X197,BandMin,BandName),"Incomplete")))</f>
        <v/>
      </c>
      <c r="Z197" s="34"/>
      <c r="AA197" s="54" t="str">
        <f aca="false">IF(A197="","",IF(AppetiteThreshold="","Not configured",IF(NOT(ISNUMBER(R197)),"Cannot assess - residual incomplete",IF(MATCH(S197,BandName,0)&gt;=MATCH(AppetiteThreshold,BandName,0),"Above appetite - escalation required","Within appetite"))))</f>
        <v/>
      </c>
      <c r="AB197" s="50"/>
      <c r="AC197" s="54" t="str">
        <f aca="false">IF(A197="","",IF(AB197="","No decision referenced",IFERROR(INDEX(DEC_FINAL,MATCH(AB197,DEC_ID,0))&amp;" - "&amp;INDEX(DEC_CURR,MATCH(AB197,DEC_ID,0)),"CHECK: Decision ID not found")))</f>
        <v/>
      </c>
      <c r="AD197" s="54" t="str">
        <f aca="false">IF(A197="","",IF(COUNTIF(TRT_RISK,A197)=0,"No treatment recorded",COUNTIF(TRT_RISK,A197)&amp;" action(s); "&amp;COUNTIFS(TRT_RISK,A197,TRT_OPEN,"Open")&amp;" open; "&amp;COUNTIFS(TRT_RISK,A197,TRT_OVERDUE,"Overdue")&amp;" overdue"))</f>
        <v/>
      </c>
      <c r="AE197" s="51"/>
      <c r="AF197" s="51"/>
      <c r="AG197" s="54" t="str">
        <f aca="false">IF(A197="","",IF(AI197="","Complete","Incomplete: "&amp;AI197))</f>
        <v/>
      </c>
      <c r="AH197" s="54" t="str">
        <f aca="false">IF(A197="","",IF(COUNTIF(RSK_ID,A197)&gt;1,"CHECK: duplicate ID",IF(B197="","CHECK: Supplier ID missing",IF(COUNTIF(INV_ID,B197)=0,"CHECK: Supplier ID not in inventory",IF(AND(ISNUMBER(R197),ISNUMBER(L197),R197&gt;L197),"CHECK: residual score exceeds inherent - confirm",IF(AND(ISNUMBER(AF197),AF197&lt;AsOf),"Review overdue (administrative)","OK"))))))</f>
        <v/>
      </c>
      <c r="AI197" s="52" t="str">
        <f aca="false">IF(A197="","",IF(I197="","risk owner; ","")&amp;IF(OR(J197="",K197=""),"inherent rating; ","")&amp;IF(N197="","inherent rationale; ","")&amp;IF(OR(P197="",Q197=""),"residual rating; ","")&amp;IF(AND(OR(P197&lt;&gt;"",Q197&lt;&gt;""),T197=""),"residual rationale; ","")&amp;IF(AND(OR(P197&lt;&gt;"",Q197&lt;&gt;""),U197=""),"assessment confidence; ","")&amp;IF(AE197="","assessment date; ",""))</f>
        <v/>
      </c>
      <c r="AJ197" s="52" t="str">
        <f aca="false">IF(OR(A197="",B197=""),"",IF(B197=RptSup,B197&amp;"|"&amp;COUNTIF($B$7:B197,B197),""))</f>
        <v/>
      </c>
    </row>
    <row r="198" customFormat="false" ht="15" hidden="false" customHeight="false" outlineLevel="0" collapsed="false">
      <c r="A198" s="50"/>
      <c r="B198" s="50"/>
      <c r="C198" s="59" t="str">
        <f aca="false">IF(B198="","",IFERROR(INDEX(INV_NAME,MATCH(B198,INV_ID,0)),"CHECK: Supplier ID not found"))</f>
        <v/>
      </c>
      <c r="D198" s="34"/>
      <c r="E198" s="34"/>
      <c r="F198" s="34"/>
      <c r="G198" s="34"/>
      <c r="H198" s="34"/>
      <c r="I198" s="34"/>
      <c r="J198" s="50"/>
      <c r="K198" s="50"/>
      <c r="L198" s="52" t="str">
        <f aca="false">IF(A198="","",IF(AND(ISNUMBER(J198),ISNUMBER(K198),J198&gt;=1,J198&lt;=5,K198&gt;=1,K198&lt;=5),J198*K198,"Incomplete"))</f>
        <v/>
      </c>
      <c r="M198" s="52" t="str">
        <f aca="false">IF(A198="","",IF(ISNUMBER(L198),LOOKUP(L198,BandMin,BandName),"Incomplete"))</f>
        <v/>
      </c>
      <c r="N198" s="34"/>
      <c r="O198" s="34"/>
      <c r="P198" s="50"/>
      <c r="Q198" s="50"/>
      <c r="R198" s="61" t="str">
        <f aca="false">IF(A198="","",IF(AND(ISNUMBER(P198),ISNUMBER(Q198),P198&gt;=1,P198&lt;=5,Q198&gt;=1,Q198&lt;=5),P198*Q198,"Incomplete"))</f>
        <v/>
      </c>
      <c r="S198" s="52" t="str">
        <f aca="false">IF(A198="","",IF(ISNUMBER(R198),LOOKUP(R198,BandMin,BandName),"Incomplete"))</f>
        <v/>
      </c>
      <c r="T198" s="34"/>
      <c r="U198" s="50"/>
      <c r="V198" s="50"/>
      <c r="W198" s="50"/>
      <c r="X198" s="52" t="str">
        <f aca="false">IF(A198="","",IF(AND(V198="",W198=""),"Not set",IF(AND(ISNUMBER(V198),ISNUMBER(W198),V198&gt;=1,V198&lt;=5,W198&gt;=1,W198&lt;=5),V198*W198,"Incomplete")))</f>
        <v/>
      </c>
      <c r="Y198" s="52" t="str">
        <f aca="false">IF(A198="","",IF(X198="Not set","Not set",IF(ISNUMBER(X198),LOOKUP(X198,BandMin,BandName),"Incomplete")))</f>
        <v/>
      </c>
      <c r="Z198" s="34"/>
      <c r="AA198" s="54" t="str">
        <f aca="false">IF(A198="","",IF(AppetiteThreshold="","Not configured",IF(NOT(ISNUMBER(R198)),"Cannot assess - residual incomplete",IF(MATCH(S198,BandName,0)&gt;=MATCH(AppetiteThreshold,BandName,0),"Above appetite - escalation required","Within appetite"))))</f>
        <v/>
      </c>
      <c r="AB198" s="50"/>
      <c r="AC198" s="54" t="str">
        <f aca="false">IF(A198="","",IF(AB198="","No decision referenced",IFERROR(INDEX(DEC_FINAL,MATCH(AB198,DEC_ID,0))&amp;" - "&amp;INDEX(DEC_CURR,MATCH(AB198,DEC_ID,0)),"CHECK: Decision ID not found")))</f>
        <v/>
      </c>
      <c r="AD198" s="54" t="str">
        <f aca="false">IF(A198="","",IF(COUNTIF(TRT_RISK,A198)=0,"No treatment recorded",COUNTIF(TRT_RISK,A198)&amp;" action(s); "&amp;COUNTIFS(TRT_RISK,A198,TRT_OPEN,"Open")&amp;" open; "&amp;COUNTIFS(TRT_RISK,A198,TRT_OVERDUE,"Overdue")&amp;" overdue"))</f>
        <v/>
      </c>
      <c r="AE198" s="51"/>
      <c r="AF198" s="51"/>
      <c r="AG198" s="54" t="str">
        <f aca="false">IF(A198="","",IF(AI198="","Complete","Incomplete: "&amp;AI198))</f>
        <v/>
      </c>
      <c r="AH198" s="54" t="str">
        <f aca="false">IF(A198="","",IF(COUNTIF(RSK_ID,A198)&gt;1,"CHECK: duplicate ID",IF(B198="","CHECK: Supplier ID missing",IF(COUNTIF(INV_ID,B198)=0,"CHECK: Supplier ID not in inventory",IF(AND(ISNUMBER(R198),ISNUMBER(L198),R198&gt;L198),"CHECK: residual score exceeds inherent - confirm",IF(AND(ISNUMBER(AF198),AF198&lt;AsOf),"Review overdue (administrative)","OK"))))))</f>
        <v/>
      </c>
      <c r="AI198" s="52" t="str">
        <f aca="false">IF(A198="","",IF(I198="","risk owner; ","")&amp;IF(OR(J198="",K198=""),"inherent rating; ","")&amp;IF(N198="","inherent rationale; ","")&amp;IF(OR(P198="",Q198=""),"residual rating; ","")&amp;IF(AND(OR(P198&lt;&gt;"",Q198&lt;&gt;""),T198=""),"residual rationale; ","")&amp;IF(AND(OR(P198&lt;&gt;"",Q198&lt;&gt;""),U198=""),"assessment confidence; ","")&amp;IF(AE198="","assessment date; ",""))</f>
        <v/>
      </c>
      <c r="AJ198" s="52" t="str">
        <f aca="false">IF(OR(A198="",B198=""),"",IF(B198=RptSup,B198&amp;"|"&amp;COUNTIF($B$7:B198,B198),""))</f>
        <v/>
      </c>
    </row>
    <row r="199" customFormat="false" ht="15" hidden="false" customHeight="false" outlineLevel="0" collapsed="false">
      <c r="A199" s="50"/>
      <c r="B199" s="50"/>
      <c r="C199" s="59" t="str">
        <f aca="false">IF(B199="","",IFERROR(INDEX(INV_NAME,MATCH(B199,INV_ID,0)),"CHECK: Supplier ID not found"))</f>
        <v/>
      </c>
      <c r="D199" s="34"/>
      <c r="E199" s="34"/>
      <c r="F199" s="34"/>
      <c r="G199" s="34"/>
      <c r="H199" s="34"/>
      <c r="I199" s="34"/>
      <c r="J199" s="50"/>
      <c r="K199" s="50"/>
      <c r="L199" s="52" t="str">
        <f aca="false">IF(A199="","",IF(AND(ISNUMBER(J199),ISNUMBER(K199),J199&gt;=1,J199&lt;=5,K199&gt;=1,K199&lt;=5),J199*K199,"Incomplete"))</f>
        <v/>
      </c>
      <c r="M199" s="52" t="str">
        <f aca="false">IF(A199="","",IF(ISNUMBER(L199),LOOKUP(L199,BandMin,BandName),"Incomplete"))</f>
        <v/>
      </c>
      <c r="N199" s="34"/>
      <c r="O199" s="34"/>
      <c r="P199" s="50"/>
      <c r="Q199" s="50"/>
      <c r="R199" s="61" t="str">
        <f aca="false">IF(A199="","",IF(AND(ISNUMBER(P199),ISNUMBER(Q199),P199&gt;=1,P199&lt;=5,Q199&gt;=1,Q199&lt;=5),P199*Q199,"Incomplete"))</f>
        <v/>
      </c>
      <c r="S199" s="52" t="str">
        <f aca="false">IF(A199="","",IF(ISNUMBER(R199),LOOKUP(R199,BandMin,BandName),"Incomplete"))</f>
        <v/>
      </c>
      <c r="T199" s="34"/>
      <c r="U199" s="50"/>
      <c r="V199" s="50"/>
      <c r="W199" s="50"/>
      <c r="X199" s="52" t="str">
        <f aca="false">IF(A199="","",IF(AND(V199="",W199=""),"Not set",IF(AND(ISNUMBER(V199),ISNUMBER(W199),V199&gt;=1,V199&lt;=5,W199&gt;=1,W199&lt;=5),V199*W199,"Incomplete")))</f>
        <v/>
      </c>
      <c r="Y199" s="52" t="str">
        <f aca="false">IF(A199="","",IF(X199="Not set","Not set",IF(ISNUMBER(X199),LOOKUP(X199,BandMin,BandName),"Incomplete")))</f>
        <v/>
      </c>
      <c r="Z199" s="34"/>
      <c r="AA199" s="54" t="str">
        <f aca="false">IF(A199="","",IF(AppetiteThreshold="","Not configured",IF(NOT(ISNUMBER(R199)),"Cannot assess - residual incomplete",IF(MATCH(S199,BandName,0)&gt;=MATCH(AppetiteThreshold,BandName,0),"Above appetite - escalation required","Within appetite"))))</f>
        <v/>
      </c>
      <c r="AB199" s="50"/>
      <c r="AC199" s="54" t="str">
        <f aca="false">IF(A199="","",IF(AB199="","No decision referenced",IFERROR(INDEX(DEC_FINAL,MATCH(AB199,DEC_ID,0))&amp;" - "&amp;INDEX(DEC_CURR,MATCH(AB199,DEC_ID,0)),"CHECK: Decision ID not found")))</f>
        <v/>
      </c>
      <c r="AD199" s="54" t="str">
        <f aca="false">IF(A199="","",IF(COUNTIF(TRT_RISK,A199)=0,"No treatment recorded",COUNTIF(TRT_RISK,A199)&amp;" action(s); "&amp;COUNTIFS(TRT_RISK,A199,TRT_OPEN,"Open")&amp;" open; "&amp;COUNTIFS(TRT_RISK,A199,TRT_OVERDUE,"Overdue")&amp;" overdue"))</f>
        <v/>
      </c>
      <c r="AE199" s="51"/>
      <c r="AF199" s="51"/>
      <c r="AG199" s="54" t="str">
        <f aca="false">IF(A199="","",IF(AI199="","Complete","Incomplete: "&amp;AI199))</f>
        <v/>
      </c>
      <c r="AH199" s="54" t="str">
        <f aca="false">IF(A199="","",IF(COUNTIF(RSK_ID,A199)&gt;1,"CHECK: duplicate ID",IF(B199="","CHECK: Supplier ID missing",IF(COUNTIF(INV_ID,B199)=0,"CHECK: Supplier ID not in inventory",IF(AND(ISNUMBER(R199),ISNUMBER(L199),R199&gt;L199),"CHECK: residual score exceeds inherent - confirm",IF(AND(ISNUMBER(AF199),AF199&lt;AsOf),"Review overdue (administrative)","OK"))))))</f>
        <v/>
      </c>
      <c r="AI199" s="52" t="str">
        <f aca="false">IF(A199="","",IF(I199="","risk owner; ","")&amp;IF(OR(J199="",K199=""),"inherent rating; ","")&amp;IF(N199="","inherent rationale; ","")&amp;IF(OR(P199="",Q199=""),"residual rating; ","")&amp;IF(AND(OR(P199&lt;&gt;"",Q199&lt;&gt;""),T199=""),"residual rationale; ","")&amp;IF(AND(OR(P199&lt;&gt;"",Q199&lt;&gt;""),U199=""),"assessment confidence; ","")&amp;IF(AE199="","assessment date; ",""))</f>
        <v/>
      </c>
      <c r="AJ199" s="52" t="str">
        <f aca="false">IF(OR(A199="",B199=""),"",IF(B199=RptSup,B199&amp;"|"&amp;COUNTIF($B$7:B199,B199),""))</f>
        <v/>
      </c>
    </row>
    <row r="200" customFormat="false" ht="15" hidden="false" customHeight="false" outlineLevel="0" collapsed="false">
      <c r="A200" s="50"/>
      <c r="B200" s="50"/>
      <c r="C200" s="59" t="str">
        <f aca="false">IF(B200="","",IFERROR(INDEX(INV_NAME,MATCH(B200,INV_ID,0)),"CHECK: Supplier ID not found"))</f>
        <v/>
      </c>
      <c r="D200" s="34"/>
      <c r="E200" s="34"/>
      <c r="F200" s="34"/>
      <c r="G200" s="34"/>
      <c r="H200" s="34"/>
      <c r="I200" s="34"/>
      <c r="J200" s="50"/>
      <c r="K200" s="50"/>
      <c r="L200" s="52" t="str">
        <f aca="false">IF(A200="","",IF(AND(ISNUMBER(J200),ISNUMBER(K200),J200&gt;=1,J200&lt;=5,K200&gt;=1,K200&lt;=5),J200*K200,"Incomplete"))</f>
        <v/>
      </c>
      <c r="M200" s="52" t="str">
        <f aca="false">IF(A200="","",IF(ISNUMBER(L200),LOOKUP(L200,BandMin,BandName),"Incomplete"))</f>
        <v/>
      </c>
      <c r="N200" s="34"/>
      <c r="O200" s="34"/>
      <c r="P200" s="50"/>
      <c r="Q200" s="50"/>
      <c r="R200" s="61" t="str">
        <f aca="false">IF(A200="","",IF(AND(ISNUMBER(P200),ISNUMBER(Q200),P200&gt;=1,P200&lt;=5,Q200&gt;=1,Q200&lt;=5),P200*Q200,"Incomplete"))</f>
        <v/>
      </c>
      <c r="S200" s="52" t="str">
        <f aca="false">IF(A200="","",IF(ISNUMBER(R200),LOOKUP(R200,BandMin,BandName),"Incomplete"))</f>
        <v/>
      </c>
      <c r="T200" s="34"/>
      <c r="U200" s="50"/>
      <c r="V200" s="50"/>
      <c r="W200" s="50"/>
      <c r="X200" s="52" t="str">
        <f aca="false">IF(A200="","",IF(AND(V200="",W200=""),"Not set",IF(AND(ISNUMBER(V200),ISNUMBER(W200),V200&gt;=1,V200&lt;=5,W200&gt;=1,W200&lt;=5),V200*W200,"Incomplete")))</f>
        <v/>
      </c>
      <c r="Y200" s="52" t="str">
        <f aca="false">IF(A200="","",IF(X200="Not set","Not set",IF(ISNUMBER(X200),LOOKUP(X200,BandMin,BandName),"Incomplete")))</f>
        <v/>
      </c>
      <c r="Z200" s="34"/>
      <c r="AA200" s="54" t="str">
        <f aca="false">IF(A200="","",IF(AppetiteThreshold="","Not configured",IF(NOT(ISNUMBER(R200)),"Cannot assess - residual incomplete",IF(MATCH(S200,BandName,0)&gt;=MATCH(AppetiteThreshold,BandName,0),"Above appetite - escalation required","Within appetite"))))</f>
        <v/>
      </c>
      <c r="AB200" s="50"/>
      <c r="AC200" s="54" t="str">
        <f aca="false">IF(A200="","",IF(AB200="","No decision referenced",IFERROR(INDEX(DEC_FINAL,MATCH(AB200,DEC_ID,0))&amp;" - "&amp;INDEX(DEC_CURR,MATCH(AB200,DEC_ID,0)),"CHECK: Decision ID not found")))</f>
        <v/>
      </c>
      <c r="AD200" s="54" t="str">
        <f aca="false">IF(A200="","",IF(COUNTIF(TRT_RISK,A200)=0,"No treatment recorded",COUNTIF(TRT_RISK,A200)&amp;" action(s); "&amp;COUNTIFS(TRT_RISK,A200,TRT_OPEN,"Open")&amp;" open; "&amp;COUNTIFS(TRT_RISK,A200,TRT_OVERDUE,"Overdue")&amp;" overdue"))</f>
        <v/>
      </c>
      <c r="AE200" s="51"/>
      <c r="AF200" s="51"/>
      <c r="AG200" s="54" t="str">
        <f aca="false">IF(A200="","",IF(AI200="","Complete","Incomplete: "&amp;AI200))</f>
        <v/>
      </c>
      <c r="AH200" s="54" t="str">
        <f aca="false">IF(A200="","",IF(COUNTIF(RSK_ID,A200)&gt;1,"CHECK: duplicate ID",IF(B200="","CHECK: Supplier ID missing",IF(COUNTIF(INV_ID,B200)=0,"CHECK: Supplier ID not in inventory",IF(AND(ISNUMBER(R200),ISNUMBER(L200),R200&gt;L200),"CHECK: residual score exceeds inherent - confirm",IF(AND(ISNUMBER(AF200),AF200&lt;AsOf),"Review overdue (administrative)","OK"))))))</f>
        <v/>
      </c>
      <c r="AI200" s="52" t="str">
        <f aca="false">IF(A200="","",IF(I200="","risk owner; ","")&amp;IF(OR(J200="",K200=""),"inherent rating; ","")&amp;IF(N200="","inherent rationale; ","")&amp;IF(OR(P200="",Q200=""),"residual rating; ","")&amp;IF(AND(OR(P200&lt;&gt;"",Q200&lt;&gt;""),T200=""),"residual rationale; ","")&amp;IF(AND(OR(P200&lt;&gt;"",Q200&lt;&gt;""),U200=""),"assessment confidence; ","")&amp;IF(AE200="","assessment date; ",""))</f>
        <v/>
      </c>
      <c r="AJ200" s="52" t="str">
        <f aca="false">IF(OR(A200="",B200=""),"",IF(B200=RptSup,B200&amp;"|"&amp;COUNTIF($B$7:B200,B200),""))</f>
        <v/>
      </c>
    </row>
    <row r="201" customFormat="false" ht="15" hidden="false" customHeight="false" outlineLevel="0" collapsed="false">
      <c r="A201" s="50"/>
      <c r="B201" s="50"/>
      <c r="C201" s="59" t="str">
        <f aca="false">IF(B201="","",IFERROR(INDEX(INV_NAME,MATCH(B201,INV_ID,0)),"CHECK: Supplier ID not found"))</f>
        <v/>
      </c>
      <c r="D201" s="34"/>
      <c r="E201" s="34"/>
      <c r="F201" s="34"/>
      <c r="G201" s="34"/>
      <c r="H201" s="34"/>
      <c r="I201" s="34"/>
      <c r="J201" s="50"/>
      <c r="K201" s="50"/>
      <c r="L201" s="52" t="str">
        <f aca="false">IF(A201="","",IF(AND(ISNUMBER(J201),ISNUMBER(K201),J201&gt;=1,J201&lt;=5,K201&gt;=1,K201&lt;=5),J201*K201,"Incomplete"))</f>
        <v/>
      </c>
      <c r="M201" s="52" t="str">
        <f aca="false">IF(A201="","",IF(ISNUMBER(L201),LOOKUP(L201,BandMin,BandName),"Incomplete"))</f>
        <v/>
      </c>
      <c r="N201" s="34"/>
      <c r="O201" s="34"/>
      <c r="P201" s="50"/>
      <c r="Q201" s="50"/>
      <c r="R201" s="61" t="str">
        <f aca="false">IF(A201="","",IF(AND(ISNUMBER(P201),ISNUMBER(Q201),P201&gt;=1,P201&lt;=5,Q201&gt;=1,Q201&lt;=5),P201*Q201,"Incomplete"))</f>
        <v/>
      </c>
      <c r="S201" s="52" t="str">
        <f aca="false">IF(A201="","",IF(ISNUMBER(R201),LOOKUP(R201,BandMin,BandName),"Incomplete"))</f>
        <v/>
      </c>
      <c r="T201" s="34"/>
      <c r="U201" s="50"/>
      <c r="V201" s="50"/>
      <c r="W201" s="50"/>
      <c r="X201" s="52" t="str">
        <f aca="false">IF(A201="","",IF(AND(V201="",W201=""),"Not set",IF(AND(ISNUMBER(V201),ISNUMBER(W201),V201&gt;=1,V201&lt;=5,W201&gt;=1,W201&lt;=5),V201*W201,"Incomplete")))</f>
        <v/>
      </c>
      <c r="Y201" s="52" t="str">
        <f aca="false">IF(A201="","",IF(X201="Not set","Not set",IF(ISNUMBER(X201),LOOKUP(X201,BandMin,BandName),"Incomplete")))</f>
        <v/>
      </c>
      <c r="Z201" s="34"/>
      <c r="AA201" s="54" t="str">
        <f aca="false">IF(A201="","",IF(AppetiteThreshold="","Not configured",IF(NOT(ISNUMBER(R201)),"Cannot assess - residual incomplete",IF(MATCH(S201,BandName,0)&gt;=MATCH(AppetiteThreshold,BandName,0),"Above appetite - escalation required","Within appetite"))))</f>
        <v/>
      </c>
      <c r="AB201" s="50"/>
      <c r="AC201" s="54" t="str">
        <f aca="false">IF(A201="","",IF(AB201="","No decision referenced",IFERROR(INDEX(DEC_FINAL,MATCH(AB201,DEC_ID,0))&amp;" - "&amp;INDEX(DEC_CURR,MATCH(AB201,DEC_ID,0)),"CHECK: Decision ID not found")))</f>
        <v/>
      </c>
      <c r="AD201" s="54" t="str">
        <f aca="false">IF(A201="","",IF(COUNTIF(TRT_RISK,A201)=0,"No treatment recorded",COUNTIF(TRT_RISK,A201)&amp;" action(s); "&amp;COUNTIFS(TRT_RISK,A201,TRT_OPEN,"Open")&amp;" open; "&amp;COUNTIFS(TRT_RISK,A201,TRT_OVERDUE,"Overdue")&amp;" overdue"))</f>
        <v/>
      </c>
      <c r="AE201" s="51"/>
      <c r="AF201" s="51"/>
      <c r="AG201" s="54" t="str">
        <f aca="false">IF(A201="","",IF(AI201="","Complete","Incomplete: "&amp;AI201))</f>
        <v/>
      </c>
      <c r="AH201" s="54" t="str">
        <f aca="false">IF(A201="","",IF(COUNTIF(RSK_ID,A201)&gt;1,"CHECK: duplicate ID",IF(B201="","CHECK: Supplier ID missing",IF(COUNTIF(INV_ID,B201)=0,"CHECK: Supplier ID not in inventory",IF(AND(ISNUMBER(R201),ISNUMBER(L201),R201&gt;L201),"CHECK: residual score exceeds inherent - confirm",IF(AND(ISNUMBER(AF201),AF201&lt;AsOf),"Review overdue (administrative)","OK"))))))</f>
        <v/>
      </c>
      <c r="AI201" s="52" t="str">
        <f aca="false">IF(A201="","",IF(I201="","risk owner; ","")&amp;IF(OR(J201="",K201=""),"inherent rating; ","")&amp;IF(N201="","inherent rationale; ","")&amp;IF(OR(P201="",Q201=""),"residual rating; ","")&amp;IF(AND(OR(P201&lt;&gt;"",Q201&lt;&gt;""),T201=""),"residual rationale; ","")&amp;IF(AND(OR(P201&lt;&gt;"",Q201&lt;&gt;""),U201=""),"assessment confidence; ","")&amp;IF(AE201="","assessment date; ",""))</f>
        <v/>
      </c>
      <c r="AJ201" s="52" t="str">
        <f aca="false">IF(OR(A201="",B201=""),"",IF(B201=RptSup,B201&amp;"|"&amp;COUNTIF($B$7:B201,B201),""))</f>
        <v/>
      </c>
    </row>
    <row r="202" customFormat="false" ht="15" hidden="false" customHeight="false" outlineLevel="0" collapsed="false">
      <c r="A202" s="50"/>
      <c r="B202" s="50"/>
      <c r="C202" s="59" t="str">
        <f aca="false">IF(B202="","",IFERROR(INDEX(INV_NAME,MATCH(B202,INV_ID,0)),"CHECK: Supplier ID not found"))</f>
        <v/>
      </c>
      <c r="D202" s="34"/>
      <c r="E202" s="34"/>
      <c r="F202" s="34"/>
      <c r="G202" s="34"/>
      <c r="H202" s="34"/>
      <c r="I202" s="34"/>
      <c r="J202" s="50"/>
      <c r="K202" s="50"/>
      <c r="L202" s="52" t="str">
        <f aca="false">IF(A202="","",IF(AND(ISNUMBER(J202),ISNUMBER(K202),J202&gt;=1,J202&lt;=5,K202&gt;=1,K202&lt;=5),J202*K202,"Incomplete"))</f>
        <v/>
      </c>
      <c r="M202" s="52" t="str">
        <f aca="false">IF(A202="","",IF(ISNUMBER(L202),LOOKUP(L202,BandMin,BandName),"Incomplete"))</f>
        <v/>
      </c>
      <c r="N202" s="34"/>
      <c r="O202" s="34"/>
      <c r="P202" s="50"/>
      <c r="Q202" s="50"/>
      <c r="R202" s="61" t="str">
        <f aca="false">IF(A202="","",IF(AND(ISNUMBER(P202),ISNUMBER(Q202),P202&gt;=1,P202&lt;=5,Q202&gt;=1,Q202&lt;=5),P202*Q202,"Incomplete"))</f>
        <v/>
      </c>
      <c r="S202" s="52" t="str">
        <f aca="false">IF(A202="","",IF(ISNUMBER(R202),LOOKUP(R202,BandMin,BandName),"Incomplete"))</f>
        <v/>
      </c>
      <c r="T202" s="34"/>
      <c r="U202" s="50"/>
      <c r="V202" s="50"/>
      <c r="W202" s="50"/>
      <c r="X202" s="52" t="str">
        <f aca="false">IF(A202="","",IF(AND(V202="",W202=""),"Not set",IF(AND(ISNUMBER(V202),ISNUMBER(W202),V202&gt;=1,V202&lt;=5,W202&gt;=1,W202&lt;=5),V202*W202,"Incomplete")))</f>
        <v/>
      </c>
      <c r="Y202" s="52" t="str">
        <f aca="false">IF(A202="","",IF(X202="Not set","Not set",IF(ISNUMBER(X202),LOOKUP(X202,BandMin,BandName),"Incomplete")))</f>
        <v/>
      </c>
      <c r="Z202" s="34"/>
      <c r="AA202" s="54" t="str">
        <f aca="false">IF(A202="","",IF(AppetiteThreshold="","Not configured",IF(NOT(ISNUMBER(R202)),"Cannot assess - residual incomplete",IF(MATCH(S202,BandName,0)&gt;=MATCH(AppetiteThreshold,BandName,0),"Above appetite - escalation required","Within appetite"))))</f>
        <v/>
      </c>
      <c r="AB202" s="50"/>
      <c r="AC202" s="54" t="str">
        <f aca="false">IF(A202="","",IF(AB202="","No decision referenced",IFERROR(INDEX(DEC_FINAL,MATCH(AB202,DEC_ID,0))&amp;" - "&amp;INDEX(DEC_CURR,MATCH(AB202,DEC_ID,0)),"CHECK: Decision ID not found")))</f>
        <v/>
      </c>
      <c r="AD202" s="54" t="str">
        <f aca="false">IF(A202="","",IF(COUNTIF(TRT_RISK,A202)=0,"No treatment recorded",COUNTIF(TRT_RISK,A202)&amp;" action(s); "&amp;COUNTIFS(TRT_RISK,A202,TRT_OPEN,"Open")&amp;" open; "&amp;COUNTIFS(TRT_RISK,A202,TRT_OVERDUE,"Overdue")&amp;" overdue"))</f>
        <v/>
      </c>
      <c r="AE202" s="51"/>
      <c r="AF202" s="51"/>
      <c r="AG202" s="54" t="str">
        <f aca="false">IF(A202="","",IF(AI202="","Complete","Incomplete: "&amp;AI202))</f>
        <v/>
      </c>
      <c r="AH202" s="54" t="str">
        <f aca="false">IF(A202="","",IF(COUNTIF(RSK_ID,A202)&gt;1,"CHECK: duplicate ID",IF(B202="","CHECK: Supplier ID missing",IF(COUNTIF(INV_ID,B202)=0,"CHECK: Supplier ID not in inventory",IF(AND(ISNUMBER(R202),ISNUMBER(L202),R202&gt;L202),"CHECK: residual score exceeds inherent - confirm",IF(AND(ISNUMBER(AF202),AF202&lt;AsOf),"Review overdue (administrative)","OK"))))))</f>
        <v/>
      </c>
      <c r="AI202" s="52" t="str">
        <f aca="false">IF(A202="","",IF(I202="","risk owner; ","")&amp;IF(OR(J202="",K202=""),"inherent rating; ","")&amp;IF(N202="","inherent rationale; ","")&amp;IF(OR(P202="",Q202=""),"residual rating; ","")&amp;IF(AND(OR(P202&lt;&gt;"",Q202&lt;&gt;""),T202=""),"residual rationale; ","")&amp;IF(AND(OR(P202&lt;&gt;"",Q202&lt;&gt;""),U202=""),"assessment confidence; ","")&amp;IF(AE202="","assessment date; ",""))</f>
        <v/>
      </c>
      <c r="AJ202" s="52" t="str">
        <f aca="false">IF(OR(A202="",B202=""),"",IF(B202=RptSup,B202&amp;"|"&amp;COUNTIF($B$7:B202,B202),""))</f>
        <v/>
      </c>
    </row>
    <row r="203" customFormat="false" ht="15" hidden="false" customHeight="false" outlineLevel="0" collapsed="false">
      <c r="A203" s="50"/>
      <c r="B203" s="50"/>
      <c r="C203" s="59" t="str">
        <f aca="false">IF(B203="","",IFERROR(INDEX(INV_NAME,MATCH(B203,INV_ID,0)),"CHECK: Supplier ID not found"))</f>
        <v/>
      </c>
      <c r="D203" s="34"/>
      <c r="E203" s="34"/>
      <c r="F203" s="34"/>
      <c r="G203" s="34"/>
      <c r="H203" s="34"/>
      <c r="I203" s="34"/>
      <c r="J203" s="50"/>
      <c r="K203" s="50"/>
      <c r="L203" s="52" t="str">
        <f aca="false">IF(A203="","",IF(AND(ISNUMBER(J203),ISNUMBER(K203),J203&gt;=1,J203&lt;=5,K203&gt;=1,K203&lt;=5),J203*K203,"Incomplete"))</f>
        <v/>
      </c>
      <c r="M203" s="52" t="str">
        <f aca="false">IF(A203="","",IF(ISNUMBER(L203),LOOKUP(L203,BandMin,BandName),"Incomplete"))</f>
        <v/>
      </c>
      <c r="N203" s="34"/>
      <c r="O203" s="34"/>
      <c r="P203" s="50"/>
      <c r="Q203" s="50"/>
      <c r="R203" s="61" t="str">
        <f aca="false">IF(A203="","",IF(AND(ISNUMBER(P203),ISNUMBER(Q203),P203&gt;=1,P203&lt;=5,Q203&gt;=1,Q203&lt;=5),P203*Q203,"Incomplete"))</f>
        <v/>
      </c>
      <c r="S203" s="52" t="str">
        <f aca="false">IF(A203="","",IF(ISNUMBER(R203),LOOKUP(R203,BandMin,BandName),"Incomplete"))</f>
        <v/>
      </c>
      <c r="T203" s="34"/>
      <c r="U203" s="50"/>
      <c r="V203" s="50"/>
      <c r="W203" s="50"/>
      <c r="X203" s="52" t="str">
        <f aca="false">IF(A203="","",IF(AND(V203="",W203=""),"Not set",IF(AND(ISNUMBER(V203),ISNUMBER(W203),V203&gt;=1,V203&lt;=5,W203&gt;=1,W203&lt;=5),V203*W203,"Incomplete")))</f>
        <v/>
      </c>
      <c r="Y203" s="52" t="str">
        <f aca="false">IF(A203="","",IF(X203="Not set","Not set",IF(ISNUMBER(X203),LOOKUP(X203,BandMin,BandName),"Incomplete")))</f>
        <v/>
      </c>
      <c r="Z203" s="34"/>
      <c r="AA203" s="54" t="str">
        <f aca="false">IF(A203="","",IF(AppetiteThreshold="","Not configured",IF(NOT(ISNUMBER(R203)),"Cannot assess - residual incomplete",IF(MATCH(S203,BandName,0)&gt;=MATCH(AppetiteThreshold,BandName,0),"Above appetite - escalation required","Within appetite"))))</f>
        <v/>
      </c>
      <c r="AB203" s="50"/>
      <c r="AC203" s="54" t="str">
        <f aca="false">IF(A203="","",IF(AB203="","No decision referenced",IFERROR(INDEX(DEC_FINAL,MATCH(AB203,DEC_ID,0))&amp;" - "&amp;INDEX(DEC_CURR,MATCH(AB203,DEC_ID,0)),"CHECK: Decision ID not found")))</f>
        <v/>
      </c>
      <c r="AD203" s="54" t="str">
        <f aca="false">IF(A203="","",IF(COUNTIF(TRT_RISK,A203)=0,"No treatment recorded",COUNTIF(TRT_RISK,A203)&amp;" action(s); "&amp;COUNTIFS(TRT_RISK,A203,TRT_OPEN,"Open")&amp;" open; "&amp;COUNTIFS(TRT_RISK,A203,TRT_OVERDUE,"Overdue")&amp;" overdue"))</f>
        <v/>
      </c>
      <c r="AE203" s="51"/>
      <c r="AF203" s="51"/>
      <c r="AG203" s="54" t="str">
        <f aca="false">IF(A203="","",IF(AI203="","Complete","Incomplete: "&amp;AI203))</f>
        <v/>
      </c>
      <c r="AH203" s="54" t="str">
        <f aca="false">IF(A203="","",IF(COUNTIF(RSK_ID,A203)&gt;1,"CHECK: duplicate ID",IF(B203="","CHECK: Supplier ID missing",IF(COUNTIF(INV_ID,B203)=0,"CHECK: Supplier ID not in inventory",IF(AND(ISNUMBER(R203),ISNUMBER(L203),R203&gt;L203),"CHECK: residual score exceeds inherent - confirm",IF(AND(ISNUMBER(AF203),AF203&lt;AsOf),"Review overdue (administrative)","OK"))))))</f>
        <v/>
      </c>
      <c r="AI203" s="52" t="str">
        <f aca="false">IF(A203="","",IF(I203="","risk owner; ","")&amp;IF(OR(J203="",K203=""),"inherent rating; ","")&amp;IF(N203="","inherent rationale; ","")&amp;IF(OR(P203="",Q203=""),"residual rating; ","")&amp;IF(AND(OR(P203&lt;&gt;"",Q203&lt;&gt;""),T203=""),"residual rationale; ","")&amp;IF(AND(OR(P203&lt;&gt;"",Q203&lt;&gt;""),U203=""),"assessment confidence; ","")&amp;IF(AE203="","assessment date; ",""))</f>
        <v/>
      </c>
      <c r="AJ203" s="52" t="str">
        <f aca="false">IF(OR(A203="",B203=""),"",IF(B203=RptSup,B203&amp;"|"&amp;COUNTIF($B$7:B203,B203),""))</f>
        <v/>
      </c>
    </row>
    <row r="204" customFormat="false" ht="15" hidden="false" customHeight="false" outlineLevel="0" collapsed="false">
      <c r="A204" s="50"/>
      <c r="B204" s="50"/>
      <c r="C204" s="59" t="str">
        <f aca="false">IF(B204="","",IFERROR(INDEX(INV_NAME,MATCH(B204,INV_ID,0)),"CHECK: Supplier ID not found"))</f>
        <v/>
      </c>
      <c r="D204" s="34"/>
      <c r="E204" s="34"/>
      <c r="F204" s="34"/>
      <c r="G204" s="34"/>
      <c r="H204" s="34"/>
      <c r="I204" s="34"/>
      <c r="J204" s="50"/>
      <c r="K204" s="50"/>
      <c r="L204" s="52" t="str">
        <f aca="false">IF(A204="","",IF(AND(ISNUMBER(J204),ISNUMBER(K204),J204&gt;=1,J204&lt;=5,K204&gt;=1,K204&lt;=5),J204*K204,"Incomplete"))</f>
        <v/>
      </c>
      <c r="M204" s="52" t="str">
        <f aca="false">IF(A204="","",IF(ISNUMBER(L204),LOOKUP(L204,BandMin,BandName),"Incomplete"))</f>
        <v/>
      </c>
      <c r="N204" s="34"/>
      <c r="O204" s="34"/>
      <c r="P204" s="50"/>
      <c r="Q204" s="50"/>
      <c r="R204" s="61" t="str">
        <f aca="false">IF(A204="","",IF(AND(ISNUMBER(P204),ISNUMBER(Q204),P204&gt;=1,P204&lt;=5,Q204&gt;=1,Q204&lt;=5),P204*Q204,"Incomplete"))</f>
        <v/>
      </c>
      <c r="S204" s="52" t="str">
        <f aca="false">IF(A204="","",IF(ISNUMBER(R204),LOOKUP(R204,BandMin,BandName),"Incomplete"))</f>
        <v/>
      </c>
      <c r="T204" s="34"/>
      <c r="U204" s="50"/>
      <c r="V204" s="50"/>
      <c r="W204" s="50"/>
      <c r="X204" s="52" t="str">
        <f aca="false">IF(A204="","",IF(AND(V204="",W204=""),"Not set",IF(AND(ISNUMBER(V204),ISNUMBER(W204),V204&gt;=1,V204&lt;=5,W204&gt;=1,W204&lt;=5),V204*W204,"Incomplete")))</f>
        <v/>
      </c>
      <c r="Y204" s="52" t="str">
        <f aca="false">IF(A204="","",IF(X204="Not set","Not set",IF(ISNUMBER(X204),LOOKUP(X204,BandMin,BandName),"Incomplete")))</f>
        <v/>
      </c>
      <c r="Z204" s="34"/>
      <c r="AA204" s="54" t="str">
        <f aca="false">IF(A204="","",IF(AppetiteThreshold="","Not configured",IF(NOT(ISNUMBER(R204)),"Cannot assess - residual incomplete",IF(MATCH(S204,BandName,0)&gt;=MATCH(AppetiteThreshold,BandName,0),"Above appetite - escalation required","Within appetite"))))</f>
        <v/>
      </c>
      <c r="AB204" s="50"/>
      <c r="AC204" s="54" t="str">
        <f aca="false">IF(A204="","",IF(AB204="","No decision referenced",IFERROR(INDEX(DEC_FINAL,MATCH(AB204,DEC_ID,0))&amp;" - "&amp;INDEX(DEC_CURR,MATCH(AB204,DEC_ID,0)),"CHECK: Decision ID not found")))</f>
        <v/>
      </c>
      <c r="AD204" s="54" t="str">
        <f aca="false">IF(A204="","",IF(COUNTIF(TRT_RISK,A204)=0,"No treatment recorded",COUNTIF(TRT_RISK,A204)&amp;" action(s); "&amp;COUNTIFS(TRT_RISK,A204,TRT_OPEN,"Open")&amp;" open; "&amp;COUNTIFS(TRT_RISK,A204,TRT_OVERDUE,"Overdue")&amp;" overdue"))</f>
        <v/>
      </c>
      <c r="AE204" s="51"/>
      <c r="AF204" s="51"/>
      <c r="AG204" s="54" t="str">
        <f aca="false">IF(A204="","",IF(AI204="","Complete","Incomplete: "&amp;AI204))</f>
        <v/>
      </c>
      <c r="AH204" s="54" t="str">
        <f aca="false">IF(A204="","",IF(COUNTIF(RSK_ID,A204)&gt;1,"CHECK: duplicate ID",IF(B204="","CHECK: Supplier ID missing",IF(COUNTIF(INV_ID,B204)=0,"CHECK: Supplier ID not in inventory",IF(AND(ISNUMBER(R204),ISNUMBER(L204),R204&gt;L204),"CHECK: residual score exceeds inherent - confirm",IF(AND(ISNUMBER(AF204),AF204&lt;AsOf),"Review overdue (administrative)","OK"))))))</f>
        <v/>
      </c>
      <c r="AI204" s="52" t="str">
        <f aca="false">IF(A204="","",IF(I204="","risk owner; ","")&amp;IF(OR(J204="",K204=""),"inherent rating; ","")&amp;IF(N204="","inherent rationale; ","")&amp;IF(OR(P204="",Q204=""),"residual rating; ","")&amp;IF(AND(OR(P204&lt;&gt;"",Q204&lt;&gt;""),T204=""),"residual rationale; ","")&amp;IF(AND(OR(P204&lt;&gt;"",Q204&lt;&gt;""),U204=""),"assessment confidence; ","")&amp;IF(AE204="","assessment date; ",""))</f>
        <v/>
      </c>
      <c r="AJ204" s="52" t="str">
        <f aca="false">IF(OR(A204="",B204=""),"",IF(B204=RptSup,B204&amp;"|"&amp;COUNTIF($B$7:B204,B204),""))</f>
        <v/>
      </c>
    </row>
    <row r="205" customFormat="false" ht="15" hidden="false" customHeight="false" outlineLevel="0" collapsed="false">
      <c r="A205" s="50"/>
      <c r="B205" s="50"/>
      <c r="C205" s="59" t="str">
        <f aca="false">IF(B205="","",IFERROR(INDEX(INV_NAME,MATCH(B205,INV_ID,0)),"CHECK: Supplier ID not found"))</f>
        <v/>
      </c>
      <c r="D205" s="34"/>
      <c r="E205" s="34"/>
      <c r="F205" s="34"/>
      <c r="G205" s="34"/>
      <c r="H205" s="34"/>
      <c r="I205" s="34"/>
      <c r="J205" s="50"/>
      <c r="K205" s="50"/>
      <c r="L205" s="52" t="str">
        <f aca="false">IF(A205="","",IF(AND(ISNUMBER(J205),ISNUMBER(K205),J205&gt;=1,J205&lt;=5,K205&gt;=1,K205&lt;=5),J205*K205,"Incomplete"))</f>
        <v/>
      </c>
      <c r="M205" s="52" t="str">
        <f aca="false">IF(A205="","",IF(ISNUMBER(L205),LOOKUP(L205,BandMin,BandName),"Incomplete"))</f>
        <v/>
      </c>
      <c r="N205" s="34"/>
      <c r="O205" s="34"/>
      <c r="P205" s="50"/>
      <c r="Q205" s="50"/>
      <c r="R205" s="61" t="str">
        <f aca="false">IF(A205="","",IF(AND(ISNUMBER(P205),ISNUMBER(Q205),P205&gt;=1,P205&lt;=5,Q205&gt;=1,Q205&lt;=5),P205*Q205,"Incomplete"))</f>
        <v/>
      </c>
      <c r="S205" s="52" t="str">
        <f aca="false">IF(A205="","",IF(ISNUMBER(R205),LOOKUP(R205,BandMin,BandName),"Incomplete"))</f>
        <v/>
      </c>
      <c r="T205" s="34"/>
      <c r="U205" s="50"/>
      <c r="V205" s="50"/>
      <c r="W205" s="50"/>
      <c r="X205" s="52" t="str">
        <f aca="false">IF(A205="","",IF(AND(V205="",W205=""),"Not set",IF(AND(ISNUMBER(V205),ISNUMBER(W205),V205&gt;=1,V205&lt;=5,W205&gt;=1,W205&lt;=5),V205*W205,"Incomplete")))</f>
        <v/>
      </c>
      <c r="Y205" s="52" t="str">
        <f aca="false">IF(A205="","",IF(X205="Not set","Not set",IF(ISNUMBER(X205),LOOKUP(X205,BandMin,BandName),"Incomplete")))</f>
        <v/>
      </c>
      <c r="Z205" s="34"/>
      <c r="AA205" s="54" t="str">
        <f aca="false">IF(A205="","",IF(AppetiteThreshold="","Not configured",IF(NOT(ISNUMBER(R205)),"Cannot assess - residual incomplete",IF(MATCH(S205,BandName,0)&gt;=MATCH(AppetiteThreshold,BandName,0),"Above appetite - escalation required","Within appetite"))))</f>
        <v/>
      </c>
      <c r="AB205" s="50"/>
      <c r="AC205" s="54" t="str">
        <f aca="false">IF(A205="","",IF(AB205="","No decision referenced",IFERROR(INDEX(DEC_FINAL,MATCH(AB205,DEC_ID,0))&amp;" - "&amp;INDEX(DEC_CURR,MATCH(AB205,DEC_ID,0)),"CHECK: Decision ID not found")))</f>
        <v/>
      </c>
      <c r="AD205" s="54" t="str">
        <f aca="false">IF(A205="","",IF(COUNTIF(TRT_RISK,A205)=0,"No treatment recorded",COUNTIF(TRT_RISK,A205)&amp;" action(s); "&amp;COUNTIFS(TRT_RISK,A205,TRT_OPEN,"Open")&amp;" open; "&amp;COUNTIFS(TRT_RISK,A205,TRT_OVERDUE,"Overdue")&amp;" overdue"))</f>
        <v/>
      </c>
      <c r="AE205" s="51"/>
      <c r="AF205" s="51"/>
      <c r="AG205" s="54" t="str">
        <f aca="false">IF(A205="","",IF(AI205="","Complete","Incomplete: "&amp;AI205))</f>
        <v/>
      </c>
      <c r="AH205" s="54" t="str">
        <f aca="false">IF(A205="","",IF(COUNTIF(RSK_ID,A205)&gt;1,"CHECK: duplicate ID",IF(B205="","CHECK: Supplier ID missing",IF(COUNTIF(INV_ID,B205)=0,"CHECK: Supplier ID not in inventory",IF(AND(ISNUMBER(R205),ISNUMBER(L205),R205&gt;L205),"CHECK: residual score exceeds inherent - confirm",IF(AND(ISNUMBER(AF205),AF205&lt;AsOf),"Review overdue (administrative)","OK"))))))</f>
        <v/>
      </c>
      <c r="AI205" s="52" t="str">
        <f aca="false">IF(A205="","",IF(I205="","risk owner; ","")&amp;IF(OR(J205="",K205=""),"inherent rating; ","")&amp;IF(N205="","inherent rationale; ","")&amp;IF(OR(P205="",Q205=""),"residual rating; ","")&amp;IF(AND(OR(P205&lt;&gt;"",Q205&lt;&gt;""),T205=""),"residual rationale; ","")&amp;IF(AND(OR(P205&lt;&gt;"",Q205&lt;&gt;""),U205=""),"assessment confidence; ","")&amp;IF(AE205="","assessment date; ",""))</f>
        <v/>
      </c>
      <c r="AJ205" s="52" t="str">
        <f aca="false">IF(OR(A205="",B205=""),"",IF(B205=RptSup,B205&amp;"|"&amp;COUNTIF($B$7:B205,B205),""))</f>
        <v/>
      </c>
    </row>
    <row r="206" customFormat="false" ht="15" hidden="false" customHeight="false" outlineLevel="0" collapsed="false">
      <c r="A206" s="50"/>
      <c r="B206" s="50"/>
      <c r="C206" s="59" t="str">
        <f aca="false">IF(B206="","",IFERROR(INDEX(INV_NAME,MATCH(B206,INV_ID,0)),"CHECK: Supplier ID not found"))</f>
        <v/>
      </c>
      <c r="D206" s="34"/>
      <c r="E206" s="34"/>
      <c r="F206" s="34"/>
      <c r="G206" s="34"/>
      <c r="H206" s="34"/>
      <c r="I206" s="34"/>
      <c r="J206" s="50"/>
      <c r="K206" s="50"/>
      <c r="L206" s="52" t="str">
        <f aca="false">IF(A206="","",IF(AND(ISNUMBER(J206),ISNUMBER(K206),J206&gt;=1,J206&lt;=5,K206&gt;=1,K206&lt;=5),J206*K206,"Incomplete"))</f>
        <v/>
      </c>
      <c r="M206" s="52" t="str">
        <f aca="false">IF(A206="","",IF(ISNUMBER(L206),LOOKUP(L206,BandMin,BandName),"Incomplete"))</f>
        <v/>
      </c>
      <c r="N206" s="34"/>
      <c r="O206" s="34"/>
      <c r="P206" s="50"/>
      <c r="Q206" s="50"/>
      <c r="R206" s="61" t="str">
        <f aca="false">IF(A206="","",IF(AND(ISNUMBER(P206),ISNUMBER(Q206),P206&gt;=1,P206&lt;=5,Q206&gt;=1,Q206&lt;=5),P206*Q206,"Incomplete"))</f>
        <v/>
      </c>
      <c r="S206" s="52" t="str">
        <f aca="false">IF(A206="","",IF(ISNUMBER(R206),LOOKUP(R206,BandMin,BandName),"Incomplete"))</f>
        <v/>
      </c>
      <c r="T206" s="34"/>
      <c r="U206" s="50"/>
      <c r="V206" s="50"/>
      <c r="W206" s="50"/>
      <c r="X206" s="52" t="str">
        <f aca="false">IF(A206="","",IF(AND(V206="",W206=""),"Not set",IF(AND(ISNUMBER(V206),ISNUMBER(W206),V206&gt;=1,V206&lt;=5,W206&gt;=1,W206&lt;=5),V206*W206,"Incomplete")))</f>
        <v/>
      </c>
      <c r="Y206" s="52" t="str">
        <f aca="false">IF(A206="","",IF(X206="Not set","Not set",IF(ISNUMBER(X206),LOOKUP(X206,BandMin,BandName),"Incomplete")))</f>
        <v/>
      </c>
      <c r="Z206" s="34"/>
      <c r="AA206" s="54" t="str">
        <f aca="false">IF(A206="","",IF(AppetiteThreshold="","Not configured",IF(NOT(ISNUMBER(R206)),"Cannot assess - residual incomplete",IF(MATCH(S206,BandName,0)&gt;=MATCH(AppetiteThreshold,BandName,0),"Above appetite - escalation required","Within appetite"))))</f>
        <v/>
      </c>
      <c r="AB206" s="50"/>
      <c r="AC206" s="54" t="str">
        <f aca="false">IF(A206="","",IF(AB206="","No decision referenced",IFERROR(INDEX(DEC_FINAL,MATCH(AB206,DEC_ID,0))&amp;" - "&amp;INDEX(DEC_CURR,MATCH(AB206,DEC_ID,0)),"CHECK: Decision ID not found")))</f>
        <v/>
      </c>
      <c r="AD206" s="54" t="str">
        <f aca="false">IF(A206="","",IF(COUNTIF(TRT_RISK,A206)=0,"No treatment recorded",COUNTIF(TRT_RISK,A206)&amp;" action(s); "&amp;COUNTIFS(TRT_RISK,A206,TRT_OPEN,"Open")&amp;" open; "&amp;COUNTIFS(TRT_RISK,A206,TRT_OVERDUE,"Overdue")&amp;" overdue"))</f>
        <v/>
      </c>
      <c r="AE206" s="51"/>
      <c r="AF206" s="51"/>
      <c r="AG206" s="54" t="str">
        <f aca="false">IF(A206="","",IF(AI206="","Complete","Incomplete: "&amp;AI206))</f>
        <v/>
      </c>
      <c r="AH206" s="54" t="str">
        <f aca="false">IF(A206="","",IF(COUNTIF(RSK_ID,A206)&gt;1,"CHECK: duplicate ID",IF(B206="","CHECK: Supplier ID missing",IF(COUNTIF(INV_ID,B206)=0,"CHECK: Supplier ID not in inventory",IF(AND(ISNUMBER(R206),ISNUMBER(L206),R206&gt;L206),"CHECK: residual score exceeds inherent - confirm",IF(AND(ISNUMBER(AF206),AF206&lt;AsOf),"Review overdue (administrative)","OK"))))))</f>
        <v/>
      </c>
      <c r="AI206" s="52" t="str">
        <f aca="false">IF(A206="","",IF(I206="","risk owner; ","")&amp;IF(OR(J206="",K206=""),"inherent rating; ","")&amp;IF(N206="","inherent rationale; ","")&amp;IF(OR(P206="",Q206=""),"residual rating; ","")&amp;IF(AND(OR(P206&lt;&gt;"",Q206&lt;&gt;""),T206=""),"residual rationale; ","")&amp;IF(AND(OR(P206&lt;&gt;"",Q206&lt;&gt;""),U206=""),"assessment confidence; ","")&amp;IF(AE206="","assessment date; ",""))</f>
        <v/>
      </c>
      <c r="AJ206" s="52" t="str">
        <f aca="false">IF(OR(A206="",B206=""),"",IF(B206=RptSup,B206&amp;"|"&amp;COUNTIF($B$7:B206,B206),""))</f>
        <v/>
      </c>
    </row>
  </sheetData>
  <sheetProtection sheet="true" formatColumns="false" formatRows="false" sort="false" autoFilter="false"/>
  <conditionalFormatting sqref="L7:L206">
    <cfRule type="expression" priority="2" aboveAverage="0" equalAverage="0" bottom="0" percent="0" rank="0" text="" dxfId="0">
      <formula>OR(ISNUMBER(SEARCH("Above appetite",L7)),ISNUMBER(SEARCH("Overdue",L7)),ISNUMBER(SEARCH("Expired",L7)),ISNUMBER(SEARCH("Breach",L7)),ISNUMBER(SEARCH("CHECK",L7)),ISNUMBER(SEARCH("Not ready",L7)),ISNUMBER(SEARCH("REMAINS",L7)),ISNUMBER(SEARCH("Failed",L7)),ISNUMBER(SEARCH("Cannot assess",L7)))</formula>
    </cfRule>
    <cfRule type="expression" priority="3" aboveAverage="0" equalAverage="0" bottom="0" percent="0" rank="0" text="" dxfId="21">
      <formula>OR(ISNUMBER(SEARCH("Incomplete",L7)),ISNUMBER(SEARCH("Pending",L7)),ISNUMBER(SEARCH("Approaching",L7)),ISNUMBER(SEARCH("insufficient",L7)),ISNUMBER(SEARCH("Awaiting",L7)),ISNUMBER(SEARCH("Review due",L7)),ISNUMBER(SEARCH("Not configured",L7)),ISNUMBER(SEARCH("Not classified",L7)),ISNUMBER(SEARCH("Proposed",L7)),ISNUMBER(SEARCH("Verification",L7)),ISNUMBER(SEARCH("Scope limitation",L7)),ISNUMBER(SEARCH("Follow-up",L7)),ISNUMBER(SEARCH("Open gap",L7)),ISNUMBER(SEARCH("Delivered - verification",L7)),ISNUMBER(SEARCH("Historical",L7)),ISNUMBER(SEARCH("Not scheduled",L7)),ISNUMBER(SEARCH("Not determined",L7)),ISNUMBER(SEARCH("Decision record",L7)),ISNUMBER(SEARCH("Due soon",L7)),ISNUMBER(SEARCH("Not reviewed",L7)),ISNUMBER(SEARCH("Tier not",L7)),ISNUMBER(SEARCH("No decision",L7)),ISNUMBER(SEARCH("Superseded",L7)),ISNUMBER(SEARCH("Optional",L7)),ISNUMBER(SEARCH("legal review",L7)),ISNUMBER(SEARCH("No treatment",L7)),ISNUMBER(SEARCH("not recorded",L7)),ISNUMBER(SEARCH("consider",L7)),ISNUMBER(SEARCH("Not set",L7)),ISNUMBER(SEARCH("Not started",L7)),ISNUMBER(SEARCH("No expiry",L7)),ISNUMBER(SEARCH("No KRI",L7)),ISNUMBER(SEARCH("no reassessment",L7)),ISNUMBER(SEARCH("Applicability",L7)),ISNUMBER(SEARCH("Not current",L7)),ISNUMBER(SEARCH("assess relevance",L7)))</formula>
    </cfRule>
    <cfRule type="expression" priority="4" aboveAverage="0" equalAverage="0" bottom="0" percent="0" rank="0" text="" dxfId="22">
      <formula>OR(LEFT(L7,2)="OK",LEFT(L7,8)="Complete",LEFT(L7,7)="Current",LEFT(L7,10)="Authorised",LEFT(L7,6)="Within",LEFT(L7,11)="On schedule",LEFT(L7,17)="Ready for closure",LEFT(L7,17)="Evidence reviewed",LEFT(L7,19)="Decision referenced",LEFT(L7,27)="Reassessment event recorded",LEFT(L7,14)="Period current",LEFT(L7,17)="Gap dispositioned",LEFT(L7,17)="Reviewed - no gap",LEFT(L7,11)="Recommended",LEFT(L7,17)="Closed - verified")</formula>
    </cfRule>
  </conditionalFormatting>
  <conditionalFormatting sqref="M7:M206">
    <cfRule type="expression" priority="5" aboveAverage="0" equalAverage="0" bottom="0" percent="0" rank="0" text="" dxfId="3">
      <formula>M7="Critical"</formula>
    </cfRule>
    <cfRule type="expression" priority="6" aboveAverage="0" equalAverage="0" bottom="0" percent="0" rank="0" text="" dxfId="4">
      <formula>M7="High"</formula>
    </cfRule>
    <cfRule type="expression" priority="7" aboveAverage="0" equalAverage="0" bottom="0" percent="0" rank="0" text="" dxfId="5">
      <formula>M7="Moderate"</formula>
    </cfRule>
    <cfRule type="expression" priority="8" aboveAverage="0" equalAverage="0" bottom="0" percent="0" rank="0" text="" dxfId="6">
      <formula>M7="Low"</formula>
    </cfRule>
    <cfRule type="expression" priority="9" aboveAverage="0" equalAverage="0" bottom="0" percent="0" rank="0" text="" dxfId="7">
      <formula>M7="Incomplete"</formula>
    </cfRule>
  </conditionalFormatting>
  <conditionalFormatting sqref="R7:R206">
    <cfRule type="expression" priority="10" aboveAverage="0" equalAverage="0" bottom="0" percent="0" rank="0" text="" dxfId="0">
      <formula>OR(ISNUMBER(SEARCH("Above appetite",R7)),ISNUMBER(SEARCH("Overdue",R7)),ISNUMBER(SEARCH("Expired",R7)),ISNUMBER(SEARCH("Breach",R7)),ISNUMBER(SEARCH("CHECK",R7)),ISNUMBER(SEARCH("Not ready",R7)),ISNUMBER(SEARCH("REMAINS",R7)),ISNUMBER(SEARCH("Failed",R7)),ISNUMBER(SEARCH("Cannot assess",R7)))</formula>
    </cfRule>
    <cfRule type="expression" priority="11" aboveAverage="0" equalAverage="0" bottom="0" percent="0" rank="0" text="" dxfId="21">
      <formula>OR(ISNUMBER(SEARCH("Incomplete",R7)),ISNUMBER(SEARCH("Pending",R7)),ISNUMBER(SEARCH("Approaching",R7)),ISNUMBER(SEARCH("insufficient",R7)),ISNUMBER(SEARCH("Awaiting",R7)),ISNUMBER(SEARCH("Review due",R7)),ISNUMBER(SEARCH("Not configured",R7)),ISNUMBER(SEARCH("Not classified",R7)),ISNUMBER(SEARCH("Proposed",R7)),ISNUMBER(SEARCH("Verification",R7)),ISNUMBER(SEARCH("Scope limitation",R7)),ISNUMBER(SEARCH("Follow-up",R7)),ISNUMBER(SEARCH("Open gap",R7)),ISNUMBER(SEARCH("Delivered - verification",R7)),ISNUMBER(SEARCH("Historical",R7)),ISNUMBER(SEARCH("Not scheduled",R7)),ISNUMBER(SEARCH("Not determined",R7)),ISNUMBER(SEARCH("Decision record",R7)),ISNUMBER(SEARCH("Due soon",R7)),ISNUMBER(SEARCH("Not reviewed",R7)),ISNUMBER(SEARCH("Tier not",R7)),ISNUMBER(SEARCH("No decision",R7)),ISNUMBER(SEARCH("Superseded",R7)),ISNUMBER(SEARCH("Optional",R7)),ISNUMBER(SEARCH("legal review",R7)),ISNUMBER(SEARCH("No treatment",R7)),ISNUMBER(SEARCH("not recorded",R7)),ISNUMBER(SEARCH("consider",R7)),ISNUMBER(SEARCH("Not set",R7)),ISNUMBER(SEARCH("Not started",R7)),ISNUMBER(SEARCH("No expiry",R7)),ISNUMBER(SEARCH("No KRI",R7)),ISNUMBER(SEARCH("no reassessment",R7)),ISNUMBER(SEARCH("Applicability",R7)),ISNUMBER(SEARCH("Not current",R7)),ISNUMBER(SEARCH("assess relevance",R7)))</formula>
    </cfRule>
    <cfRule type="expression" priority="12" aboveAverage="0" equalAverage="0" bottom="0" percent="0" rank="0" text="" dxfId="22">
      <formula>OR(LEFT(R7,2)="OK",LEFT(R7,8)="Complete",LEFT(R7,7)="Current",LEFT(R7,10)="Authorised",LEFT(R7,6)="Within",LEFT(R7,11)="On schedule",LEFT(R7,17)="Ready for closure",LEFT(R7,17)="Evidence reviewed",LEFT(R7,19)="Decision referenced",LEFT(R7,27)="Reassessment event recorded",LEFT(R7,14)="Period current",LEFT(R7,17)="Gap dispositioned",LEFT(R7,17)="Reviewed - no gap",LEFT(R7,11)="Recommended",LEFT(R7,17)="Closed - verified")</formula>
    </cfRule>
  </conditionalFormatting>
  <conditionalFormatting sqref="S7:S206">
    <cfRule type="expression" priority="13" aboveAverage="0" equalAverage="0" bottom="0" percent="0" rank="0" text="" dxfId="3">
      <formula>S7="Critical"</formula>
    </cfRule>
    <cfRule type="expression" priority="14" aboveAverage="0" equalAverage="0" bottom="0" percent="0" rank="0" text="" dxfId="4">
      <formula>S7="High"</formula>
    </cfRule>
    <cfRule type="expression" priority="15" aboveAverage="0" equalAverage="0" bottom="0" percent="0" rank="0" text="" dxfId="5">
      <formula>S7="Moderate"</formula>
    </cfRule>
    <cfRule type="expression" priority="16" aboveAverage="0" equalAverage="0" bottom="0" percent="0" rank="0" text="" dxfId="6">
      <formula>S7="Low"</formula>
    </cfRule>
    <cfRule type="expression" priority="17" aboveAverage="0" equalAverage="0" bottom="0" percent="0" rank="0" text="" dxfId="7">
      <formula>S7="Incomplete"</formula>
    </cfRule>
  </conditionalFormatting>
  <conditionalFormatting sqref="X7:X206">
    <cfRule type="expression" priority="18" aboveAverage="0" equalAverage="0" bottom="0" percent="0" rank="0" text="" dxfId="0">
      <formula>OR(ISNUMBER(SEARCH("Above appetite",X7)),ISNUMBER(SEARCH("Overdue",X7)),ISNUMBER(SEARCH("Expired",X7)),ISNUMBER(SEARCH("Breach",X7)),ISNUMBER(SEARCH("CHECK",X7)),ISNUMBER(SEARCH("Not ready",X7)),ISNUMBER(SEARCH("REMAINS",X7)),ISNUMBER(SEARCH("Failed",X7)),ISNUMBER(SEARCH("Cannot assess",X7)))</formula>
    </cfRule>
    <cfRule type="expression" priority="19" aboveAverage="0" equalAverage="0" bottom="0" percent="0" rank="0" text="" dxfId="21">
      <formula>OR(ISNUMBER(SEARCH("Incomplete",X7)),ISNUMBER(SEARCH("Pending",X7)),ISNUMBER(SEARCH("Approaching",X7)),ISNUMBER(SEARCH("insufficient",X7)),ISNUMBER(SEARCH("Awaiting",X7)),ISNUMBER(SEARCH("Review due",X7)),ISNUMBER(SEARCH("Not configured",X7)),ISNUMBER(SEARCH("Not classified",X7)),ISNUMBER(SEARCH("Proposed",X7)),ISNUMBER(SEARCH("Verification",X7)),ISNUMBER(SEARCH("Scope limitation",X7)),ISNUMBER(SEARCH("Follow-up",X7)),ISNUMBER(SEARCH("Open gap",X7)),ISNUMBER(SEARCH("Delivered - verification",X7)),ISNUMBER(SEARCH("Historical",X7)),ISNUMBER(SEARCH("Not scheduled",X7)),ISNUMBER(SEARCH("Not determined",X7)),ISNUMBER(SEARCH("Decision record",X7)),ISNUMBER(SEARCH("Due soon",X7)),ISNUMBER(SEARCH("Not reviewed",X7)),ISNUMBER(SEARCH("Tier not",X7)),ISNUMBER(SEARCH("No decision",X7)),ISNUMBER(SEARCH("Superseded",X7)),ISNUMBER(SEARCH("Optional",X7)),ISNUMBER(SEARCH("legal review",X7)),ISNUMBER(SEARCH("No treatment",X7)),ISNUMBER(SEARCH("not recorded",X7)),ISNUMBER(SEARCH("consider",X7)),ISNUMBER(SEARCH("Not set",X7)),ISNUMBER(SEARCH("Not started",X7)),ISNUMBER(SEARCH("No expiry",X7)),ISNUMBER(SEARCH("No KRI",X7)),ISNUMBER(SEARCH("no reassessment",X7)),ISNUMBER(SEARCH("Applicability",X7)),ISNUMBER(SEARCH("Not current",X7)),ISNUMBER(SEARCH("assess relevance",X7)))</formula>
    </cfRule>
    <cfRule type="expression" priority="20" aboveAverage="0" equalAverage="0" bottom="0" percent="0" rank="0" text="" dxfId="22">
      <formula>OR(LEFT(X7,2)="OK",LEFT(X7,8)="Complete",LEFT(X7,7)="Current",LEFT(X7,10)="Authorised",LEFT(X7,6)="Within",LEFT(X7,11)="On schedule",LEFT(X7,17)="Ready for closure",LEFT(X7,17)="Evidence reviewed",LEFT(X7,19)="Decision referenced",LEFT(X7,27)="Reassessment event recorded",LEFT(X7,14)="Period current",LEFT(X7,17)="Gap dispositioned",LEFT(X7,17)="Reviewed - no gap",LEFT(X7,11)="Recommended",LEFT(X7,17)="Closed - verified")</formula>
    </cfRule>
  </conditionalFormatting>
  <conditionalFormatting sqref="Y7:Y206">
    <cfRule type="expression" priority="21" aboveAverage="0" equalAverage="0" bottom="0" percent="0" rank="0" text="" dxfId="3">
      <formula>Y7="Critical"</formula>
    </cfRule>
    <cfRule type="expression" priority="22" aboveAverage="0" equalAverage="0" bottom="0" percent="0" rank="0" text="" dxfId="4">
      <formula>Y7="High"</formula>
    </cfRule>
    <cfRule type="expression" priority="23" aboveAverage="0" equalAverage="0" bottom="0" percent="0" rank="0" text="" dxfId="5">
      <formula>Y7="Moderate"</formula>
    </cfRule>
    <cfRule type="expression" priority="24" aboveAverage="0" equalAverage="0" bottom="0" percent="0" rank="0" text="" dxfId="6">
      <formula>Y7="Low"</formula>
    </cfRule>
    <cfRule type="expression" priority="25" aboveAverage="0" equalAverage="0" bottom="0" percent="0" rank="0" text="" dxfId="7">
      <formula>Y7="Incomplete"</formula>
    </cfRule>
  </conditionalFormatting>
  <conditionalFormatting sqref="AA7:AA206">
    <cfRule type="expression" priority="26" aboveAverage="0" equalAverage="0" bottom="0" percent="0" rank="0" text="" dxfId="0">
      <formula>OR(ISNUMBER(SEARCH("Above appetite",AA7)),ISNUMBER(SEARCH("Overdue",AA7)),ISNUMBER(SEARCH("Expired",AA7)),ISNUMBER(SEARCH("Breach",AA7)),ISNUMBER(SEARCH("CHECK",AA7)),ISNUMBER(SEARCH("Not ready",AA7)),ISNUMBER(SEARCH("REMAINS",AA7)),ISNUMBER(SEARCH("Failed",AA7)),ISNUMBER(SEARCH("Cannot assess",AA7)))</formula>
    </cfRule>
    <cfRule type="expression" priority="27" aboveAverage="0" equalAverage="0" bottom="0" percent="0" rank="0" text="" dxfId="21">
      <formula>OR(ISNUMBER(SEARCH("Incomplete",AA7)),ISNUMBER(SEARCH("Pending",AA7)),ISNUMBER(SEARCH("Approaching",AA7)),ISNUMBER(SEARCH("insufficient",AA7)),ISNUMBER(SEARCH("Awaiting",AA7)),ISNUMBER(SEARCH("Review due",AA7)),ISNUMBER(SEARCH("Not configured",AA7)),ISNUMBER(SEARCH("Not classified",AA7)),ISNUMBER(SEARCH("Proposed",AA7)),ISNUMBER(SEARCH("Verification",AA7)),ISNUMBER(SEARCH("Scope limitation",AA7)),ISNUMBER(SEARCH("Follow-up",AA7)),ISNUMBER(SEARCH("Open gap",AA7)),ISNUMBER(SEARCH("Delivered - verification",AA7)),ISNUMBER(SEARCH("Historical",AA7)),ISNUMBER(SEARCH("Not scheduled",AA7)),ISNUMBER(SEARCH("Not determined",AA7)),ISNUMBER(SEARCH("Decision record",AA7)),ISNUMBER(SEARCH("Due soon",AA7)),ISNUMBER(SEARCH("Not reviewed",AA7)),ISNUMBER(SEARCH("Tier not",AA7)),ISNUMBER(SEARCH("No decision",AA7)),ISNUMBER(SEARCH("Superseded",AA7)),ISNUMBER(SEARCH("Optional",AA7)),ISNUMBER(SEARCH("legal review",AA7)),ISNUMBER(SEARCH("No treatment",AA7)),ISNUMBER(SEARCH("not recorded",AA7)),ISNUMBER(SEARCH("consider",AA7)),ISNUMBER(SEARCH("Not set",AA7)),ISNUMBER(SEARCH("Not started",AA7)),ISNUMBER(SEARCH("No expiry",AA7)),ISNUMBER(SEARCH("No KRI",AA7)),ISNUMBER(SEARCH("no reassessment",AA7)),ISNUMBER(SEARCH("Applicability",AA7)),ISNUMBER(SEARCH("Not current",AA7)),ISNUMBER(SEARCH("assess relevance",AA7)))</formula>
    </cfRule>
    <cfRule type="expression" priority="28" aboveAverage="0" equalAverage="0" bottom="0" percent="0" rank="0" text="" dxfId="22">
      <formula>OR(LEFT(AA7,2)="OK",LEFT(AA7,8)="Complete",LEFT(AA7,7)="Current",LEFT(AA7,10)="Authorised",LEFT(AA7,6)="Within",LEFT(AA7,11)="On schedule",LEFT(AA7,17)="Ready for closure",LEFT(AA7,17)="Evidence reviewed",LEFT(AA7,19)="Decision referenced",LEFT(AA7,27)="Reassessment event recorded",LEFT(AA7,14)="Period current",LEFT(AA7,17)="Gap dispositioned",LEFT(AA7,17)="Reviewed - no gap",LEFT(AA7,11)="Recommended",LEFT(AA7,17)="Closed - verified")</formula>
    </cfRule>
  </conditionalFormatting>
  <conditionalFormatting sqref="AG7:AG206">
    <cfRule type="expression" priority="29" aboveAverage="0" equalAverage="0" bottom="0" percent="0" rank="0" text="" dxfId="0">
      <formula>OR(ISNUMBER(SEARCH("Above appetite",AG7)),ISNUMBER(SEARCH("Overdue",AG7)),ISNUMBER(SEARCH("Expired",AG7)),ISNUMBER(SEARCH("Breach",AG7)),ISNUMBER(SEARCH("CHECK",AG7)),ISNUMBER(SEARCH("Not ready",AG7)),ISNUMBER(SEARCH("REMAINS",AG7)),ISNUMBER(SEARCH("Failed",AG7)),ISNUMBER(SEARCH("Cannot assess",AG7)))</formula>
    </cfRule>
    <cfRule type="expression" priority="30" aboveAverage="0" equalAverage="0" bottom="0" percent="0" rank="0" text="" dxfId="21">
      <formula>OR(ISNUMBER(SEARCH("Incomplete",AG7)),ISNUMBER(SEARCH("Pending",AG7)),ISNUMBER(SEARCH("Approaching",AG7)),ISNUMBER(SEARCH("insufficient",AG7)),ISNUMBER(SEARCH("Awaiting",AG7)),ISNUMBER(SEARCH("Review due",AG7)),ISNUMBER(SEARCH("Not configured",AG7)),ISNUMBER(SEARCH("Not classified",AG7)),ISNUMBER(SEARCH("Proposed",AG7)),ISNUMBER(SEARCH("Verification",AG7)),ISNUMBER(SEARCH("Scope limitation",AG7)),ISNUMBER(SEARCH("Follow-up",AG7)),ISNUMBER(SEARCH("Open gap",AG7)),ISNUMBER(SEARCH("Delivered - verification",AG7)),ISNUMBER(SEARCH("Historical",AG7)),ISNUMBER(SEARCH("Not scheduled",AG7)),ISNUMBER(SEARCH("Not determined",AG7)),ISNUMBER(SEARCH("Decision record",AG7)),ISNUMBER(SEARCH("Due soon",AG7)),ISNUMBER(SEARCH("Not reviewed",AG7)),ISNUMBER(SEARCH("Tier not",AG7)),ISNUMBER(SEARCH("No decision",AG7)),ISNUMBER(SEARCH("Superseded",AG7)),ISNUMBER(SEARCH("Optional",AG7)),ISNUMBER(SEARCH("legal review",AG7)),ISNUMBER(SEARCH("No treatment",AG7)),ISNUMBER(SEARCH("not recorded",AG7)),ISNUMBER(SEARCH("consider",AG7)),ISNUMBER(SEARCH("Not set",AG7)),ISNUMBER(SEARCH("Not started",AG7)),ISNUMBER(SEARCH("No expiry",AG7)),ISNUMBER(SEARCH("No KRI",AG7)),ISNUMBER(SEARCH("no reassessment",AG7)),ISNUMBER(SEARCH("Applicability",AG7)),ISNUMBER(SEARCH("Not current",AG7)),ISNUMBER(SEARCH("assess relevance",AG7)))</formula>
    </cfRule>
    <cfRule type="expression" priority="31" aboveAverage="0" equalAverage="0" bottom="0" percent="0" rank="0" text="" dxfId="22">
      <formula>OR(LEFT(AG7,2)="OK",LEFT(AG7,8)="Complete",LEFT(AG7,7)="Current",LEFT(AG7,10)="Authorised",LEFT(AG7,6)="Within",LEFT(AG7,11)="On schedule",LEFT(AG7,17)="Ready for closure",LEFT(AG7,17)="Evidence reviewed",LEFT(AG7,19)="Decision referenced",LEFT(AG7,27)="Reassessment event recorded",LEFT(AG7,14)="Period current",LEFT(AG7,17)="Gap dispositioned",LEFT(AG7,17)="Reviewed - no gap",LEFT(AG7,11)="Recommended",LEFT(AG7,17)="Closed - verified")</formula>
    </cfRule>
  </conditionalFormatting>
  <conditionalFormatting sqref="AH7:AH206">
    <cfRule type="expression" priority="32" aboveAverage="0" equalAverage="0" bottom="0" percent="0" rank="0" text="" dxfId="0">
      <formula>OR(ISNUMBER(SEARCH("Above appetite",AH7)),ISNUMBER(SEARCH("Overdue",AH7)),ISNUMBER(SEARCH("Expired",AH7)),ISNUMBER(SEARCH("Breach",AH7)),ISNUMBER(SEARCH("CHECK",AH7)),ISNUMBER(SEARCH("Not ready",AH7)),ISNUMBER(SEARCH("REMAINS",AH7)),ISNUMBER(SEARCH("Failed",AH7)),ISNUMBER(SEARCH("Cannot assess",AH7)))</formula>
    </cfRule>
    <cfRule type="expression" priority="33" aboveAverage="0" equalAverage="0" bottom="0" percent="0" rank="0" text="" dxfId="21">
      <formula>OR(ISNUMBER(SEARCH("Incomplete",AH7)),ISNUMBER(SEARCH("Pending",AH7)),ISNUMBER(SEARCH("Approaching",AH7)),ISNUMBER(SEARCH("insufficient",AH7)),ISNUMBER(SEARCH("Awaiting",AH7)),ISNUMBER(SEARCH("Review due",AH7)),ISNUMBER(SEARCH("Not configured",AH7)),ISNUMBER(SEARCH("Not classified",AH7)),ISNUMBER(SEARCH("Proposed",AH7)),ISNUMBER(SEARCH("Verification",AH7)),ISNUMBER(SEARCH("Scope limitation",AH7)),ISNUMBER(SEARCH("Follow-up",AH7)),ISNUMBER(SEARCH("Open gap",AH7)),ISNUMBER(SEARCH("Delivered - verification",AH7)),ISNUMBER(SEARCH("Historical",AH7)),ISNUMBER(SEARCH("Not scheduled",AH7)),ISNUMBER(SEARCH("Not determined",AH7)),ISNUMBER(SEARCH("Decision record",AH7)),ISNUMBER(SEARCH("Due soon",AH7)),ISNUMBER(SEARCH("Not reviewed",AH7)),ISNUMBER(SEARCH("Tier not",AH7)),ISNUMBER(SEARCH("No decision",AH7)),ISNUMBER(SEARCH("Superseded",AH7)),ISNUMBER(SEARCH("Optional",AH7)),ISNUMBER(SEARCH("legal review",AH7)),ISNUMBER(SEARCH("No treatment",AH7)),ISNUMBER(SEARCH("not recorded",AH7)),ISNUMBER(SEARCH("consider",AH7)),ISNUMBER(SEARCH("Not set",AH7)),ISNUMBER(SEARCH("Not started",AH7)),ISNUMBER(SEARCH("No expiry",AH7)),ISNUMBER(SEARCH("No KRI",AH7)),ISNUMBER(SEARCH("no reassessment",AH7)),ISNUMBER(SEARCH("Applicability",AH7)),ISNUMBER(SEARCH("Not current",AH7)),ISNUMBER(SEARCH("assess relevance",AH7)))</formula>
    </cfRule>
    <cfRule type="expression" priority="34" aboveAverage="0" equalAverage="0" bottom="0" percent="0" rank="0" text="" dxfId="22">
      <formula>OR(LEFT(AH7,2)="OK",LEFT(AH7,8)="Complete",LEFT(AH7,7)="Current",LEFT(AH7,10)="Authorised",LEFT(AH7,6)="Within",LEFT(AH7,11)="On schedule",LEFT(AH7,17)="Ready for closure",LEFT(AH7,17)="Evidence reviewed",LEFT(AH7,19)="Decision referenced",LEFT(AH7,27)="Reassessment event recorded",LEFT(AH7,14)="Period current",LEFT(AH7,17)="Gap dispositioned",LEFT(AH7,17)="Reviewed - no gap",LEFT(AH7,11)="Recommended",LEFT(AH7,17)="Closed - verified")</formula>
    </cfRule>
  </conditionalFormatting>
  <conditionalFormatting sqref="AI7:AI206">
    <cfRule type="expression" priority="35" aboveAverage="0" equalAverage="0" bottom="0" percent="0" rank="0" text="" dxfId="0">
      <formula>OR(ISNUMBER(SEARCH("Above appetite",AI7)),ISNUMBER(SEARCH("Overdue",AI7)),ISNUMBER(SEARCH("Expired",AI7)),ISNUMBER(SEARCH("Breach",AI7)),ISNUMBER(SEARCH("CHECK",AI7)),ISNUMBER(SEARCH("Not ready",AI7)),ISNUMBER(SEARCH("REMAINS",AI7)),ISNUMBER(SEARCH("Failed",AI7)),ISNUMBER(SEARCH("Cannot assess",AI7)))</formula>
    </cfRule>
    <cfRule type="expression" priority="36" aboveAverage="0" equalAverage="0" bottom="0" percent="0" rank="0" text="" dxfId="21">
      <formula>OR(ISNUMBER(SEARCH("Incomplete",AI7)),ISNUMBER(SEARCH("Pending",AI7)),ISNUMBER(SEARCH("Approaching",AI7)),ISNUMBER(SEARCH("insufficient",AI7)),ISNUMBER(SEARCH("Awaiting",AI7)),ISNUMBER(SEARCH("Review due",AI7)),ISNUMBER(SEARCH("Not configured",AI7)),ISNUMBER(SEARCH("Not classified",AI7)),ISNUMBER(SEARCH("Proposed",AI7)),ISNUMBER(SEARCH("Verification",AI7)),ISNUMBER(SEARCH("Scope limitation",AI7)),ISNUMBER(SEARCH("Follow-up",AI7)),ISNUMBER(SEARCH("Open gap",AI7)),ISNUMBER(SEARCH("Delivered - verification",AI7)),ISNUMBER(SEARCH("Historical",AI7)),ISNUMBER(SEARCH("Not scheduled",AI7)),ISNUMBER(SEARCH("Not determined",AI7)),ISNUMBER(SEARCH("Decision record",AI7)),ISNUMBER(SEARCH("Due soon",AI7)),ISNUMBER(SEARCH("Not reviewed",AI7)),ISNUMBER(SEARCH("Tier not",AI7)),ISNUMBER(SEARCH("No decision",AI7)),ISNUMBER(SEARCH("Superseded",AI7)),ISNUMBER(SEARCH("Optional",AI7)),ISNUMBER(SEARCH("legal review",AI7)),ISNUMBER(SEARCH("No treatment",AI7)),ISNUMBER(SEARCH("not recorded",AI7)),ISNUMBER(SEARCH("consider",AI7)),ISNUMBER(SEARCH("Not set",AI7)),ISNUMBER(SEARCH("Not started",AI7)),ISNUMBER(SEARCH("No expiry",AI7)),ISNUMBER(SEARCH("No KRI",AI7)),ISNUMBER(SEARCH("no reassessment",AI7)),ISNUMBER(SEARCH("Applicability",AI7)),ISNUMBER(SEARCH("Not current",AI7)),ISNUMBER(SEARCH("assess relevance",AI7)))</formula>
    </cfRule>
    <cfRule type="expression" priority="37" aboveAverage="0" equalAverage="0" bottom="0" percent="0" rank="0" text="" dxfId="22">
      <formula>OR(LEFT(AI7,2)="OK",LEFT(AI7,8)="Complete",LEFT(AI7,7)="Current",LEFT(AI7,10)="Authorised",LEFT(AI7,6)="Within",LEFT(AI7,11)="On schedule",LEFT(AI7,17)="Ready for closure",LEFT(AI7,17)="Evidence reviewed",LEFT(AI7,19)="Decision referenced",LEFT(AI7,27)="Reassessment event recorded",LEFT(AI7,14)="Period current",LEFT(AI7,17)="Gap dispositioned",LEFT(AI7,17)="Reviewed - no gap",LEFT(AI7,11)="Recommended",LEFT(AI7,17)="Closed - verified")</formula>
    </cfRule>
  </conditionalFormatting>
  <conditionalFormatting sqref="AJ7:AJ206">
    <cfRule type="expression" priority="38" aboveAverage="0" equalAverage="0" bottom="0" percent="0" rank="0" text="" dxfId="0">
      <formula>OR(ISNUMBER(SEARCH("Above appetite",AJ7)),ISNUMBER(SEARCH("Overdue",AJ7)),ISNUMBER(SEARCH("Expired",AJ7)),ISNUMBER(SEARCH("Breach",AJ7)),ISNUMBER(SEARCH("CHECK",AJ7)),ISNUMBER(SEARCH("Not ready",AJ7)),ISNUMBER(SEARCH("REMAINS",AJ7)),ISNUMBER(SEARCH("Failed",AJ7)),ISNUMBER(SEARCH("Cannot assess",AJ7)))</formula>
    </cfRule>
    <cfRule type="expression" priority="39" aboveAverage="0" equalAverage="0" bottom="0" percent="0" rank="0" text="" dxfId="21">
      <formula>OR(ISNUMBER(SEARCH("Incomplete",AJ7)),ISNUMBER(SEARCH("Pending",AJ7)),ISNUMBER(SEARCH("Approaching",AJ7)),ISNUMBER(SEARCH("insufficient",AJ7)),ISNUMBER(SEARCH("Awaiting",AJ7)),ISNUMBER(SEARCH("Review due",AJ7)),ISNUMBER(SEARCH("Not configured",AJ7)),ISNUMBER(SEARCH("Not classified",AJ7)),ISNUMBER(SEARCH("Proposed",AJ7)),ISNUMBER(SEARCH("Verification",AJ7)),ISNUMBER(SEARCH("Scope limitation",AJ7)),ISNUMBER(SEARCH("Follow-up",AJ7)),ISNUMBER(SEARCH("Open gap",AJ7)),ISNUMBER(SEARCH("Delivered - verification",AJ7)),ISNUMBER(SEARCH("Historical",AJ7)),ISNUMBER(SEARCH("Not scheduled",AJ7)),ISNUMBER(SEARCH("Not determined",AJ7)),ISNUMBER(SEARCH("Decision record",AJ7)),ISNUMBER(SEARCH("Due soon",AJ7)),ISNUMBER(SEARCH("Not reviewed",AJ7)),ISNUMBER(SEARCH("Tier not",AJ7)),ISNUMBER(SEARCH("No decision",AJ7)),ISNUMBER(SEARCH("Superseded",AJ7)),ISNUMBER(SEARCH("Optional",AJ7)),ISNUMBER(SEARCH("legal review",AJ7)),ISNUMBER(SEARCH("No treatment",AJ7)),ISNUMBER(SEARCH("not recorded",AJ7)),ISNUMBER(SEARCH("consider",AJ7)),ISNUMBER(SEARCH("Not set",AJ7)),ISNUMBER(SEARCH("Not started",AJ7)),ISNUMBER(SEARCH("No expiry",AJ7)),ISNUMBER(SEARCH("No KRI",AJ7)),ISNUMBER(SEARCH("no reassessment",AJ7)),ISNUMBER(SEARCH("Applicability",AJ7)),ISNUMBER(SEARCH("Not current",AJ7)),ISNUMBER(SEARCH("assess relevance",AJ7)))</formula>
    </cfRule>
    <cfRule type="expression" priority="40" aboveAverage="0" equalAverage="0" bottom="0" percent="0" rank="0" text="" dxfId="22">
      <formula>OR(LEFT(AJ7,2)="OK",LEFT(AJ7,8)="Complete",LEFT(AJ7,7)="Current",LEFT(AJ7,10)="Authorised",LEFT(AJ7,6)="Within",LEFT(AJ7,11)="On schedule",LEFT(AJ7,17)="Ready for closure",LEFT(AJ7,17)="Evidence reviewed",LEFT(AJ7,19)="Decision referenced",LEFT(AJ7,27)="Reassessment event recorded",LEFT(AJ7,14)="Period current",LEFT(AJ7,17)="Gap dispositioned",LEFT(AJ7,17)="Reviewed - no gap",LEFT(AJ7,11)="Recommended",LEFT(AJ7,17)="Closed - verified")</formula>
    </cfRule>
  </conditionalFormatting>
  <conditionalFormatting sqref="A7:A206">
    <cfRule type="expression" priority="41" aboveAverage="0" equalAverage="0" bottom="0" percent="0" rank="0" text="" dxfId="0">
      <formula>AND(A7&lt;&gt;"",COUNTIF($A$7:$A$206,A7)&gt;1)</formula>
    </cfRule>
  </conditionalFormatting>
  <dataValidations count="6">
    <dataValidation allowBlank="true" error="Enter a valid date (on or after 1 Jan 2000)." errorStyle="stop" errorTitle="Invalid date" operator="greaterThanOrEqual" showDropDown="false" showErrorMessage="true" showInputMessage="false" sqref="AE7:AF206" type="date">
      <formula1>36526</formula1>
      <formula2>0</formula2>
    </dataValidation>
    <dataValidation allowBlank="true" error="Choose a value from the list (controlled vocabulary or an existing ID)." errorStyle="stop" errorTitle="Invalid entry" operator="between" showDropDown="false" showErrorMessage="true" showInputMessage="false" sqref="B7:B206" type="list">
      <formula1>INV_ID</formula1>
      <formula2>0</formula2>
    </dataValidation>
    <dataValidation allowBlank="true" error="Choose a value from the list (controlled vocabulary or an existing ID)." errorStyle="stop" errorTitle="Invalid entry" operator="between" showDropDown="false" showErrorMessage="true" showInputMessage="false" sqref="D7:D206" type="list">
      <formula1>L_RiskCat</formula1>
      <formula2>0</formula2>
    </dataValidation>
    <dataValidation allowBlank="true" error="Enter a whole number from 1 to 5." errorStyle="stop" errorTitle="Invalid rating" operator="between" showDropDown="false" showErrorMessage="true" showInputMessage="false" sqref="J7:K206 P7:Q206 V7:W206" type="whole">
      <formula1>1</formula1>
      <formula2>5</formula2>
    </dataValidation>
    <dataValidation allowBlank="true" error="Choose a value from the list (controlled vocabulary or an existing ID)." errorStyle="stop" errorTitle="Invalid entry" operator="between" showDropDown="false" showErrorMessage="true" showInputMessage="false" sqref="U7:U206" type="list">
      <formula1>L_Confidence</formula1>
      <formula2>0</formula2>
    </dataValidation>
    <dataValidation allowBlank="true" error="Choose a value from the list (controlled vocabulary or an existing ID)." errorStyle="stop" errorTitle="Invalid entry" operator="between" showDropDown="false" showErrorMessage="true" showInputMessage="false" sqref="AB7:AB206" type="list">
      <formula1>DEC_ID</formula1>
      <formula2>0</formula2>
    </dataValidation>
  </dataValidations>
  <hyperlinks>
    <hyperlink ref="H1" r:id="rId1" location="'01%20Start%20Here'!A1" display="&lt;&lt; Back to Start Here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tableParts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N12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6" topLeftCell="B7" activePane="bottomRight" state="frozen"/>
      <selection pane="topLeft" activeCell="A1" activeCellId="0" sqref="A1"/>
      <selection pane="topRight" activeCell="B1" activeCellId="0" sqref="B1"/>
      <selection pane="bottomLeft" activeCell="A7" activeCellId="0" sqref="A7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12"/>
    <col collapsed="false" customWidth="true" hidden="false" outlineLevel="0" max="2" min="2" style="1" width="26"/>
    <col collapsed="false" customWidth="true" hidden="false" outlineLevel="0" max="3" min="3" style="1" width="24"/>
    <col collapsed="false" customWidth="true" hidden="false" outlineLevel="0" max="4" min="4" style="1" width="52"/>
    <col collapsed="false" customWidth="true" hidden="false" outlineLevel="0" max="5" min="5" style="1" width="34"/>
    <col collapsed="false" customWidth="true" hidden="false" outlineLevel="0" max="6" min="6" style="1" width="28"/>
    <col collapsed="false" customWidth="true" hidden="false" outlineLevel="0" max="7" min="7" style="1" width="12"/>
    <col collapsed="false" customWidth="true" hidden="false" outlineLevel="0" max="8" min="8" style="1" width="34"/>
    <col collapsed="false" customWidth="true" hidden="false" outlineLevel="0" max="9" min="9" style="1" width="40"/>
    <col collapsed="false" customWidth="true" hidden="false" outlineLevel="0" max="10" min="10" style="1" width="22"/>
    <col collapsed="false" customWidth="true" hidden="false" outlineLevel="0" max="11" min="11" style="1" width="12"/>
    <col collapsed="false" customWidth="true" hidden="false" outlineLevel="0" max="12" min="12" style="1" width="9"/>
    <col collapsed="false" customWidth="true" hidden="false" outlineLevel="0" max="13" min="13" style="1" width="12"/>
    <col collapsed="false" customWidth="true" hidden="false" outlineLevel="0" max="14" min="14" style="1" width="22"/>
  </cols>
  <sheetData>
    <row r="1" customFormat="false" ht="17.35" hidden="false" customHeight="false" outlineLevel="0" collapsed="false">
      <c r="A1" s="22" t="s">
        <v>47</v>
      </c>
      <c r="H1" s="10" t="s">
        <v>100</v>
      </c>
    </row>
    <row r="2" customFormat="false" ht="15" hidden="false" customHeight="false" outlineLevel="0" collapsed="false">
      <c r="A2" s="3" t="s">
        <v>711</v>
      </c>
    </row>
    <row r="3" customFormat="false" ht="15" hidden="false" customHeight="false" outlineLevel="0" collapsed="false">
      <c r="A3" s="4" t="s">
        <v>712</v>
      </c>
    </row>
    <row r="4" customFormat="false" ht="24" hidden="false" customHeight="true" outlineLevel="0" collapsed="false">
      <c r="A4" s="45" t="s">
        <v>69</v>
      </c>
      <c r="B4" s="45" t="s">
        <v>69</v>
      </c>
      <c r="C4" s="45" t="s">
        <v>69</v>
      </c>
      <c r="D4" s="45" t="s">
        <v>69</v>
      </c>
      <c r="E4" s="45" t="s">
        <v>69</v>
      </c>
      <c r="F4" s="45" t="s">
        <v>69</v>
      </c>
      <c r="G4" s="45" t="s">
        <v>69</v>
      </c>
      <c r="H4" s="45" t="s">
        <v>69</v>
      </c>
      <c r="I4" s="45" t="s">
        <v>69</v>
      </c>
      <c r="J4" s="45" t="s">
        <v>69</v>
      </c>
      <c r="K4" s="45" t="s">
        <v>69</v>
      </c>
      <c r="L4" s="45" t="s">
        <v>69</v>
      </c>
      <c r="M4" s="46" t="s">
        <v>442</v>
      </c>
      <c r="N4" s="46" t="s">
        <v>442</v>
      </c>
    </row>
    <row r="5" customFormat="false" ht="30" hidden="false" customHeight="true" outlineLevel="0" collapsed="false">
      <c r="A5" s="47" t="s">
        <v>713</v>
      </c>
      <c r="B5" s="47"/>
      <c r="C5" s="47" t="s">
        <v>714</v>
      </c>
      <c r="D5" s="47"/>
      <c r="E5" s="47"/>
      <c r="F5" s="47"/>
      <c r="G5" s="47" t="s">
        <v>600</v>
      </c>
      <c r="H5" s="47"/>
      <c r="I5" s="47"/>
      <c r="J5" s="47"/>
      <c r="K5" s="47" t="s">
        <v>536</v>
      </c>
      <c r="L5" s="47" t="s">
        <v>715</v>
      </c>
      <c r="M5" s="47"/>
      <c r="N5" s="47"/>
    </row>
    <row r="6" customFormat="false" ht="48" hidden="false" customHeight="true" outlineLevel="0" collapsed="false">
      <c r="A6" s="48" t="s">
        <v>716</v>
      </c>
      <c r="B6" s="48" t="s">
        <v>717</v>
      </c>
      <c r="C6" s="48" t="s">
        <v>718</v>
      </c>
      <c r="D6" s="48" t="s">
        <v>719</v>
      </c>
      <c r="E6" s="48" t="s">
        <v>720</v>
      </c>
      <c r="F6" s="48" t="s">
        <v>721</v>
      </c>
      <c r="G6" s="48" t="s">
        <v>722</v>
      </c>
      <c r="H6" s="48" t="s">
        <v>723</v>
      </c>
      <c r="I6" s="48" t="s">
        <v>724</v>
      </c>
      <c r="J6" s="48" t="s">
        <v>725</v>
      </c>
      <c r="K6" s="48" t="s">
        <v>726</v>
      </c>
      <c r="L6" s="48" t="s">
        <v>727</v>
      </c>
      <c r="M6" s="49" t="s">
        <v>728</v>
      </c>
      <c r="N6" s="49" t="s">
        <v>476</v>
      </c>
    </row>
    <row r="7" customFormat="false" ht="35.05" hidden="false" customHeight="false" outlineLevel="0" collapsed="false">
      <c r="A7" s="50" t="s">
        <v>729</v>
      </c>
      <c r="B7" s="34" t="s">
        <v>246</v>
      </c>
      <c r="C7" s="34" t="s">
        <v>730</v>
      </c>
      <c r="D7" s="34" t="s">
        <v>731</v>
      </c>
      <c r="E7" s="34" t="s">
        <v>732</v>
      </c>
      <c r="F7" s="34" t="s">
        <v>733</v>
      </c>
      <c r="G7" s="50" t="s">
        <v>157</v>
      </c>
      <c r="H7" s="34" t="s">
        <v>734</v>
      </c>
      <c r="I7" s="34" t="s">
        <v>735</v>
      </c>
      <c r="J7" s="34" t="s">
        <v>736</v>
      </c>
      <c r="K7" s="50" t="s">
        <v>265</v>
      </c>
      <c r="L7" s="50" t="s">
        <v>737</v>
      </c>
      <c r="M7" s="62" t="n">
        <f aca="false">IF(A7="","",COUNTIF(QA_QID,A7))</f>
        <v>0</v>
      </c>
      <c r="N7" s="52" t="str">
        <f aca="false">IF(A7="","",IF(COUNTIF(QB_ID,A7)&gt;1,"CHECK: duplicate Question ID","OK"))</f>
        <v>OK</v>
      </c>
    </row>
    <row r="8" customFormat="false" ht="35.05" hidden="false" customHeight="false" outlineLevel="0" collapsed="false">
      <c r="A8" s="50" t="s">
        <v>738</v>
      </c>
      <c r="B8" s="34" t="s">
        <v>246</v>
      </c>
      <c r="C8" s="34" t="s">
        <v>739</v>
      </c>
      <c r="D8" s="34" t="s">
        <v>740</v>
      </c>
      <c r="E8" s="34" t="s">
        <v>741</v>
      </c>
      <c r="F8" s="34" t="s">
        <v>742</v>
      </c>
      <c r="G8" s="50" t="s">
        <v>157</v>
      </c>
      <c r="H8" s="34" t="s">
        <v>743</v>
      </c>
      <c r="I8" s="34" t="s">
        <v>735</v>
      </c>
      <c r="J8" s="34" t="s">
        <v>736</v>
      </c>
      <c r="K8" s="50" t="s">
        <v>265</v>
      </c>
      <c r="L8" s="50" t="s">
        <v>737</v>
      </c>
      <c r="M8" s="62" t="n">
        <f aca="false">IF(A8="","",COUNTIF(QA_QID,A8))</f>
        <v>0</v>
      </c>
      <c r="N8" s="52" t="str">
        <f aca="false">IF(A8="","",IF(COUNTIF(QB_ID,A8)&gt;1,"CHECK: duplicate Question ID","OK"))</f>
        <v>OK</v>
      </c>
    </row>
    <row r="9" customFormat="false" ht="35.05" hidden="false" customHeight="false" outlineLevel="0" collapsed="false">
      <c r="A9" s="50" t="s">
        <v>744</v>
      </c>
      <c r="B9" s="34" t="s">
        <v>246</v>
      </c>
      <c r="C9" s="34" t="s">
        <v>745</v>
      </c>
      <c r="D9" s="34" t="s">
        <v>746</v>
      </c>
      <c r="E9" s="34" t="s">
        <v>747</v>
      </c>
      <c r="F9" s="34" t="s">
        <v>748</v>
      </c>
      <c r="G9" s="50" t="s">
        <v>154</v>
      </c>
      <c r="H9" s="34" t="s">
        <v>749</v>
      </c>
      <c r="I9" s="34" t="s">
        <v>735</v>
      </c>
      <c r="J9" s="34" t="s">
        <v>736</v>
      </c>
      <c r="K9" s="50" t="s">
        <v>265</v>
      </c>
      <c r="L9" s="50" t="s">
        <v>737</v>
      </c>
      <c r="M9" s="62" t="n">
        <f aca="false">IF(A9="","",COUNTIF(QA_QID,A9))</f>
        <v>0</v>
      </c>
      <c r="N9" s="52" t="str">
        <f aca="false">IF(A9="","",IF(COUNTIF(QB_ID,A9)&gt;1,"CHECK: duplicate Question ID","OK"))</f>
        <v>OK</v>
      </c>
    </row>
    <row r="10" customFormat="false" ht="35.05" hidden="false" customHeight="false" outlineLevel="0" collapsed="false">
      <c r="A10" s="50" t="s">
        <v>750</v>
      </c>
      <c r="B10" s="34" t="s">
        <v>246</v>
      </c>
      <c r="C10" s="34" t="s">
        <v>751</v>
      </c>
      <c r="D10" s="34" t="s">
        <v>752</v>
      </c>
      <c r="E10" s="34" t="s">
        <v>753</v>
      </c>
      <c r="F10" s="34" t="s">
        <v>754</v>
      </c>
      <c r="G10" s="50" t="s">
        <v>157</v>
      </c>
      <c r="H10" s="34" t="s">
        <v>755</v>
      </c>
      <c r="I10" s="34" t="s">
        <v>735</v>
      </c>
      <c r="J10" s="34" t="s">
        <v>736</v>
      </c>
      <c r="K10" s="50" t="s">
        <v>265</v>
      </c>
      <c r="L10" s="50" t="s">
        <v>737</v>
      </c>
      <c r="M10" s="62" t="n">
        <f aca="false">IF(A10="","",COUNTIF(QA_QID,A10))</f>
        <v>0</v>
      </c>
      <c r="N10" s="52" t="str">
        <f aca="false">IF(A10="","",IF(COUNTIF(QB_ID,A10)&gt;1,"CHECK: duplicate Question ID","OK"))</f>
        <v>OK</v>
      </c>
    </row>
    <row r="11" customFormat="false" ht="35.05" hidden="false" customHeight="false" outlineLevel="0" collapsed="false">
      <c r="A11" s="50" t="s">
        <v>756</v>
      </c>
      <c r="B11" s="34" t="s">
        <v>246</v>
      </c>
      <c r="C11" s="34" t="s">
        <v>757</v>
      </c>
      <c r="D11" s="34" t="s">
        <v>758</v>
      </c>
      <c r="E11" s="34" t="s">
        <v>759</v>
      </c>
      <c r="F11" s="34" t="s">
        <v>754</v>
      </c>
      <c r="G11" s="50" t="s">
        <v>154</v>
      </c>
      <c r="H11" s="34" t="s">
        <v>760</v>
      </c>
      <c r="I11" s="34" t="s">
        <v>735</v>
      </c>
      <c r="J11" s="34" t="s">
        <v>736</v>
      </c>
      <c r="K11" s="50" t="s">
        <v>265</v>
      </c>
      <c r="L11" s="50" t="s">
        <v>737</v>
      </c>
      <c r="M11" s="62" t="n">
        <f aca="false">IF(A11="","",COUNTIF(QA_QID,A11))</f>
        <v>1</v>
      </c>
      <c r="N11" s="52" t="str">
        <f aca="false">IF(A11="","",IF(COUNTIF(QB_ID,A11)&gt;1,"CHECK: duplicate Question ID","OK"))</f>
        <v>OK</v>
      </c>
    </row>
    <row r="12" customFormat="false" ht="35.05" hidden="false" customHeight="false" outlineLevel="0" collapsed="false">
      <c r="A12" s="50" t="s">
        <v>761</v>
      </c>
      <c r="B12" s="34" t="s">
        <v>246</v>
      </c>
      <c r="C12" s="34" t="s">
        <v>762</v>
      </c>
      <c r="D12" s="34" t="s">
        <v>763</v>
      </c>
      <c r="E12" s="34" t="s">
        <v>764</v>
      </c>
      <c r="F12" s="34" t="s">
        <v>748</v>
      </c>
      <c r="G12" s="50" t="s">
        <v>154</v>
      </c>
      <c r="H12" s="34" t="s">
        <v>765</v>
      </c>
      <c r="I12" s="34" t="s">
        <v>735</v>
      </c>
      <c r="J12" s="34" t="s">
        <v>736</v>
      </c>
      <c r="K12" s="50" t="s">
        <v>265</v>
      </c>
      <c r="L12" s="50" t="s">
        <v>737</v>
      </c>
      <c r="M12" s="62" t="n">
        <f aca="false">IF(A12="","",COUNTIF(QA_QID,A12))</f>
        <v>0</v>
      </c>
      <c r="N12" s="52" t="str">
        <f aca="false">IF(A12="","",IF(COUNTIF(QB_ID,A12)&gt;1,"CHECK: duplicate Question ID","OK"))</f>
        <v>OK</v>
      </c>
    </row>
    <row r="13" customFormat="false" ht="35.05" hidden="false" customHeight="false" outlineLevel="0" collapsed="false">
      <c r="A13" s="50" t="s">
        <v>766</v>
      </c>
      <c r="B13" s="34" t="s">
        <v>282</v>
      </c>
      <c r="C13" s="34" t="s">
        <v>767</v>
      </c>
      <c r="D13" s="34" t="s">
        <v>768</v>
      </c>
      <c r="E13" s="34" t="s">
        <v>769</v>
      </c>
      <c r="F13" s="34" t="s">
        <v>770</v>
      </c>
      <c r="G13" s="50" t="s">
        <v>154</v>
      </c>
      <c r="H13" s="34" t="s">
        <v>771</v>
      </c>
      <c r="I13" s="34" t="s">
        <v>772</v>
      </c>
      <c r="J13" s="34" t="s">
        <v>773</v>
      </c>
      <c r="K13" s="50" t="s">
        <v>265</v>
      </c>
      <c r="L13" s="50" t="s">
        <v>737</v>
      </c>
      <c r="M13" s="62" t="n">
        <f aca="false">IF(A13="","",COUNTIF(QA_QID,A13))</f>
        <v>1</v>
      </c>
      <c r="N13" s="52" t="str">
        <f aca="false">IF(A13="","",IF(COUNTIF(QB_ID,A13)&gt;1,"CHECK: duplicate Question ID","OK"))</f>
        <v>OK</v>
      </c>
    </row>
    <row r="14" customFormat="false" ht="35.05" hidden="false" customHeight="false" outlineLevel="0" collapsed="false">
      <c r="A14" s="50" t="s">
        <v>774</v>
      </c>
      <c r="B14" s="34" t="s">
        <v>282</v>
      </c>
      <c r="C14" s="34" t="s">
        <v>775</v>
      </c>
      <c r="D14" s="34" t="s">
        <v>776</v>
      </c>
      <c r="E14" s="34" t="s">
        <v>777</v>
      </c>
      <c r="F14" s="34" t="s">
        <v>778</v>
      </c>
      <c r="G14" s="50" t="s">
        <v>117</v>
      </c>
      <c r="H14" s="34" t="s">
        <v>779</v>
      </c>
      <c r="I14" s="34" t="s">
        <v>772</v>
      </c>
      <c r="J14" s="34" t="s">
        <v>773</v>
      </c>
      <c r="K14" s="50" t="s">
        <v>265</v>
      </c>
      <c r="L14" s="50" t="s">
        <v>737</v>
      </c>
      <c r="M14" s="62" t="n">
        <f aca="false">IF(A14="","",COUNTIF(QA_QID,A14))</f>
        <v>1</v>
      </c>
      <c r="N14" s="52" t="str">
        <f aca="false">IF(A14="","",IF(COUNTIF(QB_ID,A14)&gt;1,"CHECK: duplicate Question ID","OK"))</f>
        <v>OK</v>
      </c>
    </row>
    <row r="15" customFormat="false" ht="35.05" hidden="false" customHeight="false" outlineLevel="0" collapsed="false">
      <c r="A15" s="50" t="s">
        <v>780</v>
      </c>
      <c r="B15" s="34" t="s">
        <v>282</v>
      </c>
      <c r="C15" s="34" t="s">
        <v>781</v>
      </c>
      <c r="D15" s="34" t="s">
        <v>782</v>
      </c>
      <c r="E15" s="34" t="s">
        <v>783</v>
      </c>
      <c r="F15" s="34" t="s">
        <v>742</v>
      </c>
      <c r="G15" s="50" t="s">
        <v>154</v>
      </c>
      <c r="H15" s="34" t="s">
        <v>784</v>
      </c>
      <c r="I15" s="34" t="s">
        <v>772</v>
      </c>
      <c r="J15" s="34" t="s">
        <v>773</v>
      </c>
      <c r="K15" s="50" t="s">
        <v>265</v>
      </c>
      <c r="L15" s="50" t="s">
        <v>737</v>
      </c>
      <c r="M15" s="62" t="n">
        <f aca="false">IF(A15="","",COUNTIF(QA_QID,A15))</f>
        <v>0</v>
      </c>
      <c r="N15" s="52" t="str">
        <f aca="false">IF(A15="","",IF(COUNTIF(QB_ID,A15)&gt;1,"CHECK: duplicate Question ID","OK"))</f>
        <v>OK</v>
      </c>
    </row>
    <row r="16" customFormat="false" ht="35.05" hidden="false" customHeight="false" outlineLevel="0" collapsed="false">
      <c r="A16" s="50" t="s">
        <v>785</v>
      </c>
      <c r="B16" s="34" t="s">
        <v>282</v>
      </c>
      <c r="C16" s="34" t="s">
        <v>786</v>
      </c>
      <c r="D16" s="34" t="s">
        <v>787</v>
      </c>
      <c r="E16" s="34" t="s">
        <v>788</v>
      </c>
      <c r="F16" s="34" t="s">
        <v>789</v>
      </c>
      <c r="G16" s="50" t="s">
        <v>154</v>
      </c>
      <c r="H16" s="34" t="s">
        <v>790</v>
      </c>
      <c r="I16" s="34" t="s">
        <v>772</v>
      </c>
      <c r="J16" s="34" t="s">
        <v>773</v>
      </c>
      <c r="K16" s="50" t="s">
        <v>265</v>
      </c>
      <c r="L16" s="50" t="s">
        <v>737</v>
      </c>
      <c r="M16" s="62" t="n">
        <f aca="false">IF(A16="","",COUNTIF(QA_QID,A16))</f>
        <v>1</v>
      </c>
      <c r="N16" s="52" t="str">
        <f aca="false">IF(A16="","",IF(COUNTIF(QB_ID,A16)&gt;1,"CHECK: duplicate Question ID","OK"))</f>
        <v>OK</v>
      </c>
    </row>
    <row r="17" customFormat="false" ht="35.05" hidden="false" customHeight="false" outlineLevel="0" collapsed="false">
      <c r="A17" s="50" t="s">
        <v>791</v>
      </c>
      <c r="B17" s="34" t="s">
        <v>282</v>
      </c>
      <c r="C17" s="34" t="s">
        <v>792</v>
      </c>
      <c r="D17" s="34" t="s">
        <v>793</v>
      </c>
      <c r="E17" s="34" t="s">
        <v>794</v>
      </c>
      <c r="F17" s="34" t="s">
        <v>795</v>
      </c>
      <c r="G17" s="50" t="s">
        <v>117</v>
      </c>
      <c r="H17" s="34" t="s">
        <v>796</v>
      </c>
      <c r="I17" s="34" t="s">
        <v>772</v>
      </c>
      <c r="J17" s="34" t="s">
        <v>773</v>
      </c>
      <c r="K17" s="50" t="s">
        <v>265</v>
      </c>
      <c r="L17" s="50" t="s">
        <v>737</v>
      </c>
      <c r="M17" s="62" t="n">
        <f aca="false">IF(A17="","",COUNTIF(QA_QID,A17))</f>
        <v>0</v>
      </c>
      <c r="N17" s="52" t="str">
        <f aca="false">IF(A17="","",IF(COUNTIF(QB_ID,A17)&gt;1,"CHECK: duplicate Question ID","OK"))</f>
        <v>OK</v>
      </c>
    </row>
    <row r="18" customFormat="false" ht="35.05" hidden="false" customHeight="false" outlineLevel="0" collapsed="false">
      <c r="A18" s="50" t="s">
        <v>797</v>
      </c>
      <c r="B18" s="34" t="s">
        <v>282</v>
      </c>
      <c r="C18" s="34" t="s">
        <v>798</v>
      </c>
      <c r="D18" s="34" t="s">
        <v>799</v>
      </c>
      <c r="E18" s="34" t="s">
        <v>800</v>
      </c>
      <c r="F18" s="34" t="s">
        <v>801</v>
      </c>
      <c r="G18" s="50" t="s">
        <v>117</v>
      </c>
      <c r="H18" s="34" t="s">
        <v>802</v>
      </c>
      <c r="I18" s="34" t="s">
        <v>772</v>
      </c>
      <c r="J18" s="34" t="s">
        <v>773</v>
      </c>
      <c r="K18" s="50" t="s">
        <v>265</v>
      </c>
      <c r="L18" s="50" t="s">
        <v>737</v>
      </c>
      <c r="M18" s="62" t="n">
        <f aca="false">IF(A18="","",COUNTIF(QA_QID,A18))</f>
        <v>0</v>
      </c>
      <c r="N18" s="52" t="str">
        <f aca="false">IF(A18="","",IF(COUNTIF(QB_ID,A18)&gt;1,"CHECK: duplicate Question ID","OK"))</f>
        <v>OK</v>
      </c>
    </row>
    <row r="19" customFormat="false" ht="35.05" hidden="false" customHeight="false" outlineLevel="0" collapsed="false">
      <c r="A19" s="50" t="s">
        <v>803</v>
      </c>
      <c r="B19" s="34" t="s">
        <v>321</v>
      </c>
      <c r="C19" s="34" t="s">
        <v>804</v>
      </c>
      <c r="D19" s="34" t="s">
        <v>805</v>
      </c>
      <c r="E19" s="34" t="s">
        <v>806</v>
      </c>
      <c r="F19" s="34" t="s">
        <v>807</v>
      </c>
      <c r="G19" s="50" t="s">
        <v>157</v>
      </c>
      <c r="H19" s="34" t="s">
        <v>808</v>
      </c>
      <c r="I19" s="34" t="s">
        <v>809</v>
      </c>
      <c r="J19" s="34" t="s">
        <v>810</v>
      </c>
      <c r="K19" s="50" t="s">
        <v>265</v>
      </c>
      <c r="L19" s="50" t="s">
        <v>737</v>
      </c>
      <c r="M19" s="62" t="n">
        <f aca="false">IF(A19="","",COUNTIF(QA_QID,A19))</f>
        <v>0</v>
      </c>
      <c r="N19" s="52" t="str">
        <f aca="false">IF(A19="","",IF(COUNTIF(QB_ID,A19)&gt;1,"CHECK: duplicate Question ID","OK"))</f>
        <v>OK</v>
      </c>
    </row>
    <row r="20" customFormat="false" ht="35.05" hidden="false" customHeight="false" outlineLevel="0" collapsed="false">
      <c r="A20" s="50" t="s">
        <v>811</v>
      </c>
      <c r="B20" s="34" t="s">
        <v>321</v>
      </c>
      <c r="C20" s="34" t="s">
        <v>804</v>
      </c>
      <c r="D20" s="34" t="s">
        <v>812</v>
      </c>
      <c r="E20" s="34" t="s">
        <v>813</v>
      </c>
      <c r="F20" s="34" t="s">
        <v>814</v>
      </c>
      <c r="G20" s="50" t="s">
        <v>154</v>
      </c>
      <c r="H20" s="34" t="s">
        <v>815</v>
      </c>
      <c r="I20" s="34" t="s">
        <v>809</v>
      </c>
      <c r="J20" s="34" t="s">
        <v>810</v>
      </c>
      <c r="K20" s="50" t="s">
        <v>265</v>
      </c>
      <c r="L20" s="50" t="s">
        <v>737</v>
      </c>
      <c r="M20" s="62" t="n">
        <f aca="false">IF(A20="","",COUNTIF(QA_QID,A20))</f>
        <v>1</v>
      </c>
      <c r="N20" s="52" t="str">
        <f aca="false">IF(A20="","",IF(COUNTIF(QB_ID,A20)&gt;1,"CHECK: duplicate Question ID","OK"))</f>
        <v>OK</v>
      </c>
    </row>
    <row r="21" customFormat="false" ht="35.05" hidden="false" customHeight="false" outlineLevel="0" collapsed="false">
      <c r="A21" s="50" t="s">
        <v>816</v>
      </c>
      <c r="B21" s="34" t="s">
        <v>321</v>
      </c>
      <c r="C21" s="34" t="s">
        <v>817</v>
      </c>
      <c r="D21" s="34" t="s">
        <v>818</v>
      </c>
      <c r="E21" s="34" t="s">
        <v>819</v>
      </c>
      <c r="F21" s="34" t="s">
        <v>820</v>
      </c>
      <c r="G21" s="50" t="s">
        <v>117</v>
      </c>
      <c r="H21" s="34" t="s">
        <v>821</v>
      </c>
      <c r="I21" s="34" t="s">
        <v>809</v>
      </c>
      <c r="J21" s="34" t="s">
        <v>810</v>
      </c>
      <c r="K21" s="50" t="s">
        <v>265</v>
      </c>
      <c r="L21" s="50" t="s">
        <v>737</v>
      </c>
      <c r="M21" s="62" t="n">
        <f aca="false">IF(A21="","",COUNTIF(QA_QID,A21))</f>
        <v>1</v>
      </c>
      <c r="N21" s="52" t="str">
        <f aca="false">IF(A21="","",IF(COUNTIF(QB_ID,A21)&gt;1,"CHECK: duplicate Question ID","OK"))</f>
        <v>OK</v>
      </c>
    </row>
    <row r="22" customFormat="false" ht="35.05" hidden="false" customHeight="false" outlineLevel="0" collapsed="false">
      <c r="A22" s="50" t="s">
        <v>822</v>
      </c>
      <c r="B22" s="34" t="s">
        <v>321</v>
      </c>
      <c r="C22" s="34" t="s">
        <v>823</v>
      </c>
      <c r="D22" s="34" t="s">
        <v>824</v>
      </c>
      <c r="E22" s="34" t="s">
        <v>825</v>
      </c>
      <c r="F22" s="34" t="s">
        <v>826</v>
      </c>
      <c r="G22" s="50" t="s">
        <v>154</v>
      </c>
      <c r="H22" s="34" t="s">
        <v>827</v>
      </c>
      <c r="I22" s="34" t="s">
        <v>809</v>
      </c>
      <c r="J22" s="34" t="s">
        <v>810</v>
      </c>
      <c r="K22" s="50" t="s">
        <v>265</v>
      </c>
      <c r="L22" s="50" t="s">
        <v>737</v>
      </c>
      <c r="M22" s="62" t="n">
        <f aca="false">IF(A22="","",COUNTIF(QA_QID,A22))</f>
        <v>0</v>
      </c>
      <c r="N22" s="52" t="str">
        <f aca="false">IF(A22="","",IF(COUNTIF(QB_ID,A22)&gt;1,"CHECK: duplicate Question ID","OK"))</f>
        <v>OK</v>
      </c>
    </row>
    <row r="23" customFormat="false" ht="35.05" hidden="false" customHeight="false" outlineLevel="0" collapsed="false">
      <c r="A23" s="50" t="s">
        <v>828</v>
      </c>
      <c r="B23" s="34" t="s">
        <v>321</v>
      </c>
      <c r="C23" s="34" t="s">
        <v>829</v>
      </c>
      <c r="D23" s="34" t="s">
        <v>830</v>
      </c>
      <c r="E23" s="34" t="s">
        <v>831</v>
      </c>
      <c r="F23" s="34" t="s">
        <v>832</v>
      </c>
      <c r="G23" s="50" t="s">
        <v>154</v>
      </c>
      <c r="H23" s="34" t="s">
        <v>833</v>
      </c>
      <c r="I23" s="34" t="s">
        <v>809</v>
      </c>
      <c r="J23" s="34" t="s">
        <v>810</v>
      </c>
      <c r="K23" s="50" t="s">
        <v>265</v>
      </c>
      <c r="L23" s="50" t="s">
        <v>737</v>
      </c>
      <c r="M23" s="62" t="n">
        <f aca="false">IF(A23="","",COUNTIF(QA_QID,A23))</f>
        <v>0</v>
      </c>
      <c r="N23" s="52" t="str">
        <f aca="false">IF(A23="","",IF(COUNTIF(QB_ID,A23)&gt;1,"CHECK: duplicate Question ID","OK"))</f>
        <v>OK</v>
      </c>
    </row>
    <row r="24" customFormat="false" ht="35.05" hidden="false" customHeight="false" outlineLevel="0" collapsed="false">
      <c r="A24" s="50" t="s">
        <v>834</v>
      </c>
      <c r="B24" s="34" t="s">
        <v>321</v>
      </c>
      <c r="C24" s="34" t="s">
        <v>835</v>
      </c>
      <c r="D24" s="34" t="s">
        <v>836</v>
      </c>
      <c r="E24" s="34" t="s">
        <v>837</v>
      </c>
      <c r="F24" s="34" t="s">
        <v>838</v>
      </c>
      <c r="G24" s="50" t="s">
        <v>154</v>
      </c>
      <c r="H24" s="34" t="s">
        <v>839</v>
      </c>
      <c r="I24" s="34" t="s">
        <v>809</v>
      </c>
      <c r="J24" s="34" t="s">
        <v>810</v>
      </c>
      <c r="K24" s="50" t="s">
        <v>265</v>
      </c>
      <c r="L24" s="50" t="s">
        <v>737</v>
      </c>
      <c r="M24" s="62" t="n">
        <f aca="false">IF(A24="","",COUNTIF(QA_QID,A24))</f>
        <v>0</v>
      </c>
      <c r="N24" s="52" t="str">
        <f aca="false">IF(A24="","",IF(COUNTIF(QB_ID,A24)&gt;1,"CHECK: duplicate Question ID","OK"))</f>
        <v>OK</v>
      </c>
    </row>
    <row r="25" customFormat="false" ht="35.05" hidden="false" customHeight="false" outlineLevel="0" collapsed="false">
      <c r="A25" s="50" t="s">
        <v>840</v>
      </c>
      <c r="B25" s="34" t="s">
        <v>357</v>
      </c>
      <c r="C25" s="34" t="s">
        <v>841</v>
      </c>
      <c r="D25" s="34" t="s">
        <v>842</v>
      </c>
      <c r="E25" s="34" t="s">
        <v>843</v>
      </c>
      <c r="F25" s="34" t="s">
        <v>844</v>
      </c>
      <c r="G25" s="50" t="s">
        <v>154</v>
      </c>
      <c r="H25" s="34" t="s">
        <v>845</v>
      </c>
      <c r="I25" s="34" t="s">
        <v>846</v>
      </c>
      <c r="J25" s="34" t="s">
        <v>847</v>
      </c>
      <c r="K25" s="50" t="s">
        <v>265</v>
      </c>
      <c r="L25" s="50" t="s">
        <v>737</v>
      </c>
      <c r="M25" s="62" t="n">
        <f aca="false">IF(A25="","",COUNTIF(QA_QID,A25))</f>
        <v>0</v>
      </c>
      <c r="N25" s="52" t="str">
        <f aca="false">IF(A25="","",IF(COUNTIF(QB_ID,A25)&gt;1,"CHECK: duplicate Question ID","OK"))</f>
        <v>OK</v>
      </c>
    </row>
    <row r="26" customFormat="false" ht="35.05" hidden="false" customHeight="false" outlineLevel="0" collapsed="false">
      <c r="A26" s="50" t="s">
        <v>848</v>
      </c>
      <c r="B26" s="34" t="s">
        <v>357</v>
      </c>
      <c r="C26" s="34" t="s">
        <v>841</v>
      </c>
      <c r="D26" s="34" t="s">
        <v>849</v>
      </c>
      <c r="E26" s="34" t="s">
        <v>850</v>
      </c>
      <c r="F26" s="34" t="s">
        <v>748</v>
      </c>
      <c r="G26" s="50" t="s">
        <v>117</v>
      </c>
      <c r="H26" s="34" t="s">
        <v>851</v>
      </c>
      <c r="I26" s="34" t="s">
        <v>846</v>
      </c>
      <c r="J26" s="34" t="s">
        <v>847</v>
      </c>
      <c r="K26" s="50" t="s">
        <v>265</v>
      </c>
      <c r="L26" s="50" t="s">
        <v>737</v>
      </c>
      <c r="M26" s="62" t="n">
        <f aca="false">IF(A26="","",COUNTIF(QA_QID,A26))</f>
        <v>1</v>
      </c>
      <c r="N26" s="52" t="str">
        <f aca="false">IF(A26="","",IF(COUNTIF(QB_ID,A26)&gt;1,"CHECK: duplicate Question ID","OK"))</f>
        <v>OK</v>
      </c>
    </row>
    <row r="27" customFormat="false" ht="35.05" hidden="false" customHeight="false" outlineLevel="0" collapsed="false">
      <c r="A27" s="50" t="s">
        <v>852</v>
      </c>
      <c r="B27" s="34" t="s">
        <v>357</v>
      </c>
      <c r="C27" s="34" t="s">
        <v>853</v>
      </c>
      <c r="D27" s="34" t="s">
        <v>854</v>
      </c>
      <c r="E27" s="34" t="s">
        <v>855</v>
      </c>
      <c r="F27" s="34" t="s">
        <v>856</v>
      </c>
      <c r="G27" s="50" t="s">
        <v>117</v>
      </c>
      <c r="H27" s="34" t="s">
        <v>857</v>
      </c>
      <c r="I27" s="34" t="s">
        <v>846</v>
      </c>
      <c r="J27" s="34" t="s">
        <v>847</v>
      </c>
      <c r="K27" s="50" t="s">
        <v>265</v>
      </c>
      <c r="L27" s="50" t="s">
        <v>737</v>
      </c>
      <c r="M27" s="62" t="n">
        <f aca="false">IF(A27="","",COUNTIF(QA_QID,A27))</f>
        <v>1</v>
      </c>
      <c r="N27" s="52" t="str">
        <f aca="false">IF(A27="","",IF(COUNTIF(QB_ID,A27)&gt;1,"CHECK: duplicate Question ID","OK"))</f>
        <v>OK</v>
      </c>
    </row>
    <row r="28" customFormat="false" ht="35.05" hidden="false" customHeight="false" outlineLevel="0" collapsed="false">
      <c r="A28" s="50" t="s">
        <v>858</v>
      </c>
      <c r="B28" s="34" t="s">
        <v>357</v>
      </c>
      <c r="C28" s="34" t="s">
        <v>841</v>
      </c>
      <c r="D28" s="34" t="s">
        <v>859</v>
      </c>
      <c r="E28" s="34" t="s">
        <v>860</v>
      </c>
      <c r="F28" s="34" t="s">
        <v>861</v>
      </c>
      <c r="G28" s="50" t="s">
        <v>154</v>
      </c>
      <c r="H28" s="34" t="s">
        <v>862</v>
      </c>
      <c r="I28" s="34" t="s">
        <v>846</v>
      </c>
      <c r="J28" s="34" t="s">
        <v>847</v>
      </c>
      <c r="K28" s="50" t="s">
        <v>265</v>
      </c>
      <c r="L28" s="50" t="s">
        <v>737</v>
      </c>
      <c r="M28" s="62" t="n">
        <f aca="false">IF(A28="","",COUNTIF(QA_QID,A28))</f>
        <v>0</v>
      </c>
      <c r="N28" s="52" t="str">
        <f aca="false">IF(A28="","",IF(COUNTIF(QB_ID,A28)&gt;1,"CHECK: duplicate Question ID","OK"))</f>
        <v>OK</v>
      </c>
    </row>
    <row r="29" customFormat="false" ht="35.05" hidden="false" customHeight="false" outlineLevel="0" collapsed="false">
      <c r="A29" s="50" t="s">
        <v>863</v>
      </c>
      <c r="B29" s="34" t="s">
        <v>357</v>
      </c>
      <c r="C29" s="34" t="s">
        <v>864</v>
      </c>
      <c r="D29" s="34" t="s">
        <v>865</v>
      </c>
      <c r="E29" s="34" t="s">
        <v>866</v>
      </c>
      <c r="F29" s="34" t="s">
        <v>867</v>
      </c>
      <c r="G29" s="50" t="s">
        <v>154</v>
      </c>
      <c r="H29" s="34" t="s">
        <v>868</v>
      </c>
      <c r="I29" s="34" t="s">
        <v>846</v>
      </c>
      <c r="J29" s="34" t="s">
        <v>847</v>
      </c>
      <c r="K29" s="50" t="s">
        <v>265</v>
      </c>
      <c r="L29" s="50" t="s">
        <v>737</v>
      </c>
      <c r="M29" s="62" t="n">
        <f aca="false">IF(A29="","",COUNTIF(QA_QID,A29))</f>
        <v>0</v>
      </c>
      <c r="N29" s="52" t="str">
        <f aca="false">IF(A29="","",IF(COUNTIF(QB_ID,A29)&gt;1,"CHECK: duplicate Question ID","OK"))</f>
        <v>OK</v>
      </c>
    </row>
    <row r="30" customFormat="false" ht="35.05" hidden="false" customHeight="false" outlineLevel="0" collapsed="false">
      <c r="A30" s="50" t="s">
        <v>869</v>
      </c>
      <c r="B30" s="34" t="s">
        <v>357</v>
      </c>
      <c r="C30" s="34" t="s">
        <v>870</v>
      </c>
      <c r="D30" s="34" t="s">
        <v>871</v>
      </c>
      <c r="E30" s="34" t="s">
        <v>872</v>
      </c>
      <c r="F30" s="34" t="s">
        <v>873</v>
      </c>
      <c r="G30" s="50" t="s">
        <v>157</v>
      </c>
      <c r="H30" s="34" t="s">
        <v>874</v>
      </c>
      <c r="I30" s="34" t="s">
        <v>846</v>
      </c>
      <c r="J30" s="34" t="s">
        <v>847</v>
      </c>
      <c r="K30" s="50" t="s">
        <v>265</v>
      </c>
      <c r="L30" s="50" t="s">
        <v>737</v>
      </c>
      <c r="M30" s="62" t="n">
        <f aca="false">IF(A30="","",COUNTIF(QA_QID,A30))</f>
        <v>0</v>
      </c>
      <c r="N30" s="52" t="str">
        <f aca="false">IF(A30="","",IF(COUNTIF(QB_ID,A30)&gt;1,"CHECK: duplicate Question ID","OK"))</f>
        <v>OK</v>
      </c>
    </row>
    <row r="31" customFormat="false" ht="35.05" hidden="false" customHeight="false" outlineLevel="0" collapsed="false">
      <c r="A31" s="50" t="s">
        <v>875</v>
      </c>
      <c r="B31" s="34" t="s">
        <v>385</v>
      </c>
      <c r="C31" s="34" t="s">
        <v>876</v>
      </c>
      <c r="D31" s="34" t="s">
        <v>877</v>
      </c>
      <c r="E31" s="34" t="s">
        <v>878</v>
      </c>
      <c r="F31" s="34" t="s">
        <v>879</v>
      </c>
      <c r="G31" s="50" t="s">
        <v>154</v>
      </c>
      <c r="H31" s="34" t="s">
        <v>880</v>
      </c>
      <c r="I31" s="34" t="s">
        <v>881</v>
      </c>
      <c r="J31" s="34" t="s">
        <v>882</v>
      </c>
      <c r="K31" s="50" t="s">
        <v>265</v>
      </c>
      <c r="L31" s="50" t="s">
        <v>737</v>
      </c>
      <c r="M31" s="62" t="n">
        <f aca="false">IF(A31="","",COUNTIF(QA_QID,A31))</f>
        <v>0</v>
      </c>
      <c r="N31" s="52" t="str">
        <f aca="false">IF(A31="","",IF(COUNTIF(QB_ID,A31)&gt;1,"CHECK: duplicate Question ID","OK"))</f>
        <v>OK</v>
      </c>
    </row>
    <row r="32" customFormat="false" ht="35.05" hidden="false" customHeight="false" outlineLevel="0" collapsed="false">
      <c r="A32" s="50" t="s">
        <v>883</v>
      </c>
      <c r="B32" s="34" t="s">
        <v>385</v>
      </c>
      <c r="C32" s="34" t="s">
        <v>884</v>
      </c>
      <c r="D32" s="34" t="s">
        <v>885</v>
      </c>
      <c r="E32" s="34" t="s">
        <v>886</v>
      </c>
      <c r="F32" s="34" t="s">
        <v>879</v>
      </c>
      <c r="G32" s="50" t="s">
        <v>117</v>
      </c>
      <c r="H32" s="34" t="s">
        <v>887</v>
      </c>
      <c r="I32" s="34" t="s">
        <v>881</v>
      </c>
      <c r="J32" s="34" t="s">
        <v>882</v>
      </c>
      <c r="K32" s="50" t="s">
        <v>265</v>
      </c>
      <c r="L32" s="50" t="s">
        <v>737</v>
      </c>
      <c r="M32" s="62" t="n">
        <f aca="false">IF(A32="","",COUNTIF(QA_QID,A32))</f>
        <v>0</v>
      </c>
      <c r="N32" s="52" t="str">
        <f aca="false">IF(A32="","",IF(COUNTIF(QB_ID,A32)&gt;1,"CHECK: duplicate Question ID","OK"))</f>
        <v>OK</v>
      </c>
    </row>
    <row r="33" customFormat="false" ht="35.05" hidden="false" customHeight="false" outlineLevel="0" collapsed="false">
      <c r="A33" s="50" t="s">
        <v>888</v>
      </c>
      <c r="B33" s="34" t="s">
        <v>385</v>
      </c>
      <c r="C33" s="34" t="s">
        <v>889</v>
      </c>
      <c r="D33" s="34" t="s">
        <v>890</v>
      </c>
      <c r="E33" s="34" t="s">
        <v>891</v>
      </c>
      <c r="F33" s="34" t="s">
        <v>892</v>
      </c>
      <c r="G33" s="50" t="s">
        <v>154</v>
      </c>
      <c r="H33" s="34" t="s">
        <v>893</v>
      </c>
      <c r="I33" s="34" t="s">
        <v>881</v>
      </c>
      <c r="J33" s="34" t="s">
        <v>882</v>
      </c>
      <c r="K33" s="50" t="s">
        <v>265</v>
      </c>
      <c r="L33" s="50" t="s">
        <v>737</v>
      </c>
      <c r="M33" s="62" t="n">
        <f aca="false">IF(A33="","",COUNTIF(QA_QID,A33))</f>
        <v>0</v>
      </c>
      <c r="N33" s="52" t="str">
        <f aca="false">IF(A33="","",IF(COUNTIF(QB_ID,A33)&gt;1,"CHECK: duplicate Question ID","OK"))</f>
        <v>OK</v>
      </c>
    </row>
    <row r="34" customFormat="false" ht="35.05" hidden="false" customHeight="false" outlineLevel="0" collapsed="false">
      <c r="A34" s="50" t="s">
        <v>894</v>
      </c>
      <c r="B34" s="34" t="s">
        <v>385</v>
      </c>
      <c r="C34" s="34" t="s">
        <v>895</v>
      </c>
      <c r="D34" s="34" t="s">
        <v>896</v>
      </c>
      <c r="E34" s="34" t="s">
        <v>897</v>
      </c>
      <c r="F34" s="34" t="s">
        <v>898</v>
      </c>
      <c r="G34" s="50" t="s">
        <v>154</v>
      </c>
      <c r="H34" s="34" t="s">
        <v>899</v>
      </c>
      <c r="I34" s="34" t="s">
        <v>881</v>
      </c>
      <c r="J34" s="34" t="s">
        <v>882</v>
      </c>
      <c r="K34" s="50" t="s">
        <v>265</v>
      </c>
      <c r="L34" s="50" t="s">
        <v>737</v>
      </c>
      <c r="M34" s="62" t="n">
        <f aca="false">IF(A34="","",COUNTIF(QA_QID,A34))</f>
        <v>0</v>
      </c>
      <c r="N34" s="52" t="str">
        <f aca="false">IF(A34="","",IF(COUNTIF(QB_ID,A34)&gt;1,"CHECK: duplicate Question ID","OK"))</f>
        <v>OK</v>
      </c>
    </row>
    <row r="35" customFormat="false" ht="35.05" hidden="false" customHeight="false" outlineLevel="0" collapsed="false">
      <c r="A35" s="50" t="s">
        <v>900</v>
      </c>
      <c r="B35" s="34" t="s">
        <v>385</v>
      </c>
      <c r="C35" s="34" t="s">
        <v>901</v>
      </c>
      <c r="D35" s="34" t="s">
        <v>902</v>
      </c>
      <c r="E35" s="34" t="s">
        <v>903</v>
      </c>
      <c r="F35" s="34" t="s">
        <v>748</v>
      </c>
      <c r="G35" s="50" t="s">
        <v>154</v>
      </c>
      <c r="H35" s="34" t="s">
        <v>904</v>
      </c>
      <c r="I35" s="34" t="s">
        <v>881</v>
      </c>
      <c r="J35" s="34" t="s">
        <v>882</v>
      </c>
      <c r="K35" s="50" t="s">
        <v>265</v>
      </c>
      <c r="L35" s="50" t="s">
        <v>737</v>
      </c>
      <c r="M35" s="62" t="n">
        <f aca="false">IF(A35="","",COUNTIF(QA_QID,A35))</f>
        <v>0</v>
      </c>
      <c r="N35" s="52" t="str">
        <f aca="false">IF(A35="","",IF(COUNTIF(QB_ID,A35)&gt;1,"CHECK: duplicate Question ID","OK"))</f>
        <v>OK</v>
      </c>
    </row>
    <row r="36" customFormat="false" ht="35.05" hidden="false" customHeight="false" outlineLevel="0" collapsed="false">
      <c r="A36" s="50" t="s">
        <v>905</v>
      </c>
      <c r="B36" s="34" t="s">
        <v>385</v>
      </c>
      <c r="C36" s="34" t="s">
        <v>906</v>
      </c>
      <c r="D36" s="34" t="s">
        <v>907</v>
      </c>
      <c r="E36" s="34" t="s">
        <v>908</v>
      </c>
      <c r="F36" s="34" t="s">
        <v>879</v>
      </c>
      <c r="G36" s="50" t="s">
        <v>154</v>
      </c>
      <c r="H36" s="34" t="s">
        <v>909</v>
      </c>
      <c r="I36" s="34" t="s">
        <v>881</v>
      </c>
      <c r="J36" s="34" t="s">
        <v>882</v>
      </c>
      <c r="K36" s="50" t="s">
        <v>265</v>
      </c>
      <c r="L36" s="50" t="s">
        <v>737</v>
      </c>
      <c r="M36" s="62" t="n">
        <f aca="false">IF(A36="","",COUNTIF(QA_QID,A36))</f>
        <v>0</v>
      </c>
      <c r="N36" s="52" t="str">
        <f aca="false">IF(A36="","",IF(COUNTIF(QB_ID,A36)&gt;1,"CHECK: duplicate Question ID","OK"))</f>
        <v>OK</v>
      </c>
    </row>
    <row r="37" customFormat="false" ht="35.05" hidden="false" customHeight="false" outlineLevel="0" collapsed="false">
      <c r="A37" s="50" t="s">
        <v>910</v>
      </c>
      <c r="B37" s="34" t="s">
        <v>404</v>
      </c>
      <c r="C37" s="34" t="s">
        <v>911</v>
      </c>
      <c r="D37" s="34" t="s">
        <v>912</v>
      </c>
      <c r="E37" s="34" t="s">
        <v>913</v>
      </c>
      <c r="F37" s="34" t="s">
        <v>914</v>
      </c>
      <c r="G37" s="50" t="s">
        <v>154</v>
      </c>
      <c r="H37" s="34" t="s">
        <v>915</v>
      </c>
      <c r="I37" s="34" t="s">
        <v>916</v>
      </c>
      <c r="J37" s="34" t="s">
        <v>917</v>
      </c>
      <c r="K37" s="50" t="s">
        <v>265</v>
      </c>
      <c r="L37" s="50" t="s">
        <v>737</v>
      </c>
      <c r="M37" s="62" t="n">
        <f aca="false">IF(A37="","",COUNTIF(QA_QID,A37))</f>
        <v>0</v>
      </c>
      <c r="N37" s="52" t="str">
        <f aca="false">IF(A37="","",IF(COUNTIF(QB_ID,A37)&gt;1,"CHECK: duplicate Question ID","OK"))</f>
        <v>OK</v>
      </c>
    </row>
    <row r="38" customFormat="false" ht="35.05" hidden="false" customHeight="false" outlineLevel="0" collapsed="false">
      <c r="A38" s="50" t="s">
        <v>918</v>
      </c>
      <c r="B38" s="34" t="s">
        <v>404</v>
      </c>
      <c r="C38" s="34" t="s">
        <v>911</v>
      </c>
      <c r="D38" s="34" t="s">
        <v>919</v>
      </c>
      <c r="E38" s="34" t="s">
        <v>920</v>
      </c>
      <c r="F38" s="34" t="s">
        <v>914</v>
      </c>
      <c r="G38" s="50" t="s">
        <v>154</v>
      </c>
      <c r="H38" s="34" t="s">
        <v>921</v>
      </c>
      <c r="I38" s="34" t="s">
        <v>916</v>
      </c>
      <c r="J38" s="34" t="s">
        <v>917</v>
      </c>
      <c r="K38" s="50" t="s">
        <v>265</v>
      </c>
      <c r="L38" s="50" t="s">
        <v>737</v>
      </c>
      <c r="M38" s="62" t="n">
        <f aca="false">IF(A38="","",COUNTIF(QA_QID,A38))</f>
        <v>0</v>
      </c>
      <c r="N38" s="52" t="str">
        <f aca="false">IF(A38="","",IF(COUNTIF(QB_ID,A38)&gt;1,"CHECK: duplicate Question ID","OK"))</f>
        <v>OK</v>
      </c>
    </row>
    <row r="39" customFormat="false" ht="35.05" hidden="false" customHeight="false" outlineLevel="0" collapsed="false">
      <c r="A39" s="50" t="s">
        <v>922</v>
      </c>
      <c r="B39" s="34" t="s">
        <v>404</v>
      </c>
      <c r="C39" s="34" t="s">
        <v>923</v>
      </c>
      <c r="D39" s="34" t="s">
        <v>924</v>
      </c>
      <c r="E39" s="34" t="s">
        <v>925</v>
      </c>
      <c r="F39" s="34" t="s">
        <v>748</v>
      </c>
      <c r="G39" s="50" t="s">
        <v>117</v>
      </c>
      <c r="H39" s="34" t="s">
        <v>926</v>
      </c>
      <c r="I39" s="34" t="s">
        <v>916</v>
      </c>
      <c r="J39" s="34" t="s">
        <v>917</v>
      </c>
      <c r="K39" s="50" t="s">
        <v>265</v>
      </c>
      <c r="L39" s="50" t="s">
        <v>737</v>
      </c>
      <c r="M39" s="62" t="n">
        <f aca="false">IF(A39="","",COUNTIF(QA_QID,A39))</f>
        <v>0</v>
      </c>
      <c r="N39" s="52" t="str">
        <f aca="false">IF(A39="","",IF(COUNTIF(QB_ID,A39)&gt;1,"CHECK: duplicate Question ID","OK"))</f>
        <v>OK</v>
      </c>
    </row>
    <row r="40" customFormat="false" ht="35.05" hidden="false" customHeight="false" outlineLevel="0" collapsed="false">
      <c r="A40" s="50" t="s">
        <v>927</v>
      </c>
      <c r="B40" s="34" t="s">
        <v>404</v>
      </c>
      <c r="C40" s="34" t="s">
        <v>928</v>
      </c>
      <c r="D40" s="34" t="s">
        <v>929</v>
      </c>
      <c r="E40" s="34" t="s">
        <v>930</v>
      </c>
      <c r="F40" s="34" t="s">
        <v>748</v>
      </c>
      <c r="G40" s="50" t="s">
        <v>154</v>
      </c>
      <c r="H40" s="34" t="s">
        <v>931</v>
      </c>
      <c r="I40" s="34" t="s">
        <v>916</v>
      </c>
      <c r="J40" s="34" t="s">
        <v>917</v>
      </c>
      <c r="K40" s="50" t="s">
        <v>265</v>
      </c>
      <c r="L40" s="50" t="s">
        <v>737</v>
      </c>
      <c r="M40" s="62" t="n">
        <f aca="false">IF(A40="","",COUNTIF(QA_QID,A40))</f>
        <v>0</v>
      </c>
      <c r="N40" s="52" t="str">
        <f aca="false">IF(A40="","",IF(COUNTIF(QB_ID,A40)&gt;1,"CHECK: duplicate Question ID","OK"))</f>
        <v>OK</v>
      </c>
    </row>
    <row r="41" customFormat="false" ht="35.05" hidden="false" customHeight="false" outlineLevel="0" collapsed="false">
      <c r="A41" s="50" t="s">
        <v>932</v>
      </c>
      <c r="B41" s="34" t="s">
        <v>404</v>
      </c>
      <c r="C41" s="34" t="s">
        <v>933</v>
      </c>
      <c r="D41" s="34" t="s">
        <v>934</v>
      </c>
      <c r="E41" s="34" t="s">
        <v>935</v>
      </c>
      <c r="F41" s="34" t="s">
        <v>936</v>
      </c>
      <c r="G41" s="50" t="s">
        <v>157</v>
      </c>
      <c r="H41" s="34" t="s">
        <v>937</v>
      </c>
      <c r="I41" s="34" t="s">
        <v>916</v>
      </c>
      <c r="J41" s="34" t="s">
        <v>917</v>
      </c>
      <c r="K41" s="50" t="s">
        <v>265</v>
      </c>
      <c r="L41" s="50" t="s">
        <v>737</v>
      </c>
      <c r="M41" s="62" t="n">
        <f aca="false">IF(A41="","",COUNTIF(QA_QID,A41))</f>
        <v>0</v>
      </c>
      <c r="N41" s="52" t="str">
        <f aca="false">IF(A41="","",IF(COUNTIF(QB_ID,A41)&gt;1,"CHECK: duplicate Question ID","OK"))</f>
        <v>OK</v>
      </c>
    </row>
    <row r="42" customFormat="false" ht="35.05" hidden="false" customHeight="false" outlineLevel="0" collapsed="false">
      <c r="A42" s="50" t="s">
        <v>938</v>
      </c>
      <c r="B42" s="34" t="s">
        <v>404</v>
      </c>
      <c r="C42" s="34" t="s">
        <v>939</v>
      </c>
      <c r="D42" s="34" t="s">
        <v>940</v>
      </c>
      <c r="E42" s="34" t="s">
        <v>941</v>
      </c>
      <c r="F42" s="34" t="s">
        <v>942</v>
      </c>
      <c r="G42" s="50" t="s">
        <v>117</v>
      </c>
      <c r="H42" s="34" t="s">
        <v>943</v>
      </c>
      <c r="I42" s="34" t="s">
        <v>916</v>
      </c>
      <c r="J42" s="34" t="s">
        <v>917</v>
      </c>
      <c r="K42" s="50" t="s">
        <v>265</v>
      </c>
      <c r="L42" s="50" t="s">
        <v>737</v>
      </c>
      <c r="M42" s="62" t="n">
        <f aca="false">IF(A42="","",COUNTIF(QA_QID,A42))</f>
        <v>0</v>
      </c>
      <c r="N42" s="52" t="str">
        <f aca="false">IF(A42="","",IF(COUNTIF(QB_ID,A42)&gt;1,"CHECK: duplicate Question ID","OK"))</f>
        <v>OK</v>
      </c>
    </row>
    <row r="43" customFormat="false" ht="35.05" hidden="false" customHeight="false" outlineLevel="0" collapsed="false">
      <c r="A43" s="50" t="s">
        <v>944</v>
      </c>
      <c r="B43" s="34" t="s">
        <v>415</v>
      </c>
      <c r="C43" s="34" t="s">
        <v>945</v>
      </c>
      <c r="D43" s="34" t="s">
        <v>946</v>
      </c>
      <c r="E43" s="34" t="s">
        <v>947</v>
      </c>
      <c r="F43" s="34" t="s">
        <v>948</v>
      </c>
      <c r="G43" s="50" t="s">
        <v>154</v>
      </c>
      <c r="H43" s="34" t="s">
        <v>949</v>
      </c>
      <c r="I43" s="34" t="s">
        <v>950</v>
      </c>
      <c r="J43" s="34" t="s">
        <v>951</v>
      </c>
      <c r="K43" s="50" t="s">
        <v>265</v>
      </c>
      <c r="L43" s="50" t="s">
        <v>737</v>
      </c>
      <c r="M43" s="62" t="n">
        <f aca="false">IF(A43="","",COUNTIF(QA_QID,A43))</f>
        <v>1</v>
      </c>
      <c r="N43" s="52" t="str">
        <f aca="false">IF(A43="","",IF(COUNTIF(QB_ID,A43)&gt;1,"CHECK: duplicate Question ID","OK"))</f>
        <v>OK</v>
      </c>
    </row>
    <row r="44" customFormat="false" ht="35.05" hidden="false" customHeight="false" outlineLevel="0" collapsed="false">
      <c r="A44" s="50" t="s">
        <v>952</v>
      </c>
      <c r="B44" s="34" t="s">
        <v>415</v>
      </c>
      <c r="C44" s="34" t="s">
        <v>953</v>
      </c>
      <c r="D44" s="34" t="s">
        <v>954</v>
      </c>
      <c r="E44" s="34" t="s">
        <v>955</v>
      </c>
      <c r="F44" s="34" t="s">
        <v>948</v>
      </c>
      <c r="G44" s="50" t="s">
        <v>117</v>
      </c>
      <c r="H44" s="34" t="s">
        <v>956</v>
      </c>
      <c r="I44" s="34" t="s">
        <v>950</v>
      </c>
      <c r="J44" s="34" t="s">
        <v>951</v>
      </c>
      <c r="K44" s="50" t="s">
        <v>265</v>
      </c>
      <c r="L44" s="50" t="s">
        <v>737</v>
      </c>
      <c r="M44" s="62" t="n">
        <f aca="false">IF(A44="","",COUNTIF(QA_QID,A44))</f>
        <v>1</v>
      </c>
      <c r="N44" s="52" t="str">
        <f aca="false">IF(A44="","",IF(COUNTIF(QB_ID,A44)&gt;1,"CHECK: duplicate Question ID","OK"))</f>
        <v>OK</v>
      </c>
    </row>
    <row r="45" customFormat="false" ht="35.05" hidden="false" customHeight="false" outlineLevel="0" collapsed="false">
      <c r="A45" s="50" t="s">
        <v>957</v>
      </c>
      <c r="B45" s="34" t="s">
        <v>415</v>
      </c>
      <c r="C45" s="34" t="s">
        <v>958</v>
      </c>
      <c r="D45" s="34" t="s">
        <v>959</v>
      </c>
      <c r="E45" s="34" t="s">
        <v>960</v>
      </c>
      <c r="F45" s="34" t="s">
        <v>961</v>
      </c>
      <c r="G45" s="50" t="s">
        <v>117</v>
      </c>
      <c r="H45" s="34" t="s">
        <v>962</v>
      </c>
      <c r="I45" s="34" t="s">
        <v>950</v>
      </c>
      <c r="J45" s="34" t="s">
        <v>951</v>
      </c>
      <c r="K45" s="50" t="s">
        <v>265</v>
      </c>
      <c r="L45" s="50" t="s">
        <v>737</v>
      </c>
      <c r="M45" s="62" t="n">
        <f aca="false">IF(A45="","",COUNTIF(QA_QID,A45))</f>
        <v>0</v>
      </c>
      <c r="N45" s="52" t="str">
        <f aca="false">IF(A45="","",IF(COUNTIF(QB_ID,A45)&gt;1,"CHECK: duplicate Question ID","OK"))</f>
        <v>OK</v>
      </c>
    </row>
    <row r="46" customFormat="false" ht="35.05" hidden="false" customHeight="false" outlineLevel="0" collapsed="false">
      <c r="A46" s="50" t="s">
        <v>963</v>
      </c>
      <c r="B46" s="34" t="s">
        <v>415</v>
      </c>
      <c r="C46" s="34" t="s">
        <v>953</v>
      </c>
      <c r="D46" s="34" t="s">
        <v>964</v>
      </c>
      <c r="E46" s="34" t="s">
        <v>965</v>
      </c>
      <c r="F46" s="34" t="s">
        <v>966</v>
      </c>
      <c r="G46" s="50" t="s">
        <v>154</v>
      </c>
      <c r="H46" s="34" t="s">
        <v>967</v>
      </c>
      <c r="I46" s="34" t="s">
        <v>950</v>
      </c>
      <c r="J46" s="34" t="s">
        <v>951</v>
      </c>
      <c r="K46" s="50" t="s">
        <v>265</v>
      </c>
      <c r="L46" s="50" t="s">
        <v>737</v>
      </c>
      <c r="M46" s="62" t="n">
        <f aca="false">IF(A46="","",COUNTIF(QA_QID,A46))</f>
        <v>0</v>
      </c>
      <c r="N46" s="52" t="str">
        <f aca="false">IF(A46="","",IF(COUNTIF(QB_ID,A46)&gt;1,"CHECK: duplicate Question ID","OK"))</f>
        <v>OK</v>
      </c>
    </row>
    <row r="47" customFormat="false" ht="35.05" hidden="false" customHeight="false" outlineLevel="0" collapsed="false">
      <c r="A47" s="50" t="s">
        <v>968</v>
      </c>
      <c r="B47" s="34" t="s">
        <v>415</v>
      </c>
      <c r="C47" s="34" t="s">
        <v>835</v>
      </c>
      <c r="D47" s="34" t="s">
        <v>969</v>
      </c>
      <c r="E47" s="34" t="s">
        <v>970</v>
      </c>
      <c r="F47" s="34" t="s">
        <v>971</v>
      </c>
      <c r="G47" s="50" t="s">
        <v>154</v>
      </c>
      <c r="H47" s="34" t="s">
        <v>972</v>
      </c>
      <c r="I47" s="34" t="s">
        <v>950</v>
      </c>
      <c r="J47" s="34" t="s">
        <v>951</v>
      </c>
      <c r="K47" s="50" t="s">
        <v>265</v>
      </c>
      <c r="L47" s="50" t="s">
        <v>737</v>
      </c>
      <c r="M47" s="62" t="n">
        <f aca="false">IF(A47="","",COUNTIF(QA_QID,A47))</f>
        <v>0</v>
      </c>
      <c r="N47" s="52" t="str">
        <f aca="false">IF(A47="","",IF(COUNTIF(QB_ID,A47)&gt;1,"CHECK: duplicate Question ID","OK"))</f>
        <v>OK</v>
      </c>
    </row>
    <row r="48" customFormat="false" ht="35.05" hidden="false" customHeight="false" outlineLevel="0" collapsed="false">
      <c r="A48" s="50" t="s">
        <v>973</v>
      </c>
      <c r="B48" s="34" t="s">
        <v>415</v>
      </c>
      <c r="C48" s="34" t="s">
        <v>974</v>
      </c>
      <c r="D48" s="34" t="s">
        <v>975</v>
      </c>
      <c r="E48" s="34" t="s">
        <v>976</v>
      </c>
      <c r="F48" s="34" t="s">
        <v>748</v>
      </c>
      <c r="G48" s="50" t="s">
        <v>154</v>
      </c>
      <c r="H48" s="34" t="s">
        <v>977</v>
      </c>
      <c r="I48" s="34" t="s">
        <v>950</v>
      </c>
      <c r="J48" s="34" t="s">
        <v>951</v>
      </c>
      <c r="K48" s="50" t="s">
        <v>265</v>
      </c>
      <c r="L48" s="50" t="s">
        <v>737</v>
      </c>
      <c r="M48" s="62" t="n">
        <f aca="false">IF(A48="","",COUNTIF(QA_QID,A48))</f>
        <v>0</v>
      </c>
      <c r="N48" s="52" t="str">
        <f aca="false">IF(A48="","",IF(COUNTIF(QB_ID,A48)&gt;1,"CHECK: duplicate Question ID","OK"))</f>
        <v>OK</v>
      </c>
    </row>
    <row r="49" customFormat="false" ht="35.05" hidden="false" customHeight="false" outlineLevel="0" collapsed="false">
      <c r="A49" s="50" t="s">
        <v>978</v>
      </c>
      <c r="B49" s="34" t="s">
        <v>424</v>
      </c>
      <c r="C49" s="34" t="s">
        <v>979</v>
      </c>
      <c r="D49" s="34" t="s">
        <v>980</v>
      </c>
      <c r="E49" s="34" t="s">
        <v>981</v>
      </c>
      <c r="F49" s="34" t="s">
        <v>982</v>
      </c>
      <c r="G49" s="50" t="s">
        <v>157</v>
      </c>
      <c r="H49" s="34" t="s">
        <v>983</v>
      </c>
      <c r="I49" s="34" t="s">
        <v>984</v>
      </c>
      <c r="J49" s="34" t="s">
        <v>985</v>
      </c>
      <c r="K49" s="50" t="s">
        <v>265</v>
      </c>
      <c r="L49" s="50" t="s">
        <v>737</v>
      </c>
      <c r="M49" s="62" t="n">
        <f aca="false">IF(A49="","",COUNTIF(QA_QID,A49))</f>
        <v>1</v>
      </c>
      <c r="N49" s="52" t="str">
        <f aca="false">IF(A49="","",IF(COUNTIF(QB_ID,A49)&gt;1,"CHECK: duplicate Question ID","OK"))</f>
        <v>OK</v>
      </c>
    </row>
    <row r="50" customFormat="false" ht="35.05" hidden="false" customHeight="false" outlineLevel="0" collapsed="false">
      <c r="A50" s="50" t="s">
        <v>986</v>
      </c>
      <c r="B50" s="34" t="s">
        <v>424</v>
      </c>
      <c r="C50" s="34" t="s">
        <v>987</v>
      </c>
      <c r="D50" s="34" t="s">
        <v>988</v>
      </c>
      <c r="E50" s="34" t="s">
        <v>989</v>
      </c>
      <c r="F50" s="34" t="s">
        <v>982</v>
      </c>
      <c r="G50" s="50" t="s">
        <v>154</v>
      </c>
      <c r="H50" s="34" t="s">
        <v>990</v>
      </c>
      <c r="I50" s="34" t="s">
        <v>984</v>
      </c>
      <c r="J50" s="34" t="s">
        <v>985</v>
      </c>
      <c r="K50" s="50" t="s">
        <v>265</v>
      </c>
      <c r="L50" s="50" t="s">
        <v>737</v>
      </c>
      <c r="M50" s="62" t="n">
        <f aca="false">IF(A50="","",COUNTIF(QA_QID,A50))</f>
        <v>0</v>
      </c>
      <c r="N50" s="52" t="str">
        <f aca="false">IF(A50="","",IF(COUNTIF(QB_ID,A50)&gt;1,"CHECK: duplicate Question ID","OK"))</f>
        <v>OK</v>
      </c>
    </row>
    <row r="51" customFormat="false" ht="35.05" hidden="false" customHeight="false" outlineLevel="0" collapsed="false">
      <c r="A51" s="50" t="s">
        <v>991</v>
      </c>
      <c r="B51" s="34" t="s">
        <v>424</v>
      </c>
      <c r="C51" s="34" t="s">
        <v>992</v>
      </c>
      <c r="D51" s="34" t="s">
        <v>993</v>
      </c>
      <c r="E51" s="34" t="s">
        <v>994</v>
      </c>
      <c r="F51" s="34" t="s">
        <v>995</v>
      </c>
      <c r="G51" s="50" t="s">
        <v>154</v>
      </c>
      <c r="H51" s="34" t="s">
        <v>996</v>
      </c>
      <c r="I51" s="34" t="s">
        <v>984</v>
      </c>
      <c r="J51" s="34" t="s">
        <v>985</v>
      </c>
      <c r="K51" s="50" t="s">
        <v>265</v>
      </c>
      <c r="L51" s="50" t="s">
        <v>737</v>
      </c>
      <c r="M51" s="62" t="n">
        <f aca="false">IF(A51="","",COUNTIF(QA_QID,A51))</f>
        <v>0</v>
      </c>
      <c r="N51" s="52" t="str">
        <f aca="false">IF(A51="","",IF(COUNTIF(QB_ID,A51)&gt;1,"CHECK: duplicate Question ID","OK"))</f>
        <v>OK</v>
      </c>
    </row>
    <row r="52" customFormat="false" ht="35.05" hidden="false" customHeight="false" outlineLevel="0" collapsed="false">
      <c r="A52" s="50" t="s">
        <v>997</v>
      </c>
      <c r="B52" s="34" t="s">
        <v>424</v>
      </c>
      <c r="C52" s="34" t="s">
        <v>998</v>
      </c>
      <c r="D52" s="34" t="s">
        <v>999</v>
      </c>
      <c r="E52" s="34" t="s">
        <v>1000</v>
      </c>
      <c r="F52" s="34" t="s">
        <v>1001</v>
      </c>
      <c r="G52" s="50" t="s">
        <v>117</v>
      </c>
      <c r="H52" s="34" t="s">
        <v>1002</v>
      </c>
      <c r="I52" s="34" t="s">
        <v>984</v>
      </c>
      <c r="J52" s="34" t="s">
        <v>985</v>
      </c>
      <c r="K52" s="50" t="s">
        <v>265</v>
      </c>
      <c r="L52" s="50" t="s">
        <v>737</v>
      </c>
      <c r="M52" s="62" t="n">
        <f aca="false">IF(A52="","",COUNTIF(QA_QID,A52))</f>
        <v>1</v>
      </c>
      <c r="N52" s="52" t="str">
        <f aca="false">IF(A52="","",IF(COUNTIF(QB_ID,A52)&gt;1,"CHECK: duplicate Question ID","OK"))</f>
        <v>OK</v>
      </c>
    </row>
    <row r="53" customFormat="false" ht="35.05" hidden="false" customHeight="false" outlineLevel="0" collapsed="false">
      <c r="A53" s="50" t="s">
        <v>1003</v>
      </c>
      <c r="B53" s="34" t="s">
        <v>424</v>
      </c>
      <c r="C53" s="34" t="s">
        <v>1004</v>
      </c>
      <c r="D53" s="34" t="s">
        <v>1005</v>
      </c>
      <c r="E53" s="34" t="s">
        <v>1006</v>
      </c>
      <c r="F53" s="34" t="s">
        <v>982</v>
      </c>
      <c r="G53" s="50" t="s">
        <v>157</v>
      </c>
      <c r="H53" s="34" t="s">
        <v>1007</v>
      </c>
      <c r="I53" s="34" t="s">
        <v>984</v>
      </c>
      <c r="J53" s="34" t="s">
        <v>985</v>
      </c>
      <c r="K53" s="50" t="s">
        <v>265</v>
      </c>
      <c r="L53" s="50" t="s">
        <v>737</v>
      </c>
      <c r="M53" s="62" t="n">
        <f aca="false">IF(A53="","",COUNTIF(QA_QID,A53))</f>
        <v>0</v>
      </c>
      <c r="N53" s="52" t="str">
        <f aca="false">IF(A53="","",IF(COUNTIF(QB_ID,A53)&gt;1,"CHECK: duplicate Question ID","OK"))</f>
        <v>OK</v>
      </c>
    </row>
    <row r="54" customFormat="false" ht="35.05" hidden="false" customHeight="false" outlineLevel="0" collapsed="false">
      <c r="A54" s="50" t="s">
        <v>1008</v>
      </c>
      <c r="B54" s="34" t="s">
        <v>424</v>
      </c>
      <c r="C54" s="34" t="s">
        <v>1009</v>
      </c>
      <c r="D54" s="34" t="s">
        <v>1010</v>
      </c>
      <c r="E54" s="34" t="s">
        <v>1011</v>
      </c>
      <c r="F54" s="34" t="s">
        <v>1012</v>
      </c>
      <c r="G54" s="50" t="s">
        <v>117</v>
      </c>
      <c r="H54" s="34" t="s">
        <v>1013</v>
      </c>
      <c r="I54" s="34" t="s">
        <v>984</v>
      </c>
      <c r="J54" s="34" t="s">
        <v>985</v>
      </c>
      <c r="K54" s="50" t="s">
        <v>265</v>
      </c>
      <c r="L54" s="50" t="s">
        <v>737</v>
      </c>
      <c r="M54" s="62" t="n">
        <f aca="false">IF(A54="","",COUNTIF(QA_QID,A54))</f>
        <v>0</v>
      </c>
      <c r="N54" s="52" t="str">
        <f aca="false">IF(A54="","",IF(COUNTIF(QB_ID,A54)&gt;1,"CHECK: duplicate Question ID","OK"))</f>
        <v>OK</v>
      </c>
    </row>
    <row r="55" customFormat="false" ht="35.05" hidden="false" customHeight="false" outlineLevel="0" collapsed="false">
      <c r="A55" s="50" t="s">
        <v>1014</v>
      </c>
      <c r="B55" s="34" t="s">
        <v>429</v>
      </c>
      <c r="C55" s="34" t="s">
        <v>1015</v>
      </c>
      <c r="D55" s="34" t="s">
        <v>1016</v>
      </c>
      <c r="E55" s="34" t="s">
        <v>1017</v>
      </c>
      <c r="F55" s="34" t="s">
        <v>1018</v>
      </c>
      <c r="G55" s="50" t="s">
        <v>154</v>
      </c>
      <c r="H55" s="34" t="s">
        <v>1019</v>
      </c>
      <c r="I55" s="34" t="s">
        <v>1020</v>
      </c>
      <c r="J55" s="34" t="s">
        <v>1021</v>
      </c>
      <c r="K55" s="50" t="s">
        <v>265</v>
      </c>
      <c r="L55" s="50" t="s">
        <v>737</v>
      </c>
      <c r="M55" s="62" t="n">
        <f aca="false">IF(A55="","",COUNTIF(QA_QID,A55))</f>
        <v>0</v>
      </c>
      <c r="N55" s="52" t="str">
        <f aca="false">IF(A55="","",IF(COUNTIF(QB_ID,A55)&gt;1,"CHECK: duplicate Question ID","OK"))</f>
        <v>OK</v>
      </c>
    </row>
    <row r="56" customFormat="false" ht="35.05" hidden="false" customHeight="false" outlineLevel="0" collapsed="false">
      <c r="A56" s="50" t="s">
        <v>1022</v>
      </c>
      <c r="B56" s="34" t="s">
        <v>429</v>
      </c>
      <c r="C56" s="34" t="s">
        <v>1023</v>
      </c>
      <c r="D56" s="34" t="s">
        <v>1024</v>
      </c>
      <c r="E56" s="34" t="s">
        <v>1025</v>
      </c>
      <c r="F56" s="34" t="s">
        <v>1026</v>
      </c>
      <c r="G56" s="50" t="s">
        <v>117</v>
      </c>
      <c r="H56" s="34" t="s">
        <v>1027</v>
      </c>
      <c r="I56" s="34" t="s">
        <v>1020</v>
      </c>
      <c r="J56" s="34" t="s">
        <v>1021</v>
      </c>
      <c r="K56" s="50" t="s">
        <v>265</v>
      </c>
      <c r="L56" s="50" t="s">
        <v>737</v>
      </c>
      <c r="M56" s="62" t="n">
        <f aca="false">IF(A56="","",COUNTIF(QA_QID,A56))</f>
        <v>0</v>
      </c>
      <c r="N56" s="52" t="str">
        <f aca="false">IF(A56="","",IF(COUNTIF(QB_ID,A56)&gt;1,"CHECK: duplicate Question ID","OK"))</f>
        <v>OK</v>
      </c>
    </row>
    <row r="57" customFormat="false" ht="35.05" hidden="false" customHeight="false" outlineLevel="0" collapsed="false">
      <c r="A57" s="50" t="s">
        <v>1028</v>
      </c>
      <c r="B57" s="34" t="s">
        <v>429</v>
      </c>
      <c r="C57" s="34" t="s">
        <v>901</v>
      </c>
      <c r="D57" s="34" t="s">
        <v>1029</v>
      </c>
      <c r="E57" s="34" t="s">
        <v>1030</v>
      </c>
      <c r="F57" s="34" t="s">
        <v>1031</v>
      </c>
      <c r="G57" s="50" t="s">
        <v>154</v>
      </c>
      <c r="H57" s="34" t="s">
        <v>1032</v>
      </c>
      <c r="I57" s="34" t="s">
        <v>1020</v>
      </c>
      <c r="J57" s="34" t="s">
        <v>1021</v>
      </c>
      <c r="K57" s="50" t="s">
        <v>265</v>
      </c>
      <c r="L57" s="50" t="s">
        <v>737</v>
      </c>
      <c r="M57" s="62" t="n">
        <f aca="false">IF(A57="","",COUNTIF(QA_QID,A57))</f>
        <v>0</v>
      </c>
      <c r="N57" s="52" t="str">
        <f aca="false">IF(A57="","",IF(COUNTIF(QB_ID,A57)&gt;1,"CHECK: duplicate Question ID","OK"))</f>
        <v>OK</v>
      </c>
    </row>
    <row r="58" customFormat="false" ht="35.05" hidden="false" customHeight="false" outlineLevel="0" collapsed="false">
      <c r="A58" s="50" t="s">
        <v>1033</v>
      </c>
      <c r="B58" s="34" t="s">
        <v>429</v>
      </c>
      <c r="C58" s="34" t="s">
        <v>1034</v>
      </c>
      <c r="D58" s="34" t="s">
        <v>1035</v>
      </c>
      <c r="E58" s="34" t="s">
        <v>1036</v>
      </c>
      <c r="F58" s="34" t="s">
        <v>1037</v>
      </c>
      <c r="G58" s="50" t="s">
        <v>117</v>
      </c>
      <c r="H58" s="34" t="s">
        <v>1038</v>
      </c>
      <c r="I58" s="34" t="s">
        <v>1020</v>
      </c>
      <c r="J58" s="34" t="s">
        <v>1021</v>
      </c>
      <c r="K58" s="50" t="s">
        <v>265</v>
      </c>
      <c r="L58" s="50" t="s">
        <v>737</v>
      </c>
      <c r="M58" s="62" t="n">
        <f aca="false">IF(A58="","",COUNTIF(QA_QID,A58))</f>
        <v>1</v>
      </c>
      <c r="N58" s="52" t="str">
        <f aca="false">IF(A58="","",IF(COUNTIF(QB_ID,A58)&gt;1,"CHECK: duplicate Question ID","OK"))</f>
        <v>OK</v>
      </c>
    </row>
    <row r="59" customFormat="false" ht="35.05" hidden="false" customHeight="false" outlineLevel="0" collapsed="false">
      <c r="A59" s="50" t="s">
        <v>1039</v>
      </c>
      <c r="B59" s="34" t="s">
        <v>429</v>
      </c>
      <c r="C59" s="34" t="s">
        <v>901</v>
      </c>
      <c r="D59" s="34" t="s">
        <v>1040</v>
      </c>
      <c r="E59" s="34" t="s">
        <v>1041</v>
      </c>
      <c r="F59" s="34" t="s">
        <v>1031</v>
      </c>
      <c r="G59" s="50" t="s">
        <v>154</v>
      </c>
      <c r="H59" s="34" t="s">
        <v>1042</v>
      </c>
      <c r="I59" s="34" t="s">
        <v>1020</v>
      </c>
      <c r="J59" s="34" t="s">
        <v>1021</v>
      </c>
      <c r="K59" s="50" t="s">
        <v>265</v>
      </c>
      <c r="L59" s="50" t="s">
        <v>737</v>
      </c>
      <c r="M59" s="62" t="n">
        <f aca="false">IF(A59="","",COUNTIF(QA_QID,A59))</f>
        <v>0</v>
      </c>
      <c r="N59" s="52" t="str">
        <f aca="false">IF(A59="","",IF(COUNTIF(QB_ID,A59)&gt;1,"CHECK: duplicate Question ID","OK"))</f>
        <v>OK</v>
      </c>
    </row>
    <row r="60" customFormat="false" ht="35.05" hidden="false" customHeight="false" outlineLevel="0" collapsed="false">
      <c r="A60" s="50" t="s">
        <v>1043</v>
      </c>
      <c r="B60" s="34" t="s">
        <v>429</v>
      </c>
      <c r="C60" s="34" t="s">
        <v>823</v>
      </c>
      <c r="D60" s="34" t="s">
        <v>1044</v>
      </c>
      <c r="E60" s="34" t="s">
        <v>1045</v>
      </c>
      <c r="F60" s="34" t="s">
        <v>1046</v>
      </c>
      <c r="G60" s="50" t="s">
        <v>154</v>
      </c>
      <c r="H60" s="34" t="s">
        <v>1047</v>
      </c>
      <c r="I60" s="34" t="s">
        <v>1020</v>
      </c>
      <c r="J60" s="34" t="s">
        <v>1021</v>
      </c>
      <c r="K60" s="50" t="s">
        <v>265</v>
      </c>
      <c r="L60" s="50" t="s">
        <v>737</v>
      </c>
      <c r="M60" s="62" t="n">
        <f aca="false">IF(A60="","",COUNTIF(QA_QID,A60))</f>
        <v>0</v>
      </c>
      <c r="N60" s="52" t="str">
        <f aca="false">IF(A60="","",IF(COUNTIF(QB_ID,A60)&gt;1,"CHECK: duplicate Question ID","OK"))</f>
        <v>OK</v>
      </c>
    </row>
    <row r="61" customFormat="false" ht="35.05" hidden="false" customHeight="false" outlineLevel="0" collapsed="false">
      <c r="A61" s="50" t="s">
        <v>1048</v>
      </c>
      <c r="B61" s="34" t="s">
        <v>433</v>
      </c>
      <c r="C61" s="34" t="s">
        <v>1049</v>
      </c>
      <c r="D61" s="34" t="s">
        <v>1050</v>
      </c>
      <c r="E61" s="34" t="s">
        <v>1051</v>
      </c>
      <c r="F61" s="34" t="s">
        <v>748</v>
      </c>
      <c r="G61" s="50" t="s">
        <v>154</v>
      </c>
      <c r="H61" s="34" t="s">
        <v>1052</v>
      </c>
      <c r="I61" s="34" t="s">
        <v>1053</v>
      </c>
      <c r="J61" s="34" t="s">
        <v>1054</v>
      </c>
      <c r="K61" s="50" t="s">
        <v>265</v>
      </c>
      <c r="L61" s="50" t="s">
        <v>737</v>
      </c>
      <c r="M61" s="62" t="n">
        <f aca="false">IF(A61="","",COUNTIF(QA_QID,A61))</f>
        <v>1</v>
      </c>
      <c r="N61" s="52" t="str">
        <f aca="false">IF(A61="","",IF(COUNTIF(QB_ID,A61)&gt;1,"CHECK: duplicate Question ID","OK"))</f>
        <v>OK</v>
      </c>
    </row>
    <row r="62" customFormat="false" ht="35.05" hidden="false" customHeight="false" outlineLevel="0" collapsed="false">
      <c r="A62" s="50" t="s">
        <v>1055</v>
      </c>
      <c r="B62" s="34" t="s">
        <v>433</v>
      </c>
      <c r="C62" s="34" t="s">
        <v>1056</v>
      </c>
      <c r="D62" s="34" t="s">
        <v>1057</v>
      </c>
      <c r="E62" s="34" t="s">
        <v>1058</v>
      </c>
      <c r="F62" s="34" t="s">
        <v>1059</v>
      </c>
      <c r="G62" s="50" t="s">
        <v>117</v>
      </c>
      <c r="H62" s="34" t="s">
        <v>1060</v>
      </c>
      <c r="I62" s="34" t="s">
        <v>1053</v>
      </c>
      <c r="J62" s="34" t="s">
        <v>1054</v>
      </c>
      <c r="K62" s="50" t="s">
        <v>265</v>
      </c>
      <c r="L62" s="50" t="s">
        <v>737</v>
      </c>
      <c r="M62" s="62" t="n">
        <f aca="false">IF(A62="","",COUNTIF(QA_QID,A62))</f>
        <v>1</v>
      </c>
      <c r="N62" s="52" t="str">
        <f aca="false">IF(A62="","",IF(COUNTIF(QB_ID,A62)&gt;1,"CHECK: duplicate Question ID","OK"))</f>
        <v>OK</v>
      </c>
    </row>
    <row r="63" customFormat="false" ht="35.05" hidden="false" customHeight="false" outlineLevel="0" collapsed="false">
      <c r="A63" s="50" t="s">
        <v>1061</v>
      </c>
      <c r="B63" s="34" t="s">
        <v>433</v>
      </c>
      <c r="C63" s="34" t="s">
        <v>1062</v>
      </c>
      <c r="D63" s="34" t="s">
        <v>1063</v>
      </c>
      <c r="E63" s="34" t="s">
        <v>1064</v>
      </c>
      <c r="F63" s="34" t="s">
        <v>748</v>
      </c>
      <c r="G63" s="50" t="s">
        <v>154</v>
      </c>
      <c r="H63" s="34" t="s">
        <v>1065</v>
      </c>
      <c r="I63" s="34" t="s">
        <v>1053</v>
      </c>
      <c r="J63" s="34" t="s">
        <v>1054</v>
      </c>
      <c r="K63" s="50" t="s">
        <v>265</v>
      </c>
      <c r="L63" s="50" t="s">
        <v>737</v>
      </c>
      <c r="M63" s="62" t="n">
        <f aca="false">IF(A63="","",COUNTIF(QA_QID,A63))</f>
        <v>0</v>
      </c>
      <c r="N63" s="52" t="str">
        <f aca="false">IF(A63="","",IF(COUNTIF(QB_ID,A63)&gt;1,"CHECK: duplicate Question ID","OK"))</f>
        <v>OK</v>
      </c>
    </row>
    <row r="64" customFormat="false" ht="35.05" hidden="false" customHeight="false" outlineLevel="0" collapsed="false">
      <c r="A64" s="50" t="s">
        <v>1066</v>
      </c>
      <c r="B64" s="34" t="s">
        <v>433</v>
      </c>
      <c r="C64" s="34" t="s">
        <v>1062</v>
      </c>
      <c r="D64" s="34" t="s">
        <v>1067</v>
      </c>
      <c r="E64" s="34" t="s">
        <v>1068</v>
      </c>
      <c r="F64" s="34" t="s">
        <v>748</v>
      </c>
      <c r="G64" s="50" t="s">
        <v>154</v>
      </c>
      <c r="H64" s="34" t="s">
        <v>1069</v>
      </c>
      <c r="I64" s="34" t="s">
        <v>1053</v>
      </c>
      <c r="J64" s="34" t="s">
        <v>1054</v>
      </c>
      <c r="K64" s="50" t="s">
        <v>265</v>
      </c>
      <c r="L64" s="50" t="s">
        <v>737</v>
      </c>
      <c r="M64" s="62" t="n">
        <f aca="false">IF(A64="","",COUNTIF(QA_QID,A64))</f>
        <v>0</v>
      </c>
      <c r="N64" s="52" t="str">
        <f aca="false">IF(A64="","",IF(COUNTIF(QB_ID,A64)&gt;1,"CHECK: duplicate Question ID","OK"))</f>
        <v>OK</v>
      </c>
    </row>
    <row r="65" customFormat="false" ht="35.05" hidden="false" customHeight="false" outlineLevel="0" collapsed="false">
      <c r="A65" s="50" t="s">
        <v>1070</v>
      </c>
      <c r="B65" s="34" t="s">
        <v>433</v>
      </c>
      <c r="C65" s="34" t="s">
        <v>1071</v>
      </c>
      <c r="D65" s="34" t="s">
        <v>1072</v>
      </c>
      <c r="E65" s="34" t="s">
        <v>1073</v>
      </c>
      <c r="F65" s="34" t="s">
        <v>748</v>
      </c>
      <c r="G65" s="50" t="s">
        <v>117</v>
      </c>
      <c r="H65" s="34" t="s">
        <v>1074</v>
      </c>
      <c r="I65" s="34" t="s">
        <v>1053</v>
      </c>
      <c r="J65" s="34" t="s">
        <v>1054</v>
      </c>
      <c r="K65" s="50" t="s">
        <v>265</v>
      </c>
      <c r="L65" s="50" t="s">
        <v>737</v>
      </c>
      <c r="M65" s="62" t="n">
        <f aca="false">IF(A65="","",COUNTIF(QA_QID,A65))</f>
        <v>0</v>
      </c>
      <c r="N65" s="52" t="str">
        <f aca="false">IF(A65="","",IF(COUNTIF(QB_ID,A65)&gt;1,"CHECK: duplicate Question ID","OK"))</f>
        <v>OK</v>
      </c>
    </row>
    <row r="66" customFormat="false" ht="35.05" hidden="false" customHeight="false" outlineLevel="0" collapsed="false">
      <c r="A66" s="50" t="s">
        <v>1075</v>
      </c>
      <c r="B66" s="34" t="s">
        <v>433</v>
      </c>
      <c r="C66" s="34" t="s">
        <v>1076</v>
      </c>
      <c r="D66" s="34" t="s">
        <v>1077</v>
      </c>
      <c r="E66" s="34" t="s">
        <v>1078</v>
      </c>
      <c r="F66" s="34" t="s">
        <v>1079</v>
      </c>
      <c r="G66" s="50" t="s">
        <v>117</v>
      </c>
      <c r="H66" s="34" t="s">
        <v>1080</v>
      </c>
      <c r="I66" s="34" t="s">
        <v>1053</v>
      </c>
      <c r="J66" s="34" t="s">
        <v>1054</v>
      </c>
      <c r="K66" s="50" t="s">
        <v>265</v>
      </c>
      <c r="L66" s="50" t="s">
        <v>737</v>
      </c>
      <c r="M66" s="62" t="n">
        <f aca="false">IF(A66="","",COUNTIF(QA_QID,A66))</f>
        <v>0</v>
      </c>
      <c r="N66" s="52" t="str">
        <f aca="false">IF(A66="","",IF(COUNTIF(QB_ID,A66)&gt;1,"CHECK: duplicate Question ID","OK"))</f>
        <v>OK</v>
      </c>
    </row>
    <row r="67" customFormat="false" ht="35.05" hidden="false" customHeight="false" outlineLevel="0" collapsed="false">
      <c r="A67" s="50" t="s">
        <v>1081</v>
      </c>
      <c r="B67" s="34" t="s">
        <v>435</v>
      </c>
      <c r="C67" s="34" t="s">
        <v>1076</v>
      </c>
      <c r="D67" s="34" t="s">
        <v>1082</v>
      </c>
      <c r="E67" s="34" t="s">
        <v>1083</v>
      </c>
      <c r="F67" s="34" t="s">
        <v>742</v>
      </c>
      <c r="G67" s="50" t="s">
        <v>157</v>
      </c>
      <c r="H67" s="34" t="s">
        <v>1084</v>
      </c>
      <c r="I67" s="34" t="s">
        <v>1085</v>
      </c>
      <c r="J67" s="34" t="s">
        <v>1086</v>
      </c>
      <c r="K67" s="50" t="s">
        <v>265</v>
      </c>
      <c r="L67" s="50" t="s">
        <v>737</v>
      </c>
      <c r="M67" s="62" t="n">
        <f aca="false">IF(A67="","",COUNTIF(QA_QID,A67))</f>
        <v>0</v>
      </c>
      <c r="N67" s="52" t="str">
        <f aca="false">IF(A67="","",IF(COUNTIF(QB_ID,A67)&gt;1,"CHECK: duplicate Question ID","OK"))</f>
        <v>OK</v>
      </c>
    </row>
    <row r="68" customFormat="false" ht="35.05" hidden="false" customHeight="false" outlineLevel="0" collapsed="false">
      <c r="A68" s="50" t="s">
        <v>1087</v>
      </c>
      <c r="B68" s="34" t="s">
        <v>435</v>
      </c>
      <c r="C68" s="34" t="s">
        <v>1076</v>
      </c>
      <c r="D68" s="34" t="s">
        <v>1088</v>
      </c>
      <c r="E68" s="34" t="s">
        <v>1089</v>
      </c>
      <c r="F68" s="34" t="s">
        <v>1090</v>
      </c>
      <c r="G68" s="50" t="s">
        <v>157</v>
      </c>
      <c r="H68" s="34" t="s">
        <v>1091</v>
      </c>
      <c r="I68" s="34" t="s">
        <v>1085</v>
      </c>
      <c r="J68" s="34" t="s">
        <v>1086</v>
      </c>
      <c r="K68" s="50" t="s">
        <v>265</v>
      </c>
      <c r="L68" s="50" t="s">
        <v>737</v>
      </c>
      <c r="M68" s="62" t="n">
        <f aca="false">IF(A68="","",COUNTIF(QA_QID,A68))</f>
        <v>0</v>
      </c>
      <c r="N68" s="52" t="str">
        <f aca="false">IF(A68="","",IF(COUNTIF(QB_ID,A68)&gt;1,"CHECK: duplicate Question ID","OK"))</f>
        <v>OK</v>
      </c>
    </row>
    <row r="69" customFormat="false" ht="35.05" hidden="false" customHeight="false" outlineLevel="0" collapsed="false">
      <c r="A69" s="50" t="s">
        <v>1092</v>
      </c>
      <c r="B69" s="34" t="s">
        <v>435</v>
      </c>
      <c r="C69" s="34" t="s">
        <v>1076</v>
      </c>
      <c r="D69" s="34" t="s">
        <v>1093</v>
      </c>
      <c r="E69" s="34" t="s">
        <v>1094</v>
      </c>
      <c r="F69" s="34" t="s">
        <v>748</v>
      </c>
      <c r="G69" s="50" t="s">
        <v>154</v>
      </c>
      <c r="H69" s="34" t="s">
        <v>1095</v>
      </c>
      <c r="I69" s="34" t="s">
        <v>1085</v>
      </c>
      <c r="J69" s="34" t="s">
        <v>1086</v>
      </c>
      <c r="K69" s="50" t="s">
        <v>265</v>
      </c>
      <c r="L69" s="50" t="s">
        <v>737</v>
      </c>
      <c r="M69" s="62" t="n">
        <f aca="false">IF(A69="","",COUNTIF(QA_QID,A69))</f>
        <v>0</v>
      </c>
      <c r="N69" s="52" t="str">
        <f aca="false">IF(A69="","",IF(COUNTIF(QB_ID,A69)&gt;1,"CHECK: duplicate Question ID","OK"))</f>
        <v>OK</v>
      </c>
    </row>
    <row r="70" customFormat="false" ht="35.05" hidden="false" customHeight="false" outlineLevel="0" collapsed="false">
      <c r="A70" s="50" t="s">
        <v>1096</v>
      </c>
      <c r="B70" s="34" t="s">
        <v>435</v>
      </c>
      <c r="C70" s="34" t="s">
        <v>1023</v>
      </c>
      <c r="D70" s="34" t="s">
        <v>1097</v>
      </c>
      <c r="E70" s="34" t="s">
        <v>1098</v>
      </c>
      <c r="F70" s="34" t="s">
        <v>1031</v>
      </c>
      <c r="G70" s="50" t="s">
        <v>154</v>
      </c>
      <c r="H70" s="34" t="s">
        <v>1099</v>
      </c>
      <c r="I70" s="34" t="s">
        <v>1085</v>
      </c>
      <c r="J70" s="34" t="s">
        <v>1086</v>
      </c>
      <c r="K70" s="50" t="s">
        <v>265</v>
      </c>
      <c r="L70" s="50" t="s">
        <v>737</v>
      </c>
      <c r="M70" s="62" t="n">
        <f aca="false">IF(A70="","",COUNTIF(QA_QID,A70))</f>
        <v>0</v>
      </c>
      <c r="N70" s="52" t="str">
        <f aca="false">IF(A70="","",IF(COUNTIF(QB_ID,A70)&gt;1,"CHECK: duplicate Question ID","OK"))</f>
        <v>OK</v>
      </c>
    </row>
    <row r="71" customFormat="false" ht="35.05" hidden="false" customHeight="false" outlineLevel="0" collapsed="false">
      <c r="A71" s="50" t="s">
        <v>1100</v>
      </c>
      <c r="B71" s="34" t="s">
        <v>435</v>
      </c>
      <c r="C71" s="34" t="s">
        <v>1076</v>
      </c>
      <c r="D71" s="34" t="s">
        <v>1101</v>
      </c>
      <c r="E71" s="34" t="s">
        <v>1102</v>
      </c>
      <c r="F71" s="34" t="s">
        <v>948</v>
      </c>
      <c r="G71" s="50" t="s">
        <v>154</v>
      </c>
      <c r="H71" s="34" t="s">
        <v>1103</v>
      </c>
      <c r="I71" s="34" t="s">
        <v>1085</v>
      </c>
      <c r="J71" s="34" t="s">
        <v>1086</v>
      </c>
      <c r="K71" s="50" t="s">
        <v>265</v>
      </c>
      <c r="L71" s="50" t="s">
        <v>737</v>
      </c>
      <c r="M71" s="62" t="n">
        <f aca="false">IF(A71="","",COUNTIF(QA_QID,A71))</f>
        <v>0</v>
      </c>
      <c r="N71" s="52" t="str">
        <f aca="false">IF(A71="","",IF(COUNTIF(QB_ID,A71)&gt;1,"CHECK: duplicate Question ID","OK"))</f>
        <v>OK</v>
      </c>
    </row>
    <row r="72" customFormat="false" ht="35.05" hidden="false" customHeight="false" outlineLevel="0" collapsed="false">
      <c r="A72" s="50" t="s">
        <v>1104</v>
      </c>
      <c r="B72" s="34" t="s">
        <v>435</v>
      </c>
      <c r="C72" s="34" t="s">
        <v>1076</v>
      </c>
      <c r="D72" s="34" t="s">
        <v>1105</v>
      </c>
      <c r="E72" s="34" t="s">
        <v>1106</v>
      </c>
      <c r="F72" s="34" t="s">
        <v>748</v>
      </c>
      <c r="G72" s="50" t="s">
        <v>154</v>
      </c>
      <c r="H72" s="34" t="s">
        <v>1107</v>
      </c>
      <c r="I72" s="34" t="s">
        <v>1085</v>
      </c>
      <c r="J72" s="34" t="s">
        <v>1086</v>
      </c>
      <c r="K72" s="50" t="s">
        <v>265</v>
      </c>
      <c r="L72" s="50" t="s">
        <v>737</v>
      </c>
      <c r="M72" s="62" t="n">
        <f aca="false">IF(A72="","",COUNTIF(QA_QID,A72))</f>
        <v>0</v>
      </c>
      <c r="N72" s="52" t="str">
        <f aca="false">IF(A72="","",IF(COUNTIF(QB_ID,A72)&gt;1,"CHECK: duplicate Question ID","OK"))</f>
        <v>OK</v>
      </c>
    </row>
    <row r="73" customFormat="false" ht="35.05" hidden="false" customHeight="false" outlineLevel="0" collapsed="false">
      <c r="A73" s="50" t="s">
        <v>1108</v>
      </c>
      <c r="B73" s="34" t="s">
        <v>437</v>
      </c>
      <c r="C73" s="34" t="s">
        <v>1076</v>
      </c>
      <c r="D73" s="34" t="s">
        <v>1109</v>
      </c>
      <c r="E73" s="34" t="s">
        <v>1110</v>
      </c>
      <c r="F73" s="34" t="s">
        <v>1111</v>
      </c>
      <c r="G73" s="50" t="s">
        <v>154</v>
      </c>
      <c r="H73" s="34" t="s">
        <v>1112</v>
      </c>
      <c r="I73" s="34" t="s">
        <v>1113</v>
      </c>
      <c r="J73" s="34" t="s">
        <v>1114</v>
      </c>
      <c r="K73" s="50" t="s">
        <v>265</v>
      </c>
      <c r="L73" s="50" t="s">
        <v>737</v>
      </c>
      <c r="M73" s="62" t="n">
        <f aca="false">IF(A73="","",COUNTIF(QA_QID,A73))</f>
        <v>0</v>
      </c>
      <c r="N73" s="52" t="str">
        <f aca="false">IF(A73="","",IF(COUNTIF(QB_ID,A73)&gt;1,"CHECK: duplicate Question ID","OK"))</f>
        <v>OK</v>
      </c>
    </row>
    <row r="74" customFormat="false" ht="35.05" hidden="false" customHeight="false" outlineLevel="0" collapsed="false">
      <c r="A74" s="50" t="s">
        <v>1115</v>
      </c>
      <c r="B74" s="34" t="s">
        <v>437</v>
      </c>
      <c r="C74" s="34" t="s">
        <v>1116</v>
      </c>
      <c r="D74" s="34" t="s">
        <v>1117</v>
      </c>
      <c r="E74" s="34" t="s">
        <v>1118</v>
      </c>
      <c r="F74" s="34" t="s">
        <v>1111</v>
      </c>
      <c r="G74" s="50" t="s">
        <v>117</v>
      </c>
      <c r="H74" s="34" t="s">
        <v>1119</v>
      </c>
      <c r="I74" s="34" t="s">
        <v>1113</v>
      </c>
      <c r="J74" s="34" t="s">
        <v>1114</v>
      </c>
      <c r="K74" s="50" t="s">
        <v>265</v>
      </c>
      <c r="L74" s="50" t="s">
        <v>737</v>
      </c>
      <c r="M74" s="62" t="n">
        <f aca="false">IF(A74="","",COUNTIF(QA_QID,A74))</f>
        <v>1</v>
      </c>
      <c r="N74" s="52" t="str">
        <f aca="false">IF(A74="","",IF(COUNTIF(QB_ID,A74)&gt;1,"CHECK: duplicate Question ID","OK"))</f>
        <v>OK</v>
      </c>
    </row>
    <row r="75" customFormat="false" ht="35.05" hidden="false" customHeight="false" outlineLevel="0" collapsed="false">
      <c r="A75" s="50" t="s">
        <v>1120</v>
      </c>
      <c r="B75" s="34" t="s">
        <v>437</v>
      </c>
      <c r="C75" s="34" t="s">
        <v>1121</v>
      </c>
      <c r="D75" s="34" t="s">
        <v>1122</v>
      </c>
      <c r="E75" s="34" t="s">
        <v>1123</v>
      </c>
      <c r="F75" s="34" t="s">
        <v>1111</v>
      </c>
      <c r="G75" s="50" t="s">
        <v>154</v>
      </c>
      <c r="H75" s="34" t="s">
        <v>1124</v>
      </c>
      <c r="I75" s="34" t="s">
        <v>1113</v>
      </c>
      <c r="J75" s="34" t="s">
        <v>1114</v>
      </c>
      <c r="K75" s="50" t="s">
        <v>265</v>
      </c>
      <c r="L75" s="50" t="s">
        <v>737</v>
      </c>
      <c r="M75" s="62" t="n">
        <f aca="false">IF(A75="","",COUNTIF(QA_QID,A75))</f>
        <v>0</v>
      </c>
      <c r="N75" s="52" t="str">
        <f aca="false">IF(A75="","",IF(COUNTIF(QB_ID,A75)&gt;1,"CHECK: duplicate Question ID","OK"))</f>
        <v>OK</v>
      </c>
    </row>
    <row r="76" customFormat="false" ht="35.05" hidden="false" customHeight="false" outlineLevel="0" collapsed="false">
      <c r="A76" s="50" t="s">
        <v>1125</v>
      </c>
      <c r="B76" s="34" t="s">
        <v>437</v>
      </c>
      <c r="C76" s="34" t="s">
        <v>1076</v>
      </c>
      <c r="D76" s="34" t="s">
        <v>1126</v>
      </c>
      <c r="E76" s="34" t="s">
        <v>1127</v>
      </c>
      <c r="F76" s="34" t="s">
        <v>748</v>
      </c>
      <c r="G76" s="50" t="s">
        <v>117</v>
      </c>
      <c r="H76" s="34" t="s">
        <v>1128</v>
      </c>
      <c r="I76" s="34" t="s">
        <v>1113</v>
      </c>
      <c r="J76" s="34" t="s">
        <v>1114</v>
      </c>
      <c r="K76" s="50" t="s">
        <v>265</v>
      </c>
      <c r="L76" s="50" t="s">
        <v>737</v>
      </c>
      <c r="M76" s="62" t="n">
        <f aca="false">IF(A76="","",COUNTIF(QA_QID,A76))</f>
        <v>0</v>
      </c>
      <c r="N76" s="52" t="str">
        <f aca="false">IF(A76="","",IF(COUNTIF(QB_ID,A76)&gt;1,"CHECK: duplicate Question ID","OK"))</f>
        <v>OK</v>
      </c>
    </row>
    <row r="77" customFormat="false" ht="35.05" hidden="false" customHeight="false" outlineLevel="0" collapsed="false">
      <c r="A77" s="50" t="s">
        <v>1129</v>
      </c>
      <c r="B77" s="34" t="s">
        <v>437</v>
      </c>
      <c r="C77" s="34" t="s">
        <v>781</v>
      </c>
      <c r="D77" s="34" t="s">
        <v>1130</v>
      </c>
      <c r="E77" s="34" t="s">
        <v>1131</v>
      </c>
      <c r="F77" s="34" t="s">
        <v>1132</v>
      </c>
      <c r="G77" s="50" t="s">
        <v>117</v>
      </c>
      <c r="H77" s="34" t="s">
        <v>1133</v>
      </c>
      <c r="I77" s="34" t="s">
        <v>1113</v>
      </c>
      <c r="J77" s="34" t="s">
        <v>1114</v>
      </c>
      <c r="K77" s="50" t="s">
        <v>265</v>
      </c>
      <c r="L77" s="50" t="s">
        <v>737</v>
      </c>
      <c r="M77" s="62" t="n">
        <f aca="false">IF(A77="","",COUNTIF(QA_QID,A77))</f>
        <v>0</v>
      </c>
      <c r="N77" s="52" t="str">
        <f aca="false">IF(A77="","",IF(COUNTIF(QB_ID,A77)&gt;1,"CHECK: duplicate Question ID","OK"))</f>
        <v>OK</v>
      </c>
    </row>
    <row r="78" customFormat="false" ht="35.05" hidden="false" customHeight="false" outlineLevel="0" collapsed="false">
      <c r="A78" s="50" t="s">
        <v>1134</v>
      </c>
      <c r="B78" s="34" t="s">
        <v>437</v>
      </c>
      <c r="C78" s="34" t="s">
        <v>1076</v>
      </c>
      <c r="D78" s="34" t="s">
        <v>1135</v>
      </c>
      <c r="E78" s="34" t="s">
        <v>1136</v>
      </c>
      <c r="F78" s="34" t="s">
        <v>1111</v>
      </c>
      <c r="G78" s="50" t="s">
        <v>154</v>
      </c>
      <c r="H78" s="34" t="s">
        <v>1137</v>
      </c>
      <c r="I78" s="34" t="s">
        <v>1113</v>
      </c>
      <c r="J78" s="34" t="s">
        <v>1114</v>
      </c>
      <c r="K78" s="50" t="s">
        <v>265</v>
      </c>
      <c r="L78" s="50" t="s">
        <v>737</v>
      </c>
      <c r="M78" s="62" t="n">
        <f aca="false">IF(A78="","",COUNTIF(QA_QID,A78))</f>
        <v>0</v>
      </c>
      <c r="N78" s="52" t="str">
        <f aca="false">IF(A78="","",IF(COUNTIF(QB_ID,A78)&gt;1,"CHECK: duplicate Question ID","OK"))</f>
        <v>OK</v>
      </c>
    </row>
    <row r="79" customFormat="false" ht="15" hidden="false" customHeight="false" outlineLevel="0" collapsed="false">
      <c r="A79" s="50"/>
      <c r="B79" s="34"/>
      <c r="C79" s="34"/>
      <c r="D79" s="34"/>
      <c r="E79" s="34"/>
      <c r="F79" s="34"/>
      <c r="G79" s="50"/>
      <c r="H79" s="34"/>
      <c r="I79" s="34"/>
      <c r="J79" s="34"/>
      <c r="K79" s="50"/>
      <c r="L79" s="50"/>
      <c r="M79" s="62" t="str">
        <f aca="false">IF(A79="","",COUNTIF(QA_QID,A79))</f>
        <v/>
      </c>
      <c r="N79" s="52" t="str">
        <f aca="false">IF(A79="","",IF(COUNTIF(QB_ID,A79)&gt;1,"CHECK: duplicate Question ID","OK"))</f>
        <v/>
      </c>
    </row>
    <row r="80" customFormat="false" ht="15" hidden="false" customHeight="false" outlineLevel="0" collapsed="false">
      <c r="A80" s="50"/>
      <c r="B80" s="34"/>
      <c r="C80" s="34"/>
      <c r="D80" s="34"/>
      <c r="E80" s="34"/>
      <c r="F80" s="34"/>
      <c r="G80" s="50"/>
      <c r="H80" s="34"/>
      <c r="I80" s="34"/>
      <c r="J80" s="34"/>
      <c r="K80" s="50"/>
      <c r="L80" s="50"/>
      <c r="M80" s="62" t="str">
        <f aca="false">IF(A80="","",COUNTIF(QA_QID,A80))</f>
        <v/>
      </c>
      <c r="N80" s="52" t="str">
        <f aca="false">IF(A80="","",IF(COUNTIF(QB_ID,A80)&gt;1,"CHECK: duplicate Question ID","OK"))</f>
        <v/>
      </c>
    </row>
    <row r="81" customFormat="false" ht="15" hidden="false" customHeight="false" outlineLevel="0" collapsed="false">
      <c r="A81" s="50"/>
      <c r="B81" s="34"/>
      <c r="C81" s="34"/>
      <c r="D81" s="34"/>
      <c r="E81" s="34"/>
      <c r="F81" s="34"/>
      <c r="G81" s="50"/>
      <c r="H81" s="34"/>
      <c r="I81" s="34"/>
      <c r="J81" s="34"/>
      <c r="K81" s="50"/>
      <c r="L81" s="50"/>
      <c r="M81" s="62" t="str">
        <f aca="false">IF(A81="","",COUNTIF(QA_QID,A81))</f>
        <v/>
      </c>
      <c r="N81" s="52" t="str">
        <f aca="false">IF(A81="","",IF(COUNTIF(QB_ID,A81)&gt;1,"CHECK: duplicate Question ID","OK"))</f>
        <v/>
      </c>
    </row>
    <row r="82" customFormat="false" ht="15" hidden="false" customHeight="false" outlineLevel="0" collapsed="false">
      <c r="A82" s="50"/>
      <c r="B82" s="34"/>
      <c r="C82" s="34"/>
      <c r="D82" s="34"/>
      <c r="E82" s="34"/>
      <c r="F82" s="34"/>
      <c r="G82" s="50"/>
      <c r="H82" s="34"/>
      <c r="I82" s="34"/>
      <c r="J82" s="34"/>
      <c r="K82" s="50"/>
      <c r="L82" s="50"/>
      <c r="M82" s="62" t="str">
        <f aca="false">IF(A82="","",COUNTIF(QA_QID,A82))</f>
        <v/>
      </c>
      <c r="N82" s="52" t="str">
        <f aca="false">IF(A82="","",IF(COUNTIF(QB_ID,A82)&gt;1,"CHECK: duplicate Question ID","OK"))</f>
        <v/>
      </c>
    </row>
    <row r="83" customFormat="false" ht="15" hidden="false" customHeight="false" outlineLevel="0" collapsed="false">
      <c r="A83" s="50"/>
      <c r="B83" s="34"/>
      <c r="C83" s="34"/>
      <c r="D83" s="34"/>
      <c r="E83" s="34"/>
      <c r="F83" s="34"/>
      <c r="G83" s="50"/>
      <c r="H83" s="34"/>
      <c r="I83" s="34"/>
      <c r="J83" s="34"/>
      <c r="K83" s="50"/>
      <c r="L83" s="50"/>
      <c r="M83" s="62" t="str">
        <f aca="false">IF(A83="","",COUNTIF(QA_QID,A83))</f>
        <v/>
      </c>
      <c r="N83" s="52" t="str">
        <f aca="false">IF(A83="","",IF(COUNTIF(QB_ID,A83)&gt;1,"CHECK: duplicate Question ID","OK"))</f>
        <v/>
      </c>
    </row>
    <row r="84" customFormat="false" ht="15" hidden="false" customHeight="false" outlineLevel="0" collapsed="false">
      <c r="A84" s="50"/>
      <c r="B84" s="34"/>
      <c r="C84" s="34"/>
      <c r="D84" s="34"/>
      <c r="E84" s="34"/>
      <c r="F84" s="34"/>
      <c r="G84" s="50"/>
      <c r="H84" s="34"/>
      <c r="I84" s="34"/>
      <c r="J84" s="34"/>
      <c r="K84" s="50"/>
      <c r="L84" s="50"/>
      <c r="M84" s="62" t="str">
        <f aca="false">IF(A84="","",COUNTIF(QA_QID,A84))</f>
        <v/>
      </c>
      <c r="N84" s="52" t="str">
        <f aca="false">IF(A84="","",IF(COUNTIF(QB_ID,A84)&gt;1,"CHECK: duplicate Question ID","OK"))</f>
        <v/>
      </c>
    </row>
    <row r="85" customFormat="false" ht="15" hidden="false" customHeight="false" outlineLevel="0" collapsed="false">
      <c r="A85" s="50"/>
      <c r="B85" s="34"/>
      <c r="C85" s="34"/>
      <c r="D85" s="34"/>
      <c r="E85" s="34"/>
      <c r="F85" s="34"/>
      <c r="G85" s="50"/>
      <c r="H85" s="34"/>
      <c r="I85" s="34"/>
      <c r="J85" s="34"/>
      <c r="K85" s="50"/>
      <c r="L85" s="50"/>
      <c r="M85" s="62" t="str">
        <f aca="false">IF(A85="","",COUNTIF(QA_QID,A85))</f>
        <v/>
      </c>
      <c r="N85" s="52" t="str">
        <f aca="false">IF(A85="","",IF(COUNTIF(QB_ID,A85)&gt;1,"CHECK: duplicate Question ID","OK"))</f>
        <v/>
      </c>
    </row>
    <row r="86" customFormat="false" ht="15" hidden="false" customHeight="false" outlineLevel="0" collapsed="false">
      <c r="A86" s="50"/>
      <c r="B86" s="34"/>
      <c r="C86" s="34"/>
      <c r="D86" s="34"/>
      <c r="E86" s="34"/>
      <c r="F86" s="34"/>
      <c r="G86" s="50"/>
      <c r="H86" s="34"/>
      <c r="I86" s="34"/>
      <c r="J86" s="34"/>
      <c r="K86" s="50"/>
      <c r="L86" s="50"/>
      <c r="M86" s="62" t="str">
        <f aca="false">IF(A86="","",COUNTIF(QA_QID,A86))</f>
        <v/>
      </c>
      <c r="N86" s="52" t="str">
        <f aca="false">IF(A86="","",IF(COUNTIF(QB_ID,A86)&gt;1,"CHECK: duplicate Question ID","OK"))</f>
        <v/>
      </c>
    </row>
    <row r="87" customFormat="false" ht="15" hidden="false" customHeight="false" outlineLevel="0" collapsed="false">
      <c r="A87" s="50"/>
      <c r="B87" s="34"/>
      <c r="C87" s="34"/>
      <c r="D87" s="34"/>
      <c r="E87" s="34"/>
      <c r="F87" s="34"/>
      <c r="G87" s="50"/>
      <c r="H87" s="34"/>
      <c r="I87" s="34"/>
      <c r="J87" s="34"/>
      <c r="K87" s="50"/>
      <c r="L87" s="50"/>
      <c r="M87" s="62" t="str">
        <f aca="false">IF(A87="","",COUNTIF(QA_QID,A87))</f>
        <v/>
      </c>
      <c r="N87" s="52" t="str">
        <f aca="false">IF(A87="","",IF(COUNTIF(QB_ID,A87)&gt;1,"CHECK: duplicate Question ID","OK"))</f>
        <v/>
      </c>
    </row>
    <row r="88" customFormat="false" ht="15" hidden="false" customHeight="false" outlineLevel="0" collapsed="false">
      <c r="A88" s="50"/>
      <c r="B88" s="34"/>
      <c r="C88" s="34"/>
      <c r="D88" s="34"/>
      <c r="E88" s="34"/>
      <c r="F88" s="34"/>
      <c r="G88" s="50"/>
      <c r="H88" s="34"/>
      <c r="I88" s="34"/>
      <c r="J88" s="34"/>
      <c r="K88" s="50"/>
      <c r="L88" s="50"/>
      <c r="M88" s="62" t="str">
        <f aca="false">IF(A88="","",COUNTIF(QA_QID,A88))</f>
        <v/>
      </c>
      <c r="N88" s="52" t="str">
        <f aca="false">IF(A88="","",IF(COUNTIF(QB_ID,A88)&gt;1,"CHECK: duplicate Question ID","OK"))</f>
        <v/>
      </c>
    </row>
    <row r="89" customFormat="false" ht="15" hidden="false" customHeight="false" outlineLevel="0" collapsed="false">
      <c r="A89" s="50"/>
      <c r="B89" s="34"/>
      <c r="C89" s="34"/>
      <c r="D89" s="34"/>
      <c r="E89" s="34"/>
      <c r="F89" s="34"/>
      <c r="G89" s="50"/>
      <c r="H89" s="34"/>
      <c r="I89" s="34"/>
      <c r="J89" s="34"/>
      <c r="K89" s="50"/>
      <c r="L89" s="50"/>
      <c r="M89" s="62" t="str">
        <f aca="false">IF(A89="","",COUNTIF(QA_QID,A89))</f>
        <v/>
      </c>
      <c r="N89" s="52" t="str">
        <f aca="false">IF(A89="","",IF(COUNTIF(QB_ID,A89)&gt;1,"CHECK: duplicate Question ID","OK"))</f>
        <v/>
      </c>
    </row>
    <row r="90" customFormat="false" ht="15" hidden="false" customHeight="false" outlineLevel="0" collapsed="false">
      <c r="A90" s="50"/>
      <c r="B90" s="34"/>
      <c r="C90" s="34"/>
      <c r="D90" s="34"/>
      <c r="E90" s="34"/>
      <c r="F90" s="34"/>
      <c r="G90" s="50"/>
      <c r="H90" s="34"/>
      <c r="I90" s="34"/>
      <c r="J90" s="34"/>
      <c r="K90" s="50"/>
      <c r="L90" s="50"/>
      <c r="M90" s="62" t="str">
        <f aca="false">IF(A90="","",COUNTIF(QA_QID,A90))</f>
        <v/>
      </c>
      <c r="N90" s="52" t="str">
        <f aca="false">IF(A90="","",IF(COUNTIF(QB_ID,A90)&gt;1,"CHECK: duplicate Question ID","OK"))</f>
        <v/>
      </c>
    </row>
    <row r="91" customFormat="false" ht="15" hidden="false" customHeight="false" outlineLevel="0" collapsed="false">
      <c r="A91" s="50"/>
      <c r="B91" s="34"/>
      <c r="C91" s="34"/>
      <c r="D91" s="34"/>
      <c r="E91" s="34"/>
      <c r="F91" s="34"/>
      <c r="G91" s="50"/>
      <c r="H91" s="34"/>
      <c r="I91" s="34"/>
      <c r="J91" s="34"/>
      <c r="K91" s="50"/>
      <c r="L91" s="50"/>
      <c r="M91" s="62" t="str">
        <f aca="false">IF(A91="","",COUNTIF(QA_QID,A91))</f>
        <v/>
      </c>
      <c r="N91" s="52" t="str">
        <f aca="false">IF(A91="","",IF(COUNTIF(QB_ID,A91)&gt;1,"CHECK: duplicate Question ID","OK"))</f>
        <v/>
      </c>
    </row>
    <row r="92" customFormat="false" ht="15" hidden="false" customHeight="false" outlineLevel="0" collapsed="false">
      <c r="A92" s="50"/>
      <c r="B92" s="34"/>
      <c r="C92" s="34"/>
      <c r="D92" s="34"/>
      <c r="E92" s="34"/>
      <c r="F92" s="34"/>
      <c r="G92" s="50"/>
      <c r="H92" s="34"/>
      <c r="I92" s="34"/>
      <c r="J92" s="34"/>
      <c r="K92" s="50"/>
      <c r="L92" s="50"/>
      <c r="M92" s="62" t="str">
        <f aca="false">IF(A92="","",COUNTIF(QA_QID,A92))</f>
        <v/>
      </c>
      <c r="N92" s="52" t="str">
        <f aca="false">IF(A92="","",IF(COUNTIF(QB_ID,A92)&gt;1,"CHECK: duplicate Question ID","OK"))</f>
        <v/>
      </c>
    </row>
    <row r="93" customFormat="false" ht="15" hidden="false" customHeight="false" outlineLevel="0" collapsed="false">
      <c r="A93" s="50"/>
      <c r="B93" s="34"/>
      <c r="C93" s="34"/>
      <c r="D93" s="34"/>
      <c r="E93" s="34"/>
      <c r="F93" s="34"/>
      <c r="G93" s="50"/>
      <c r="H93" s="34"/>
      <c r="I93" s="34"/>
      <c r="J93" s="34"/>
      <c r="K93" s="50"/>
      <c r="L93" s="50"/>
      <c r="M93" s="62" t="str">
        <f aca="false">IF(A93="","",COUNTIF(QA_QID,A93))</f>
        <v/>
      </c>
      <c r="N93" s="52" t="str">
        <f aca="false">IF(A93="","",IF(COUNTIF(QB_ID,A93)&gt;1,"CHECK: duplicate Question ID","OK"))</f>
        <v/>
      </c>
    </row>
    <row r="94" customFormat="false" ht="15" hidden="false" customHeight="false" outlineLevel="0" collapsed="false">
      <c r="A94" s="50"/>
      <c r="B94" s="34"/>
      <c r="C94" s="34"/>
      <c r="D94" s="34"/>
      <c r="E94" s="34"/>
      <c r="F94" s="34"/>
      <c r="G94" s="50"/>
      <c r="H94" s="34"/>
      <c r="I94" s="34"/>
      <c r="J94" s="34"/>
      <c r="K94" s="50"/>
      <c r="L94" s="50"/>
      <c r="M94" s="62" t="str">
        <f aca="false">IF(A94="","",COUNTIF(QA_QID,A94))</f>
        <v/>
      </c>
      <c r="N94" s="52" t="str">
        <f aca="false">IF(A94="","",IF(COUNTIF(QB_ID,A94)&gt;1,"CHECK: duplicate Question ID","OK"))</f>
        <v/>
      </c>
    </row>
    <row r="95" customFormat="false" ht="15" hidden="false" customHeight="false" outlineLevel="0" collapsed="false">
      <c r="A95" s="50"/>
      <c r="B95" s="34"/>
      <c r="C95" s="34"/>
      <c r="D95" s="34"/>
      <c r="E95" s="34"/>
      <c r="F95" s="34"/>
      <c r="G95" s="50"/>
      <c r="H95" s="34"/>
      <c r="I95" s="34"/>
      <c r="J95" s="34"/>
      <c r="K95" s="50"/>
      <c r="L95" s="50"/>
      <c r="M95" s="62" t="str">
        <f aca="false">IF(A95="","",COUNTIF(QA_QID,A95))</f>
        <v/>
      </c>
      <c r="N95" s="52" t="str">
        <f aca="false">IF(A95="","",IF(COUNTIF(QB_ID,A95)&gt;1,"CHECK: duplicate Question ID","OK"))</f>
        <v/>
      </c>
    </row>
    <row r="96" customFormat="false" ht="15" hidden="false" customHeight="false" outlineLevel="0" collapsed="false">
      <c r="A96" s="50"/>
      <c r="B96" s="34"/>
      <c r="C96" s="34"/>
      <c r="D96" s="34"/>
      <c r="E96" s="34"/>
      <c r="F96" s="34"/>
      <c r="G96" s="50"/>
      <c r="H96" s="34"/>
      <c r="I96" s="34"/>
      <c r="J96" s="34"/>
      <c r="K96" s="50"/>
      <c r="L96" s="50"/>
      <c r="M96" s="62" t="str">
        <f aca="false">IF(A96="","",COUNTIF(QA_QID,A96))</f>
        <v/>
      </c>
      <c r="N96" s="52" t="str">
        <f aca="false">IF(A96="","",IF(COUNTIF(QB_ID,A96)&gt;1,"CHECK: duplicate Question ID","OK"))</f>
        <v/>
      </c>
    </row>
    <row r="97" customFormat="false" ht="15" hidden="false" customHeight="false" outlineLevel="0" collapsed="false">
      <c r="A97" s="50"/>
      <c r="B97" s="34"/>
      <c r="C97" s="34"/>
      <c r="D97" s="34"/>
      <c r="E97" s="34"/>
      <c r="F97" s="34"/>
      <c r="G97" s="50"/>
      <c r="H97" s="34"/>
      <c r="I97" s="34"/>
      <c r="J97" s="34"/>
      <c r="K97" s="50"/>
      <c r="L97" s="50"/>
      <c r="M97" s="62" t="str">
        <f aca="false">IF(A97="","",COUNTIF(QA_QID,A97))</f>
        <v/>
      </c>
      <c r="N97" s="52" t="str">
        <f aca="false">IF(A97="","",IF(COUNTIF(QB_ID,A97)&gt;1,"CHECK: duplicate Question ID","OK"))</f>
        <v/>
      </c>
    </row>
    <row r="98" customFormat="false" ht="15" hidden="false" customHeight="false" outlineLevel="0" collapsed="false">
      <c r="A98" s="50"/>
      <c r="B98" s="34"/>
      <c r="C98" s="34"/>
      <c r="D98" s="34"/>
      <c r="E98" s="34"/>
      <c r="F98" s="34"/>
      <c r="G98" s="50"/>
      <c r="H98" s="34"/>
      <c r="I98" s="34"/>
      <c r="J98" s="34"/>
      <c r="K98" s="50"/>
      <c r="L98" s="50"/>
      <c r="M98" s="62" t="str">
        <f aca="false">IF(A98="","",COUNTIF(QA_QID,A98))</f>
        <v/>
      </c>
      <c r="N98" s="52" t="str">
        <f aca="false">IF(A98="","",IF(COUNTIF(QB_ID,A98)&gt;1,"CHECK: duplicate Question ID","OK"))</f>
        <v/>
      </c>
    </row>
    <row r="99" customFormat="false" ht="15" hidden="false" customHeight="false" outlineLevel="0" collapsed="false">
      <c r="A99" s="50"/>
      <c r="B99" s="34"/>
      <c r="C99" s="34"/>
      <c r="D99" s="34"/>
      <c r="E99" s="34"/>
      <c r="F99" s="34"/>
      <c r="G99" s="50"/>
      <c r="H99" s="34"/>
      <c r="I99" s="34"/>
      <c r="J99" s="34"/>
      <c r="K99" s="50"/>
      <c r="L99" s="50"/>
      <c r="M99" s="62" t="str">
        <f aca="false">IF(A99="","",COUNTIF(QA_QID,A99))</f>
        <v/>
      </c>
      <c r="N99" s="52" t="str">
        <f aca="false">IF(A99="","",IF(COUNTIF(QB_ID,A99)&gt;1,"CHECK: duplicate Question ID","OK"))</f>
        <v/>
      </c>
    </row>
    <row r="100" customFormat="false" ht="15" hidden="false" customHeight="false" outlineLevel="0" collapsed="false">
      <c r="A100" s="50"/>
      <c r="B100" s="34"/>
      <c r="C100" s="34"/>
      <c r="D100" s="34"/>
      <c r="E100" s="34"/>
      <c r="F100" s="34"/>
      <c r="G100" s="50"/>
      <c r="H100" s="34"/>
      <c r="I100" s="34"/>
      <c r="J100" s="34"/>
      <c r="K100" s="50"/>
      <c r="L100" s="50"/>
      <c r="M100" s="62" t="str">
        <f aca="false">IF(A100="","",COUNTIF(QA_QID,A100))</f>
        <v/>
      </c>
      <c r="N100" s="52" t="str">
        <f aca="false">IF(A100="","",IF(COUNTIF(QB_ID,A100)&gt;1,"CHECK: duplicate Question ID","OK"))</f>
        <v/>
      </c>
    </row>
    <row r="101" customFormat="false" ht="15" hidden="false" customHeight="false" outlineLevel="0" collapsed="false">
      <c r="A101" s="50"/>
      <c r="B101" s="34"/>
      <c r="C101" s="34"/>
      <c r="D101" s="34"/>
      <c r="E101" s="34"/>
      <c r="F101" s="34"/>
      <c r="G101" s="50"/>
      <c r="H101" s="34"/>
      <c r="I101" s="34"/>
      <c r="J101" s="34"/>
      <c r="K101" s="50"/>
      <c r="L101" s="50"/>
      <c r="M101" s="62" t="str">
        <f aca="false">IF(A101="","",COUNTIF(QA_QID,A101))</f>
        <v/>
      </c>
      <c r="N101" s="52" t="str">
        <f aca="false">IF(A101="","",IF(COUNTIF(QB_ID,A101)&gt;1,"CHECK: duplicate Question ID","OK"))</f>
        <v/>
      </c>
    </row>
    <row r="102" customFormat="false" ht="15" hidden="false" customHeight="false" outlineLevel="0" collapsed="false">
      <c r="A102" s="50"/>
      <c r="B102" s="34"/>
      <c r="C102" s="34"/>
      <c r="D102" s="34"/>
      <c r="E102" s="34"/>
      <c r="F102" s="34"/>
      <c r="G102" s="50"/>
      <c r="H102" s="34"/>
      <c r="I102" s="34"/>
      <c r="J102" s="34"/>
      <c r="K102" s="50"/>
      <c r="L102" s="50"/>
      <c r="M102" s="62" t="str">
        <f aca="false">IF(A102="","",COUNTIF(QA_QID,A102))</f>
        <v/>
      </c>
      <c r="N102" s="52" t="str">
        <f aca="false">IF(A102="","",IF(COUNTIF(QB_ID,A102)&gt;1,"CHECK: duplicate Question ID","OK"))</f>
        <v/>
      </c>
    </row>
    <row r="103" customFormat="false" ht="15" hidden="false" customHeight="false" outlineLevel="0" collapsed="false">
      <c r="A103" s="50"/>
      <c r="B103" s="34"/>
      <c r="C103" s="34"/>
      <c r="D103" s="34"/>
      <c r="E103" s="34"/>
      <c r="F103" s="34"/>
      <c r="G103" s="50"/>
      <c r="H103" s="34"/>
      <c r="I103" s="34"/>
      <c r="J103" s="34"/>
      <c r="K103" s="50"/>
      <c r="L103" s="50"/>
      <c r="M103" s="62" t="str">
        <f aca="false">IF(A103="","",COUNTIF(QA_QID,A103))</f>
        <v/>
      </c>
      <c r="N103" s="52" t="str">
        <f aca="false">IF(A103="","",IF(COUNTIF(QB_ID,A103)&gt;1,"CHECK: duplicate Question ID","OK"))</f>
        <v/>
      </c>
    </row>
    <row r="104" customFormat="false" ht="15" hidden="false" customHeight="false" outlineLevel="0" collapsed="false">
      <c r="A104" s="50"/>
      <c r="B104" s="34"/>
      <c r="C104" s="34"/>
      <c r="D104" s="34"/>
      <c r="E104" s="34"/>
      <c r="F104" s="34"/>
      <c r="G104" s="50"/>
      <c r="H104" s="34"/>
      <c r="I104" s="34"/>
      <c r="J104" s="34"/>
      <c r="K104" s="50"/>
      <c r="L104" s="50"/>
      <c r="M104" s="62" t="str">
        <f aca="false">IF(A104="","",COUNTIF(QA_QID,A104))</f>
        <v/>
      </c>
      <c r="N104" s="52" t="str">
        <f aca="false">IF(A104="","",IF(COUNTIF(QB_ID,A104)&gt;1,"CHECK: duplicate Question ID","OK"))</f>
        <v/>
      </c>
    </row>
    <row r="105" customFormat="false" ht="15" hidden="false" customHeight="false" outlineLevel="0" collapsed="false">
      <c r="A105" s="50"/>
      <c r="B105" s="34"/>
      <c r="C105" s="34"/>
      <c r="D105" s="34"/>
      <c r="E105" s="34"/>
      <c r="F105" s="34"/>
      <c r="G105" s="50"/>
      <c r="H105" s="34"/>
      <c r="I105" s="34"/>
      <c r="J105" s="34"/>
      <c r="K105" s="50"/>
      <c r="L105" s="50"/>
      <c r="M105" s="62" t="str">
        <f aca="false">IF(A105="","",COUNTIF(QA_QID,A105))</f>
        <v/>
      </c>
      <c r="N105" s="52" t="str">
        <f aca="false">IF(A105="","",IF(COUNTIF(QB_ID,A105)&gt;1,"CHECK: duplicate Question ID","OK"))</f>
        <v/>
      </c>
    </row>
    <row r="106" customFormat="false" ht="15" hidden="false" customHeight="false" outlineLevel="0" collapsed="false">
      <c r="A106" s="50"/>
      <c r="B106" s="34"/>
      <c r="C106" s="34"/>
      <c r="D106" s="34"/>
      <c r="E106" s="34"/>
      <c r="F106" s="34"/>
      <c r="G106" s="50"/>
      <c r="H106" s="34"/>
      <c r="I106" s="34"/>
      <c r="J106" s="34"/>
      <c r="K106" s="50"/>
      <c r="L106" s="50"/>
      <c r="M106" s="62" t="str">
        <f aca="false">IF(A106="","",COUNTIF(QA_QID,A106))</f>
        <v/>
      </c>
      <c r="N106" s="52" t="str">
        <f aca="false">IF(A106="","",IF(COUNTIF(QB_ID,A106)&gt;1,"CHECK: duplicate Question ID","OK"))</f>
        <v/>
      </c>
    </row>
    <row r="107" customFormat="false" ht="15" hidden="false" customHeight="false" outlineLevel="0" collapsed="false">
      <c r="A107" s="50"/>
      <c r="B107" s="34"/>
      <c r="C107" s="34"/>
      <c r="D107" s="34"/>
      <c r="E107" s="34"/>
      <c r="F107" s="34"/>
      <c r="G107" s="50"/>
      <c r="H107" s="34"/>
      <c r="I107" s="34"/>
      <c r="J107" s="34"/>
      <c r="K107" s="50"/>
      <c r="L107" s="50"/>
      <c r="M107" s="62" t="str">
        <f aca="false">IF(A107="","",COUNTIF(QA_QID,A107))</f>
        <v/>
      </c>
      <c r="N107" s="52" t="str">
        <f aca="false">IF(A107="","",IF(COUNTIF(QB_ID,A107)&gt;1,"CHECK: duplicate Question ID","OK"))</f>
        <v/>
      </c>
    </row>
    <row r="108" customFormat="false" ht="15" hidden="false" customHeight="false" outlineLevel="0" collapsed="false">
      <c r="A108" s="50"/>
      <c r="B108" s="34"/>
      <c r="C108" s="34"/>
      <c r="D108" s="34"/>
      <c r="E108" s="34"/>
      <c r="F108" s="34"/>
      <c r="G108" s="50"/>
      <c r="H108" s="34"/>
      <c r="I108" s="34"/>
      <c r="J108" s="34"/>
      <c r="K108" s="50"/>
      <c r="L108" s="50"/>
      <c r="M108" s="62" t="str">
        <f aca="false">IF(A108="","",COUNTIF(QA_QID,A108))</f>
        <v/>
      </c>
      <c r="N108" s="52" t="str">
        <f aca="false">IF(A108="","",IF(COUNTIF(QB_ID,A108)&gt;1,"CHECK: duplicate Question ID","OK"))</f>
        <v/>
      </c>
    </row>
    <row r="109" customFormat="false" ht="15" hidden="false" customHeight="false" outlineLevel="0" collapsed="false">
      <c r="A109" s="50"/>
      <c r="B109" s="34"/>
      <c r="C109" s="34"/>
      <c r="D109" s="34"/>
      <c r="E109" s="34"/>
      <c r="F109" s="34"/>
      <c r="G109" s="50"/>
      <c r="H109" s="34"/>
      <c r="I109" s="34"/>
      <c r="J109" s="34"/>
      <c r="K109" s="50"/>
      <c r="L109" s="50"/>
      <c r="M109" s="62" t="str">
        <f aca="false">IF(A109="","",COUNTIF(QA_QID,A109))</f>
        <v/>
      </c>
      <c r="N109" s="52" t="str">
        <f aca="false">IF(A109="","",IF(COUNTIF(QB_ID,A109)&gt;1,"CHECK: duplicate Question ID","OK"))</f>
        <v/>
      </c>
    </row>
    <row r="110" customFormat="false" ht="15" hidden="false" customHeight="false" outlineLevel="0" collapsed="false">
      <c r="A110" s="50"/>
      <c r="B110" s="34"/>
      <c r="C110" s="34"/>
      <c r="D110" s="34"/>
      <c r="E110" s="34"/>
      <c r="F110" s="34"/>
      <c r="G110" s="50"/>
      <c r="H110" s="34"/>
      <c r="I110" s="34"/>
      <c r="J110" s="34"/>
      <c r="K110" s="50"/>
      <c r="L110" s="50"/>
      <c r="M110" s="62" t="str">
        <f aca="false">IF(A110="","",COUNTIF(QA_QID,A110))</f>
        <v/>
      </c>
      <c r="N110" s="52" t="str">
        <f aca="false">IF(A110="","",IF(COUNTIF(QB_ID,A110)&gt;1,"CHECK: duplicate Question ID","OK"))</f>
        <v/>
      </c>
    </row>
    <row r="111" customFormat="false" ht="15" hidden="false" customHeight="false" outlineLevel="0" collapsed="false">
      <c r="A111" s="50"/>
      <c r="B111" s="34"/>
      <c r="C111" s="34"/>
      <c r="D111" s="34"/>
      <c r="E111" s="34"/>
      <c r="F111" s="34"/>
      <c r="G111" s="50"/>
      <c r="H111" s="34"/>
      <c r="I111" s="34"/>
      <c r="J111" s="34"/>
      <c r="K111" s="50"/>
      <c r="L111" s="50"/>
      <c r="M111" s="62" t="str">
        <f aca="false">IF(A111="","",COUNTIF(QA_QID,A111))</f>
        <v/>
      </c>
      <c r="N111" s="52" t="str">
        <f aca="false">IF(A111="","",IF(COUNTIF(QB_ID,A111)&gt;1,"CHECK: duplicate Question ID","OK"))</f>
        <v/>
      </c>
    </row>
    <row r="112" customFormat="false" ht="15" hidden="false" customHeight="false" outlineLevel="0" collapsed="false">
      <c r="A112" s="50"/>
      <c r="B112" s="34"/>
      <c r="C112" s="34"/>
      <c r="D112" s="34"/>
      <c r="E112" s="34"/>
      <c r="F112" s="34"/>
      <c r="G112" s="50"/>
      <c r="H112" s="34"/>
      <c r="I112" s="34"/>
      <c r="J112" s="34"/>
      <c r="K112" s="50"/>
      <c r="L112" s="50"/>
      <c r="M112" s="62" t="str">
        <f aca="false">IF(A112="","",COUNTIF(QA_QID,A112))</f>
        <v/>
      </c>
      <c r="N112" s="52" t="str">
        <f aca="false">IF(A112="","",IF(COUNTIF(QB_ID,A112)&gt;1,"CHECK: duplicate Question ID","OK"))</f>
        <v/>
      </c>
    </row>
    <row r="113" customFormat="false" ht="15" hidden="false" customHeight="false" outlineLevel="0" collapsed="false">
      <c r="A113" s="50"/>
      <c r="B113" s="34"/>
      <c r="C113" s="34"/>
      <c r="D113" s="34"/>
      <c r="E113" s="34"/>
      <c r="F113" s="34"/>
      <c r="G113" s="50"/>
      <c r="H113" s="34"/>
      <c r="I113" s="34"/>
      <c r="J113" s="34"/>
      <c r="K113" s="50"/>
      <c r="L113" s="50"/>
      <c r="M113" s="62" t="str">
        <f aca="false">IF(A113="","",COUNTIF(QA_QID,A113))</f>
        <v/>
      </c>
      <c r="N113" s="52" t="str">
        <f aca="false">IF(A113="","",IF(COUNTIF(QB_ID,A113)&gt;1,"CHECK: duplicate Question ID","OK"))</f>
        <v/>
      </c>
    </row>
    <row r="114" customFormat="false" ht="15" hidden="false" customHeight="false" outlineLevel="0" collapsed="false">
      <c r="A114" s="50"/>
      <c r="B114" s="34"/>
      <c r="C114" s="34"/>
      <c r="D114" s="34"/>
      <c r="E114" s="34"/>
      <c r="F114" s="34"/>
      <c r="G114" s="50"/>
      <c r="H114" s="34"/>
      <c r="I114" s="34"/>
      <c r="J114" s="34"/>
      <c r="K114" s="50"/>
      <c r="L114" s="50"/>
      <c r="M114" s="62" t="str">
        <f aca="false">IF(A114="","",COUNTIF(QA_QID,A114))</f>
        <v/>
      </c>
      <c r="N114" s="52" t="str">
        <f aca="false">IF(A114="","",IF(COUNTIF(QB_ID,A114)&gt;1,"CHECK: duplicate Question ID","OK"))</f>
        <v/>
      </c>
    </row>
    <row r="115" customFormat="false" ht="15" hidden="false" customHeight="false" outlineLevel="0" collapsed="false">
      <c r="A115" s="50"/>
      <c r="B115" s="34"/>
      <c r="C115" s="34"/>
      <c r="D115" s="34"/>
      <c r="E115" s="34"/>
      <c r="F115" s="34"/>
      <c r="G115" s="50"/>
      <c r="H115" s="34"/>
      <c r="I115" s="34"/>
      <c r="J115" s="34"/>
      <c r="K115" s="50"/>
      <c r="L115" s="50"/>
      <c r="M115" s="62" t="str">
        <f aca="false">IF(A115="","",COUNTIF(QA_QID,A115))</f>
        <v/>
      </c>
      <c r="N115" s="52" t="str">
        <f aca="false">IF(A115="","",IF(COUNTIF(QB_ID,A115)&gt;1,"CHECK: duplicate Question ID","OK"))</f>
        <v/>
      </c>
    </row>
    <row r="116" customFormat="false" ht="15" hidden="false" customHeight="false" outlineLevel="0" collapsed="false">
      <c r="A116" s="50"/>
      <c r="B116" s="34"/>
      <c r="C116" s="34"/>
      <c r="D116" s="34"/>
      <c r="E116" s="34"/>
      <c r="F116" s="34"/>
      <c r="G116" s="50"/>
      <c r="H116" s="34"/>
      <c r="I116" s="34"/>
      <c r="J116" s="34"/>
      <c r="K116" s="50"/>
      <c r="L116" s="50"/>
      <c r="M116" s="62" t="str">
        <f aca="false">IF(A116="","",COUNTIF(QA_QID,A116))</f>
        <v/>
      </c>
      <c r="N116" s="52" t="str">
        <f aca="false">IF(A116="","",IF(COUNTIF(QB_ID,A116)&gt;1,"CHECK: duplicate Question ID","OK"))</f>
        <v/>
      </c>
    </row>
    <row r="117" customFormat="false" ht="15" hidden="false" customHeight="false" outlineLevel="0" collapsed="false">
      <c r="A117" s="50"/>
      <c r="B117" s="34"/>
      <c r="C117" s="34"/>
      <c r="D117" s="34"/>
      <c r="E117" s="34"/>
      <c r="F117" s="34"/>
      <c r="G117" s="50"/>
      <c r="H117" s="34"/>
      <c r="I117" s="34"/>
      <c r="J117" s="34"/>
      <c r="K117" s="50"/>
      <c r="L117" s="50"/>
      <c r="M117" s="62" t="str">
        <f aca="false">IF(A117="","",COUNTIF(QA_QID,A117))</f>
        <v/>
      </c>
      <c r="N117" s="52" t="str">
        <f aca="false">IF(A117="","",IF(COUNTIF(QB_ID,A117)&gt;1,"CHECK: duplicate Question ID","OK"))</f>
        <v/>
      </c>
    </row>
    <row r="118" customFormat="false" ht="15" hidden="false" customHeight="false" outlineLevel="0" collapsed="false">
      <c r="A118" s="50"/>
      <c r="B118" s="34"/>
      <c r="C118" s="34"/>
      <c r="D118" s="34"/>
      <c r="E118" s="34"/>
      <c r="F118" s="34"/>
      <c r="G118" s="50"/>
      <c r="H118" s="34"/>
      <c r="I118" s="34"/>
      <c r="J118" s="34"/>
      <c r="K118" s="50"/>
      <c r="L118" s="50"/>
      <c r="M118" s="62" t="str">
        <f aca="false">IF(A118="","",COUNTIF(QA_QID,A118))</f>
        <v/>
      </c>
      <c r="N118" s="52" t="str">
        <f aca="false">IF(A118="","",IF(COUNTIF(QB_ID,A118)&gt;1,"CHECK: duplicate Question ID","OK"))</f>
        <v/>
      </c>
    </row>
    <row r="119" customFormat="false" ht="15" hidden="false" customHeight="false" outlineLevel="0" collapsed="false">
      <c r="A119" s="50"/>
      <c r="B119" s="34"/>
      <c r="C119" s="34"/>
      <c r="D119" s="34"/>
      <c r="E119" s="34"/>
      <c r="F119" s="34"/>
      <c r="G119" s="50"/>
      <c r="H119" s="34"/>
      <c r="I119" s="34"/>
      <c r="J119" s="34"/>
      <c r="K119" s="50"/>
      <c r="L119" s="50"/>
      <c r="M119" s="62" t="str">
        <f aca="false">IF(A119="","",COUNTIF(QA_QID,A119))</f>
        <v/>
      </c>
      <c r="N119" s="52" t="str">
        <f aca="false">IF(A119="","",IF(COUNTIF(QB_ID,A119)&gt;1,"CHECK: duplicate Question ID","OK"))</f>
        <v/>
      </c>
    </row>
    <row r="120" customFormat="false" ht="15" hidden="false" customHeight="false" outlineLevel="0" collapsed="false">
      <c r="A120" s="50"/>
      <c r="B120" s="34"/>
      <c r="C120" s="34"/>
      <c r="D120" s="34"/>
      <c r="E120" s="34"/>
      <c r="F120" s="34"/>
      <c r="G120" s="50"/>
      <c r="H120" s="34"/>
      <c r="I120" s="34"/>
      <c r="J120" s="34"/>
      <c r="K120" s="50"/>
      <c r="L120" s="50"/>
      <c r="M120" s="62" t="str">
        <f aca="false">IF(A120="","",COUNTIF(QA_QID,A120))</f>
        <v/>
      </c>
      <c r="N120" s="52" t="str">
        <f aca="false">IF(A120="","",IF(COUNTIF(QB_ID,A120)&gt;1,"CHECK: duplicate Question ID","OK"))</f>
        <v/>
      </c>
    </row>
    <row r="121" customFormat="false" ht="15" hidden="false" customHeight="false" outlineLevel="0" collapsed="false">
      <c r="A121" s="50"/>
      <c r="B121" s="34"/>
      <c r="C121" s="34"/>
      <c r="D121" s="34"/>
      <c r="E121" s="34"/>
      <c r="F121" s="34"/>
      <c r="G121" s="50"/>
      <c r="H121" s="34"/>
      <c r="I121" s="34"/>
      <c r="J121" s="34"/>
      <c r="K121" s="50"/>
      <c r="L121" s="50"/>
      <c r="M121" s="62" t="str">
        <f aca="false">IF(A121="","",COUNTIF(QA_QID,A121))</f>
        <v/>
      </c>
      <c r="N121" s="52" t="str">
        <f aca="false">IF(A121="","",IF(COUNTIF(QB_ID,A121)&gt;1,"CHECK: duplicate Question ID","OK"))</f>
        <v/>
      </c>
    </row>
    <row r="122" customFormat="false" ht="15" hidden="false" customHeight="false" outlineLevel="0" collapsed="false">
      <c r="A122" s="50"/>
      <c r="B122" s="34"/>
      <c r="C122" s="34"/>
      <c r="D122" s="34"/>
      <c r="E122" s="34"/>
      <c r="F122" s="34"/>
      <c r="G122" s="50"/>
      <c r="H122" s="34"/>
      <c r="I122" s="34"/>
      <c r="J122" s="34"/>
      <c r="K122" s="50"/>
      <c r="L122" s="50"/>
      <c r="M122" s="62" t="str">
        <f aca="false">IF(A122="","",COUNTIF(QA_QID,A122))</f>
        <v/>
      </c>
      <c r="N122" s="52" t="str">
        <f aca="false">IF(A122="","",IF(COUNTIF(QB_ID,A122)&gt;1,"CHECK: duplicate Question ID","OK"))</f>
        <v/>
      </c>
    </row>
    <row r="123" customFormat="false" ht="15" hidden="false" customHeight="false" outlineLevel="0" collapsed="false">
      <c r="A123" s="50"/>
      <c r="B123" s="34"/>
      <c r="C123" s="34"/>
      <c r="D123" s="34"/>
      <c r="E123" s="34"/>
      <c r="F123" s="34"/>
      <c r="G123" s="50"/>
      <c r="H123" s="34"/>
      <c r="I123" s="34"/>
      <c r="J123" s="34"/>
      <c r="K123" s="50"/>
      <c r="L123" s="50"/>
      <c r="M123" s="62" t="str">
        <f aca="false">IF(A123="","",COUNTIF(QA_QID,A123))</f>
        <v/>
      </c>
      <c r="N123" s="52" t="str">
        <f aca="false">IF(A123="","",IF(COUNTIF(QB_ID,A123)&gt;1,"CHECK: duplicate Question ID","OK"))</f>
        <v/>
      </c>
    </row>
    <row r="124" customFormat="false" ht="15" hidden="false" customHeight="false" outlineLevel="0" collapsed="false">
      <c r="A124" s="50"/>
      <c r="B124" s="34"/>
      <c r="C124" s="34"/>
      <c r="D124" s="34"/>
      <c r="E124" s="34"/>
      <c r="F124" s="34"/>
      <c r="G124" s="50"/>
      <c r="H124" s="34"/>
      <c r="I124" s="34"/>
      <c r="J124" s="34"/>
      <c r="K124" s="50"/>
      <c r="L124" s="50"/>
      <c r="M124" s="62" t="str">
        <f aca="false">IF(A124="","",COUNTIF(QA_QID,A124))</f>
        <v/>
      </c>
      <c r="N124" s="52" t="str">
        <f aca="false">IF(A124="","",IF(COUNTIF(QB_ID,A124)&gt;1,"CHECK: duplicate Question ID","OK"))</f>
        <v/>
      </c>
    </row>
    <row r="125" customFormat="false" ht="15" hidden="false" customHeight="false" outlineLevel="0" collapsed="false">
      <c r="A125" s="50"/>
      <c r="B125" s="34"/>
      <c r="C125" s="34"/>
      <c r="D125" s="34"/>
      <c r="E125" s="34"/>
      <c r="F125" s="34"/>
      <c r="G125" s="50"/>
      <c r="H125" s="34"/>
      <c r="I125" s="34"/>
      <c r="J125" s="34"/>
      <c r="K125" s="50"/>
      <c r="L125" s="50"/>
      <c r="M125" s="62" t="str">
        <f aca="false">IF(A125="","",COUNTIF(QA_QID,A125))</f>
        <v/>
      </c>
      <c r="N125" s="52" t="str">
        <f aca="false">IF(A125="","",IF(COUNTIF(QB_ID,A125)&gt;1,"CHECK: duplicate Question ID","OK"))</f>
        <v/>
      </c>
    </row>
    <row r="126" customFormat="false" ht="15" hidden="false" customHeight="false" outlineLevel="0" collapsed="false">
      <c r="A126" s="50"/>
      <c r="B126" s="34"/>
      <c r="C126" s="34"/>
      <c r="D126" s="34"/>
      <c r="E126" s="34"/>
      <c r="F126" s="34"/>
      <c r="G126" s="50"/>
      <c r="H126" s="34"/>
      <c r="I126" s="34"/>
      <c r="J126" s="34"/>
      <c r="K126" s="50"/>
      <c r="L126" s="50"/>
      <c r="M126" s="62" t="str">
        <f aca="false">IF(A126="","",COUNTIF(QA_QID,A126))</f>
        <v/>
      </c>
      <c r="N126" s="52" t="str">
        <f aca="false">IF(A126="","",IF(COUNTIF(QB_ID,A126)&gt;1,"CHECK: duplicate Question ID","OK"))</f>
        <v/>
      </c>
    </row>
  </sheetData>
  <sheetProtection sheet="true" formatColumns="false" formatRows="false" sort="false" autoFilter="false"/>
  <conditionalFormatting sqref="M7:M126">
    <cfRule type="expression" priority="2" aboveAverage="0" equalAverage="0" bottom="0" percent="0" rank="0" text="" dxfId="0">
      <formula>OR(ISNUMBER(SEARCH("Above appetite",M7)),ISNUMBER(SEARCH("Overdue",M7)),ISNUMBER(SEARCH("Expired",M7)),ISNUMBER(SEARCH("Breach",M7)),ISNUMBER(SEARCH("CHECK",M7)),ISNUMBER(SEARCH("Not ready",M7)),ISNUMBER(SEARCH("REMAINS",M7)),ISNUMBER(SEARCH("Failed",M7)),ISNUMBER(SEARCH("Cannot assess",M7)))</formula>
    </cfRule>
    <cfRule type="expression" priority="3" aboveAverage="0" equalAverage="0" bottom="0" percent="0" rank="0" text="" dxfId="21">
      <formula>OR(ISNUMBER(SEARCH("Incomplete",M7)),ISNUMBER(SEARCH("Pending",M7)),ISNUMBER(SEARCH("Approaching",M7)),ISNUMBER(SEARCH("insufficient",M7)),ISNUMBER(SEARCH("Awaiting",M7)),ISNUMBER(SEARCH("Review due",M7)),ISNUMBER(SEARCH("Not configured",M7)),ISNUMBER(SEARCH("Not classified",M7)),ISNUMBER(SEARCH("Proposed",M7)),ISNUMBER(SEARCH("Verification",M7)),ISNUMBER(SEARCH("Scope limitation",M7)),ISNUMBER(SEARCH("Follow-up",M7)),ISNUMBER(SEARCH("Open gap",M7)),ISNUMBER(SEARCH("Delivered - verification",M7)),ISNUMBER(SEARCH("Historical",M7)),ISNUMBER(SEARCH("Not scheduled",M7)),ISNUMBER(SEARCH("Not determined",M7)),ISNUMBER(SEARCH("Decision record",M7)),ISNUMBER(SEARCH("Due soon",M7)),ISNUMBER(SEARCH("Not reviewed",M7)),ISNUMBER(SEARCH("Tier not",M7)),ISNUMBER(SEARCH("No decision",M7)),ISNUMBER(SEARCH("Superseded",M7)),ISNUMBER(SEARCH("Optional",M7)),ISNUMBER(SEARCH("legal review",M7)),ISNUMBER(SEARCH("No treatment",M7)),ISNUMBER(SEARCH("not recorded",M7)),ISNUMBER(SEARCH("consider",M7)),ISNUMBER(SEARCH("Not set",M7)),ISNUMBER(SEARCH("Not started",M7)),ISNUMBER(SEARCH("No expiry",M7)),ISNUMBER(SEARCH("No KRI",M7)),ISNUMBER(SEARCH("no reassessment",M7)),ISNUMBER(SEARCH("Applicability",M7)),ISNUMBER(SEARCH("Not current",M7)),ISNUMBER(SEARCH("assess relevance",M7)))</formula>
    </cfRule>
    <cfRule type="expression" priority="4" aboveAverage="0" equalAverage="0" bottom="0" percent="0" rank="0" text="" dxfId="22">
      <formula>OR(LEFT(M7,2)="OK",LEFT(M7,8)="Complete",LEFT(M7,7)="Current",LEFT(M7,10)="Authorised",LEFT(M7,6)="Within",LEFT(M7,11)="On schedule",LEFT(M7,17)="Ready for closure",LEFT(M7,17)="Evidence reviewed",LEFT(M7,19)="Decision referenced",LEFT(M7,27)="Reassessment event recorded",LEFT(M7,14)="Period current",LEFT(M7,17)="Gap dispositioned",LEFT(M7,17)="Reviewed - no gap",LEFT(M7,11)="Recommended",LEFT(M7,17)="Closed - verified")</formula>
    </cfRule>
  </conditionalFormatting>
  <conditionalFormatting sqref="N7:N126">
    <cfRule type="expression" priority="5" aboveAverage="0" equalAverage="0" bottom="0" percent="0" rank="0" text="" dxfId="0">
      <formula>OR(ISNUMBER(SEARCH("Above appetite",N7)),ISNUMBER(SEARCH("Overdue",N7)),ISNUMBER(SEARCH("Expired",N7)),ISNUMBER(SEARCH("Breach",N7)),ISNUMBER(SEARCH("CHECK",N7)),ISNUMBER(SEARCH("Not ready",N7)),ISNUMBER(SEARCH("REMAINS",N7)),ISNUMBER(SEARCH("Failed",N7)),ISNUMBER(SEARCH("Cannot assess",N7)))</formula>
    </cfRule>
    <cfRule type="expression" priority="6" aboveAverage="0" equalAverage="0" bottom="0" percent="0" rank="0" text="" dxfId="21">
      <formula>OR(ISNUMBER(SEARCH("Incomplete",N7)),ISNUMBER(SEARCH("Pending",N7)),ISNUMBER(SEARCH("Approaching",N7)),ISNUMBER(SEARCH("insufficient",N7)),ISNUMBER(SEARCH("Awaiting",N7)),ISNUMBER(SEARCH("Review due",N7)),ISNUMBER(SEARCH("Not configured",N7)),ISNUMBER(SEARCH("Not classified",N7)),ISNUMBER(SEARCH("Proposed",N7)),ISNUMBER(SEARCH("Verification",N7)),ISNUMBER(SEARCH("Scope limitation",N7)),ISNUMBER(SEARCH("Follow-up",N7)),ISNUMBER(SEARCH("Open gap",N7)),ISNUMBER(SEARCH("Delivered - verification",N7)),ISNUMBER(SEARCH("Historical",N7)),ISNUMBER(SEARCH("Not scheduled",N7)),ISNUMBER(SEARCH("Not determined",N7)),ISNUMBER(SEARCH("Decision record",N7)),ISNUMBER(SEARCH("Due soon",N7)),ISNUMBER(SEARCH("Not reviewed",N7)),ISNUMBER(SEARCH("Tier not",N7)),ISNUMBER(SEARCH("No decision",N7)),ISNUMBER(SEARCH("Superseded",N7)),ISNUMBER(SEARCH("Optional",N7)),ISNUMBER(SEARCH("legal review",N7)),ISNUMBER(SEARCH("No treatment",N7)),ISNUMBER(SEARCH("not recorded",N7)),ISNUMBER(SEARCH("consider",N7)),ISNUMBER(SEARCH("Not set",N7)),ISNUMBER(SEARCH("Not started",N7)),ISNUMBER(SEARCH("No expiry",N7)),ISNUMBER(SEARCH("No KRI",N7)),ISNUMBER(SEARCH("no reassessment",N7)),ISNUMBER(SEARCH("Applicability",N7)),ISNUMBER(SEARCH("Not current",N7)),ISNUMBER(SEARCH("assess relevance",N7)))</formula>
    </cfRule>
    <cfRule type="expression" priority="7" aboveAverage="0" equalAverage="0" bottom="0" percent="0" rank="0" text="" dxfId="22">
      <formula>OR(LEFT(N7,2)="OK",LEFT(N7,8)="Complete",LEFT(N7,7)="Current",LEFT(N7,10)="Authorised",LEFT(N7,6)="Within",LEFT(N7,11)="On schedule",LEFT(N7,17)="Ready for closure",LEFT(N7,17)="Evidence reviewed",LEFT(N7,19)="Decision referenced",LEFT(N7,27)="Reassessment event recorded",LEFT(N7,14)="Period current",LEFT(N7,17)="Gap dispositioned",LEFT(N7,17)="Reviewed - no gap",LEFT(N7,11)="Recommended",LEFT(N7,17)="Closed - verified")</formula>
    </cfRule>
  </conditionalFormatting>
  <conditionalFormatting sqref="A7:A126">
    <cfRule type="expression" priority="8" aboveAverage="0" equalAverage="0" bottom="0" percent="0" rank="0" text="" dxfId="0">
      <formula>AND(A7&lt;&gt;"",COUNTIF($A$7:$A$126,A7)&gt;1)</formula>
    </cfRule>
  </conditionalFormatting>
  <dataValidations count="3">
    <dataValidation allowBlank="true" error="Choose a value from the list (controlled vocabulary or an existing ID)." errorStyle="stop" errorTitle="Invalid entry" operator="between" showDropDown="false" showErrorMessage="true" showInputMessage="false" sqref="B7:B126" type="list">
      <formula1>L_Domain</formula1>
      <formula2>0</formula2>
    </dataValidation>
    <dataValidation allowBlank="true" error="Choose a value from the list (controlled vocabulary or an existing ID)." errorStyle="stop" errorTitle="Invalid entry" operator="between" showDropDown="false" showErrorMessage="true" showInputMessage="false" sqref="G7:G126" type="list">
      <formula1>L_Tier</formula1>
      <formula2>0</formula2>
    </dataValidation>
    <dataValidation allowBlank="true" error="Choose a value from the list (controlled vocabulary or an existing ID)." errorStyle="stop" errorTitle="Invalid entry" operator="between" showDropDown="false" showErrorMessage="true" showInputMessage="false" sqref="K7:K126" type="list">
      <formula1>L_QStatus</formula1>
      <formula2>0</formula2>
    </dataValidation>
  </dataValidations>
  <hyperlinks>
    <hyperlink ref="H1" r:id="rId1" location="'01%20Start%20Here'!A1" display="&lt;&lt; Back to Start Here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tableParts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V40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6" topLeftCell="C7" activePane="bottomRight" state="frozen"/>
      <selection pane="topLeft" activeCell="A1" activeCellId="0" sqref="A1"/>
      <selection pane="topRight" activeCell="C1" activeCellId="0" sqref="C1"/>
      <selection pane="bottomLeft" activeCell="A7" activeCellId="0" sqref="A7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11"/>
    <col collapsed="false" customWidth="true" hidden="false" outlineLevel="0" max="2" min="2" style="1" width="12"/>
    <col collapsed="false" customWidth="true" hidden="false" outlineLevel="0" max="3" min="3" style="1" width="22"/>
    <col collapsed="false" customWidth="true" hidden="false" outlineLevel="0" max="4" min="4" style="1" width="11"/>
    <col collapsed="false" customWidth="true" hidden="false" outlineLevel="0" max="5" min="5" style="1" width="12"/>
    <col collapsed="false" customWidth="true" hidden="false" outlineLevel="0" max="6" min="6" style="1" width="44"/>
    <col collapsed="false" customWidth="true" hidden="false" outlineLevel="0" max="8" min="7" style="1" width="20"/>
    <col collapsed="false" customWidth="true" hidden="false" outlineLevel="0" max="9" min="9" style="1" width="18"/>
    <col collapsed="false" customWidth="true" hidden="false" outlineLevel="0" max="10" min="10" style="1" width="14"/>
    <col collapsed="false" customWidth="true" hidden="false" outlineLevel="0" max="11" min="11" style="1" width="30"/>
    <col collapsed="false" customWidth="true" hidden="false" outlineLevel="0" max="12" min="12" style="1" width="20"/>
    <col collapsed="false" customWidth="true" hidden="false" outlineLevel="0" max="13" min="13" style="1" width="11"/>
    <col collapsed="false" customWidth="true" hidden="false" outlineLevel="0" max="14" min="14" style="1" width="34"/>
    <col collapsed="false" customWidth="true" hidden="false" outlineLevel="0" max="15" min="15" style="1" width="16"/>
    <col collapsed="false" customWidth="true" hidden="false" outlineLevel="0" max="17" min="16" style="1" width="28"/>
    <col collapsed="false" customWidth="true" hidden="false" outlineLevel="0" max="18" min="18" style="1" width="16"/>
    <col collapsed="false" customWidth="true" hidden="false" outlineLevel="0" max="20" min="19" style="1" width="13"/>
    <col collapsed="false" customWidth="true" hidden="false" outlineLevel="0" max="21" min="21" style="1" width="14"/>
    <col collapsed="false" customWidth="true" hidden="false" outlineLevel="0" max="22" min="22" style="1" width="28"/>
  </cols>
  <sheetData>
    <row r="1" customFormat="false" ht="17.35" hidden="false" customHeight="false" outlineLevel="0" collapsed="false">
      <c r="A1" s="22" t="s">
        <v>18</v>
      </c>
      <c r="H1" s="10" t="s">
        <v>100</v>
      </c>
    </row>
    <row r="2" customFormat="false" ht="15" hidden="false" customHeight="false" outlineLevel="0" collapsed="false">
      <c r="A2" s="3" t="s">
        <v>1138</v>
      </c>
    </row>
    <row r="3" customFormat="false" ht="15" hidden="false" customHeight="false" outlineLevel="0" collapsed="false">
      <c r="A3" s="4" t="s">
        <v>1139</v>
      </c>
    </row>
    <row r="4" customFormat="false" ht="24" hidden="false" customHeight="true" outlineLevel="0" collapsed="false">
      <c r="A4" s="45" t="s">
        <v>69</v>
      </c>
      <c r="B4" s="45" t="s">
        <v>69</v>
      </c>
      <c r="C4" s="55" t="s">
        <v>73</v>
      </c>
      <c r="D4" s="55" t="s">
        <v>73</v>
      </c>
      <c r="E4" s="45" t="s">
        <v>69</v>
      </c>
      <c r="F4" s="55" t="s">
        <v>73</v>
      </c>
      <c r="G4" s="55" t="s">
        <v>73</v>
      </c>
      <c r="H4" s="46" t="s">
        <v>442</v>
      </c>
      <c r="I4" s="45" t="s">
        <v>69</v>
      </c>
      <c r="J4" s="45" t="s">
        <v>69</v>
      </c>
      <c r="K4" s="45" t="s">
        <v>69</v>
      </c>
      <c r="L4" s="45" t="s">
        <v>69</v>
      </c>
      <c r="M4" s="46" t="s">
        <v>442</v>
      </c>
      <c r="N4" s="46" t="s">
        <v>442</v>
      </c>
      <c r="O4" s="45" t="s">
        <v>69</v>
      </c>
      <c r="P4" s="45" t="s">
        <v>69</v>
      </c>
      <c r="Q4" s="45" t="s">
        <v>69</v>
      </c>
      <c r="R4" s="45" t="s">
        <v>69</v>
      </c>
      <c r="S4" s="45" t="s">
        <v>69</v>
      </c>
      <c r="T4" s="45" t="s">
        <v>69</v>
      </c>
      <c r="U4" s="46" t="s">
        <v>442</v>
      </c>
      <c r="V4" s="46" t="s">
        <v>442</v>
      </c>
    </row>
    <row r="5" customFormat="false" ht="30" hidden="false" customHeight="true" outlineLevel="0" collapsed="false">
      <c r="A5" s="47" t="s">
        <v>1140</v>
      </c>
      <c r="B5" s="47" t="s">
        <v>443</v>
      </c>
      <c r="C5" s="47"/>
      <c r="D5" s="47"/>
      <c r="E5" s="47" t="s">
        <v>713</v>
      </c>
      <c r="F5" s="47"/>
      <c r="G5" s="47"/>
      <c r="H5" s="47"/>
      <c r="I5" s="47" t="s">
        <v>1141</v>
      </c>
      <c r="J5" s="47" t="s">
        <v>1142</v>
      </c>
      <c r="K5" s="47"/>
      <c r="L5" s="47" t="s">
        <v>1143</v>
      </c>
      <c r="M5" s="47"/>
      <c r="N5" s="47"/>
      <c r="O5" s="47" t="s">
        <v>1144</v>
      </c>
      <c r="P5" s="47"/>
      <c r="Q5" s="47"/>
      <c r="R5" s="47"/>
      <c r="S5" s="47" t="s">
        <v>1145</v>
      </c>
      <c r="T5" s="47" t="s">
        <v>1146</v>
      </c>
      <c r="U5" s="47"/>
      <c r="V5" s="47"/>
    </row>
    <row r="6" customFormat="false" ht="48" hidden="false" customHeight="true" outlineLevel="0" collapsed="false">
      <c r="A6" s="48" t="s">
        <v>537</v>
      </c>
      <c r="B6" s="48" t="s">
        <v>456</v>
      </c>
      <c r="C6" s="57" t="s">
        <v>538</v>
      </c>
      <c r="D6" s="57" t="s">
        <v>1147</v>
      </c>
      <c r="E6" s="48" t="s">
        <v>716</v>
      </c>
      <c r="F6" s="57" t="s">
        <v>719</v>
      </c>
      <c r="G6" s="57" t="s">
        <v>200</v>
      </c>
      <c r="H6" s="49" t="s">
        <v>1148</v>
      </c>
      <c r="I6" s="48" t="s">
        <v>1149</v>
      </c>
      <c r="J6" s="48" t="s">
        <v>1150</v>
      </c>
      <c r="K6" s="48" t="s">
        <v>1151</v>
      </c>
      <c r="L6" s="48" t="s">
        <v>1152</v>
      </c>
      <c r="M6" s="49" t="s">
        <v>1153</v>
      </c>
      <c r="N6" s="49" t="s">
        <v>1154</v>
      </c>
      <c r="O6" s="48" t="s">
        <v>1155</v>
      </c>
      <c r="P6" s="48" t="s">
        <v>1156</v>
      </c>
      <c r="Q6" s="48" t="s">
        <v>1157</v>
      </c>
      <c r="R6" s="48" t="s">
        <v>1158</v>
      </c>
      <c r="S6" s="48" t="s">
        <v>1159</v>
      </c>
      <c r="T6" s="48" t="s">
        <v>552</v>
      </c>
      <c r="U6" s="49" t="s">
        <v>1160</v>
      </c>
      <c r="V6" s="49" t="s">
        <v>560</v>
      </c>
    </row>
    <row r="7" customFormat="false" ht="35.05" hidden="false" customHeight="false" outlineLevel="0" collapsed="false">
      <c r="A7" s="50" t="s">
        <v>1161</v>
      </c>
      <c r="B7" s="50" t="s">
        <v>479</v>
      </c>
      <c r="C7" s="59" t="str">
        <f aca="false">IF(B7="","",IFERROR(INDEX(INV_NAME,MATCH(B7,INV_ID,0)),"CHECK: Supplier ID not found"))</f>
        <v>Northwind Cloud Hosting Ltd</v>
      </c>
      <c r="D7" s="63" t="str">
        <f aca="false">IF(B7="","",IFERROR(INDEX(INV_TIER,MATCH(B7,INV_ID,0)),""))</f>
        <v>High</v>
      </c>
      <c r="E7" s="50" t="s">
        <v>766</v>
      </c>
      <c r="F7" s="59" t="str">
        <f aca="false">IF(E7="","",IFERROR(INDEX(QB_Q,MATCH(E7,QB_ID,0)),"CHECK: Question ID not found"))</f>
        <v>Is multi-factor authentication enforced for all administrative and remote access to systems that store or process our data?</v>
      </c>
      <c r="G7" s="59" t="str">
        <f aca="false">IF(E7="","",IFERROR(INDEX(QB_DOMAIN,MATCH(E7,QB_ID,0)),""))</f>
        <v>Identity and privileged access</v>
      </c>
      <c r="H7" s="54" t="str">
        <f aca="false">IF(OR(A7="",E7=""),"",IFERROR(IF(ISNUMBER(MATCH(D7,{"Low","Medium","High"},0)),IF(MATCH(D7,{"Low","Medium","High"},0)&gt;=MATCH(INDEX(QB_MINTIER,MATCH(E7,QB_ID,0)),{"Low","Medium","High"},0),"Recommended for tier","Optional for tier"),"Tier not determined"),"Check question"))</f>
        <v>Recommended for tier</v>
      </c>
      <c r="I7" s="34" t="s">
        <v>248</v>
      </c>
      <c r="J7" s="50" t="s">
        <v>240</v>
      </c>
      <c r="K7" s="34" t="s">
        <v>1162</v>
      </c>
      <c r="L7" s="34" t="s">
        <v>1163</v>
      </c>
      <c r="M7" s="62" t="n">
        <f aca="false">IF(L7="","",SUMPRODUCT(ISNUMBER(SEARCH(","&amp;EV_ID&amp;",",","&amp;SUBSTITUTE(L7," ","")&amp;","))*(EV_ID&lt;&gt;"")))</f>
        <v>1</v>
      </c>
      <c r="N7" s="54" t="str">
        <f aca="false">IF(A7="","",IF(I7&lt;&gt;"Applicable",IF(I7="","Applicability not set","Not in scope ("&amp;I7&amp;")"),IF(OR(J7="",J7="Not answered"),"Awaiting supplier response",IF(J7="Not applicable","Supplier states not applicable - analyst to confirm",IF(L7="","Evidence insufficient - none referenced",IF(M7=0,"Evidence insufficient - referenced ID not found",IF(SUMPRODUCT(ISNUMBER(SEARCH(","&amp;EV_ID&amp;",",","&amp;SUBSTITUTE(L7," ","")&amp;","))*(EV_ID&lt;&gt;"")*(EV_SUFF="Sufficient"))&gt;0,"Evidence reviewed - sufficient",IF(SUMPRODUCT(ISNUMBER(SEARCH(","&amp;EV_ID&amp;",",","&amp;SUBSTITUTE(L7," ","")&amp;","))*(EV_ID&lt;&gt;"")*(EV_SUFF="Partially sufficient"))&gt;0,"Evidence partially sufficient","Evidence insufficient - referenced evidence not sufficient"))))))))</f>
        <v>Evidence partially sufficient</v>
      </c>
      <c r="O7" s="50" t="s">
        <v>324</v>
      </c>
      <c r="P7" s="34" t="s">
        <v>1164</v>
      </c>
      <c r="Q7" s="34"/>
      <c r="R7" s="50"/>
      <c r="S7" s="51"/>
      <c r="T7" s="51" t="n">
        <v>46270</v>
      </c>
      <c r="U7" s="52" t="str">
        <f aca="false">IF(OR(A7="",Q7=""),"",IF(AND(ISNUMBER(S7),S7&lt;AsOf,O7&lt;&gt;"Reviewed"),"Overdue",""))</f>
        <v/>
      </c>
      <c r="V7" s="54" t="str">
        <f aca="false">IF(A7="","",IF(COUNTIF(QA_ID,A7)&gt;1,"CHECK: duplicate ID",IF(B7="","CHECK: Supplier ID missing",IF(COUNTIF(INV_ID,B7)=0,"CHECK: Supplier ID not in inventory",IF(E7="","CHECK: Question ID missing",IF(COUNTIF(QB_ID,E7)=0,"CHECK: Question ID not in bank","OK"))))))</f>
        <v>OK</v>
      </c>
    </row>
    <row r="8" customFormat="false" ht="23.85" hidden="false" customHeight="false" outlineLevel="0" collapsed="false">
      <c r="A8" s="50" t="s">
        <v>1165</v>
      </c>
      <c r="B8" s="50" t="s">
        <v>479</v>
      </c>
      <c r="C8" s="59" t="str">
        <f aca="false">IF(B8="","",IFERROR(INDEX(INV_NAME,MATCH(B8,INV_ID,0)),"CHECK: Supplier ID not found"))</f>
        <v>Northwind Cloud Hosting Ltd</v>
      </c>
      <c r="D8" s="63" t="str">
        <f aca="false">IF(B8="","",IFERROR(INDEX(INV_TIER,MATCH(B8,INV_ID,0)),""))</f>
        <v>High</v>
      </c>
      <c r="E8" s="50" t="s">
        <v>774</v>
      </c>
      <c r="F8" s="59" t="str">
        <f aca="false">IF(E8="","",IFERROR(INDEX(QB_Q,MATCH(E8,QB_ID,0)),"CHECK: Question ID not found"))</f>
        <v>Are privileged accounts limited to named individuals and reviewed at least quarterly?</v>
      </c>
      <c r="G8" s="59" t="str">
        <f aca="false">IF(E8="","",IFERROR(INDEX(QB_DOMAIN,MATCH(E8,QB_ID,0)),""))</f>
        <v>Identity and privileged access</v>
      </c>
      <c r="H8" s="54" t="str">
        <f aca="false">IF(OR(A8="",E8=""),"",IFERROR(IF(ISNUMBER(MATCH(D8,{"Low","Medium","High"},0)),IF(MATCH(D8,{"Low","Medium","High"},0)&gt;=MATCH(INDEX(QB_MINTIER,MATCH(E8,QB_ID,0)),{"Low","Medium","High"},0),"Recommended for tier","Optional for tier"),"Tier not determined"),"Check question"))</f>
        <v>Recommended for tier</v>
      </c>
      <c r="I8" s="34" t="s">
        <v>248</v>
      </c>
      <c r="J8" s="50" t="s">
        <v>240</v>
      </c>
      <c r="K8" s="34" t="s">
        <v>1166</v>
      </c>
      <c r="L8" s="34" t="s">
        <v>1167</v>
      </c>
      <c r="M8" s="62" t="n">
        <f aca="false">IF(L8="","",SUMPRODUCT(ISNUMBER(SEARCH(","&amp;EV_ID&amp;",",","&amp;SUBSTITUTE(L8," ","")&amp;","))*(EV_ID&lt;&gt;"")))</f>
        <v>1</v>
      </c>
      <c r="N8" s="54" t="str">
        <f aca="false">IF(A8="","",IF(I8&lt;&gt;"Applicable",IF(I8="","Applicability not set","Not in scope ("&amp;I8&amp;")"),IF(OR(J8="",J8="Not answered"),"Awaiting supplier response",IF(J8="Not applicable","Supplier states not applicable - analyst to confirm",IF(L8="","Evidence insufficient - none referenced",IF(M8=0,"Evidence insufficient - referenced ID not found",IF(SUMPRODUCT(ISNUMBER(SEARCH(","&amp;EV_ID&amp;",",","&amp;SUBSTITUTE(L8," ","")&amp;","))*(EV_ID&lt;&gt;"")*(EV_SUFF="Sufficient"))&gt;0,"Evidence reviewed - sufficient",IF(SUMPRODUCT(ISNUMBER(SEARCH(","&amp;EV_ID&amp;",",","&amp;SUBSTITUTE(L8," ","")&amp;","))*(EV_ID&lt;&gt;"")*(EV_SUFF="Partially sufficient"))&gt;0,"Evidence partially sufficient","Evidence insufficient - referenced evidence not sufficient"))))))))</f>
        <v>Evidence insufficient - referenced evidence not sufficient</v>
      </c>
      <c r="O8" s="50" t="s">
        <v>359</v>
      </c>
      <c r="P8" s="34" t="s">
        <v>1168</v>
      </c>
      <c r="Q8" s="34" t="s">
        <v>1169</v>
      </c>
      <c r="R8" s="50" t="s">
        <v>1170</v>
      </c>
      <c r="S8" s="51" t="n">
        <v>46310</v>
      </c>
      <c r="T8" s="51" t="n">
        <v>46277</v>
      </c>
      <c r="U8" s="52" t="str">
        <f aca="false">IF(OR(A8="",Q8=""),"",IF(AND(ISNUMBER(S8),S8&lt;AsOf,O8&lt;&gt;"Reviewed"),"Overdue",""))</f>
        <v>Overdue</v>
      </c>
      <c r="V8" s="54" t="str">
        <f aca="false">IF(A8="","",IF(COUNTIF(QA_ID,A8)&gt;1,"CHECK: duplicate ID",IF(B8="","CHECK: Supplier ID missing",IF(COUNTIF(INV_ID,B8)=0,"CHECK: Supplier ID not in inventory",IF(E8="","CHECK: Question ID missing",IF(COUNTIF(QB_ID,E8)=0,"CHECK: Question ID not in bank","OK"))))))</f>
        <v>OK</v>
      </c>
    </row>
    <row r="9" customFormat="false" ht="23.85" hidden="false" customHeight="false" outlineLevel="0" collapsed="false">
      <c r="A9" s="50" t="s">
        <v>1171</v>
      </c>
      <c r="B9" s="50" t="s">
        <v>479</v>
      </c>
      <c r="C9" s="59" t="str">
        <f aca="false">IF(B9="","",IFERROR(INDEX(INV_NAME,MATCH(B9,INV_ID,0)),"CHECK: Supplier ID not found"))</f>
        <v>Northwind Cloud Hosting Ltd</v>
      </c>
      <c r="D9" s="63" t="str">
        <f aca="false">IF(B9="","",IFERROR(INDEX(INV_TIER,MATCH(B9,INV_ID,0)),""))</f>
        <v>High</v>
      </c>
      <c r="E9" s="50" t="s">
        <v>811</v>
      </c>
      <c r="F9" s="59" t="str">
        <f aca="false">IF(E9="","",IFERROR(INDEX(QB_Q,MATCH(E9,QB_ID,0)),"CHECK: Question ID not found"))</f>
        <v>Is our data encrypted at rest, and who manages the encryption keys?</v>
      </c>
      <c r="G9" s="59" t="str">
        <f aca="false">IF(E9="","",IFERROR(INDEX(QB_DOMAIN,MATCH(E9,QB_ID,0)),""))</f>
        <v>Information protection</v>
      </c>
      <c r="H9" s="54" t="str">
        <f aca="false">IF(OR(A9="",E9=""),"",IFERROR(IF(ISNUMBER(MATCH(D9,{"Low","Medium","High"},0)),IF(MATCH(D9,{"Low","Medium","High"},0)&gt;=MATCH(INDEX(QB_MINTIER,MATCH(E9,QB_ID,0)),{"Low","Medium","High"},0),"Recommended for tier","Optional for tier"),"Tier not determined"),"Check question"))</f>
        <v>Recommended for tier</v>
      </c>
      <c r="I9" s="34" t="s">
        <v>248</v>
      </c>
      <c r="J9" s="50" t="s">
        <v>240</v>
      </c>
      <c r="K9" s="34" t="s">
        <v>1172</v>
      </c>
      <c r="L9" s="34" t="s">
        <v>1173</v>
      </c>
      <c r="M9" s="62" t="n">
        <f aca="false">IF(L9="","",SUMPRODUCT(ISNUMBER(SEARCH(","&amp;EV_ID&amp;",",","&amp;SUBSTITUTE(L9," ","")&amp;","))*(EV_ID&lt;&gt;"")))</f>
        <v>2</v>
      </c>
      <c r="N9" s="54" t="str">
        <f aca="false">IF(A9="","",IF(I9&lt;&gt;"Applicable",IF(I9="","Applicability not set","Not in scope ("&amp;I9&amp;")"),IF(OR(J9="",J9="Not answered"),"Awaiting supplier response",IF(J9="Not applicable","Supplier states not applicable - analyst to confirm",IF(L9="","Evidence insufficient - none referenced",IF(M9=0,"Evidence insufficient - referenced ID not found",IF(SUMPRODUCT(ISNUMBER(SEARCH(","&amp;EV_ID&amp;",",","&amp;SUBSTITUTE(L9," ","")&amp;","))*(EV_ID&lt;&gt;"")*(EV_SUFF="Sufficient"))&gt;0,"Evidence reviewed - sufficient",IF(SUMPRODUCT(ISNUMBER(SEARCH(","&amp;EV_ID&amp;",",","&amp;SUBSTITUTE(L9," ","")&amp;","))*(EV_ID&lt;&gt;"")*(EV_SUFF="Partially sufficient"))&gt;0,"Evidence partially sufficient","Evidence insufficient - referenced evidence not sufficient"))))))))</f>
        <v>Evidence partially sufficient</v>
      </c>
      <c r="O9" s="50" t="s">
        <v>324</v>
      </c>
      <c r="P9" s="34" t="s">
        <v>1174</v>
      </c>
      <c r="Q9" s="34"/>
      <c r="R9" s="50"/>
      <c r="S9" s="51"/>
      <c r="T9" s="51" t="n">
        <v>46270</v>
      </c>
      <c r="U9" s="52" t="str">
        <f aca="false">IF(OR(A9="",Q9=""),"",IF(AND(ISNUMBER(S9),S9&lt;AsOf,O9&lt;&gt;"Reviewed"),"Overdue",""))</f>
        <v/>
      </c>
      <c r="V9" s="54" t="str">
        <f aca="false">IF(A9="","",IF(COUNTIF(QA_ID,A9)&gt;1,"CHECK: duplicate ID",IF(B9="","CHECK: Supplier ID missing",IF(COUNTIF(INV_ID,B9)=0,"CHECK: Supplier ID not in inventory",IF(E9="","CHECK: Question ID missing",IF(COUNTIF(QB_ID,E9)=0,"CHECK: Question ID not in bank","OK"))))))</f>
        <v>OK</v>
      </c>
    </row>
    <row r="10" customFormat="false" ht="35.05" hidden="false" customHeight="false" outlineLevel="0" collapsed="false">
      <c r="A10" s="50" t="s">
        <v>1175</v>
      </c>
      <c r="B10" s="50" t="s">
        <v>479</v>
      </c>
      <c r="C10" s="59" t="str">
        <f aca="false">IF(B10="","",IFERROR(INDEX(INV_NAME,MATCH(B10,INV_ID,0)),"CHECK: Supplier ID not found"))</f>
        <v>Northwind Cloud Hosting Ltd</v>
      </c>
      <c r="D10" s="63" t="str">
        <f aca="false">IF(B10="","",IFERROR(INDEX(INV_TIER,MATCH(B10,INV_ID,0)),""))</f>
        <v>High</v>
      </c>
      <c r="E10" s="50" t="s">
        <v>944</v>
      </c>
      <c r="F10" s="59" t="str">
        <f aca="false">IF(E10="","",IFERROR(INDEX(QB_Q,MATCH(E10,QB_ID,0)),"CHECK: Question ID not found"))</f>
        <v>Does the supplier maintain a continuity plan for the service, with defined recovery time and recovery point objectives?</v>
      </c>
      <c r="G10" s="59" t="str">
        <f aca="false">IF(E10="","",IFERROR(INDEX(QB_DOMAIN,MATCH(E10,QB_ID,0)),""))</f>
        <v>Business continuity and disaster recovery</v>
      </c>
      <c r="H10" s="54" t="str">
        <f aca="false">IF(OR(A10="",E10=""),"",IFERROR(IF(ISNUMBER(MATCH(D10,{"Low","Medium","High"},0)),IF(MATCH(D10,{"Low","Medium","High"},0)&gt;=MATCH(INDEX(QB_MINTIER,MATCH(E10,QB_ID,0)),{"Low","Medium","High"},0),"Recommended for tier","Optional for tier"),"Tier not determined"),"Check question"))</f>
        <v>Recommended for tier</v>
      </c>
      <c r="I10" s="34" t="s">
        <v>248</v>
      </c>
      <c r="J10" s="50" t="s">
        <v>240</v>
      </c>
      <c r="K10" s="34" t="s">
        <v>1176</v>
      </c>
      <c r="L10" s="34" t="s">
        <v>1177</v>
      </c>
      <c r="M10" s="62" t="n">
        <f aca="false">IF(L10="","",SUMPRODUCT(ISNUMBER(SEARCH(","&amp;EV_ID&amp;",",","&amp;SUBSTITUTE(L10," ","")&amp;","))*(EV_ID&lt;&gt;"")))</f>
        <v>1</v>
      </c>
      <c r="N10" s="54" t="str">
        <f aca="false">IF(A10="","",IF(I10&lt;&gt;"Applicable",IF(I10="","Applicability not set","Not in scope ("&amp;I10&amp;")"),IF(OR(J10="",J10="Not answered"),"Awaiting supplier response",IF(J10="Not applicable","Supplier states not applicable - analyst to confirm",IF(L10="","Evidence insufficient - none referenced",IF(M10=0,"Evidence insufficient - referenced ID not found",IF(SUMPRODUCT(ISNUMBER(SEARCH(","&amp;EV_ID&amp;",",","&amp;SUBSTITUTE(L10," ","")&amp;","))*(EV_ID&lt;&gt;"")*(EV_SUFF="Sufficient"))&gt;0,"Evidence reviewed - sufficient",IF(SUMPRODUCT(ISNUMBER(SEARCH(","&amp;EV_ID&amp;",",","&amp;SUBSTITUTE(L10," ","")&amp;","))*(EV_ID&lt;&gt;"")*(EV_SUFF="Partially sufficient"))&gt;0,"Evidence partially sufficient","Evidence insufficient - referenced evidence not sufficient"))))))))</f>
        <v>Evidence insufficient - referenced evidence not sufficient</v>
      </c>
      <c r="O10" s="50" t="s">
        <v>324</v>
      </c>
      <c r="P10" s="34" t="s">
        <v>1178</v>
      </c>
      <c r="Q10" s="34"/>
      <c r="R10" s="50"/>
      <c r="S10" s="51"/>
      <c r="T10" s="51" t="n">
        <v>46270</v>
      </c>
      <c r="U10" s="52" t="str">
        <f aca="false">IF(OR(A10="",Q10=""),"",IF(AND(ISNUMBER(S10),S10&lt;AsOf,O10&lt;&gt;"Reviewed"),"Overdue",""))</f>
        <v/>
      </c>
      <c r="V10" s="54" t="str">
        <f aca="false">IF(A10="","",IF(COUNTIF(QA_ID,A10)&gt;1,"CHECK: duplicate ID",IF(B10="","CHECK: Supplier ID missing",IF(COUNTIF(INV_ID,B10)=0,"CHECK: Supplier ID not in inventory",IF(E10="","CHECK: Question ID missing",IF(COUNTIF(QB_ID,E10)=0,"CHECK: Question ID not in bank","OK"))))))</f>
        <v>OK</v>
      </c>
    </row>
    <row r="11" customFormat="false" ht="35.05" hidden="false" customHeight="false" outlineLevel="0" collapsed="false">
      <c r="A11" s="50" t="s">
        <v>1179</v>
      </c>
      <c r="B11" s="50" t="s">
        <v>479</v>
      </c>
      <c r="C11" s="59" t="str">
        <f aca="false">IF(B11="","",IFERROR(INDEX(INV_NAME,MATCH(B11,INV_ID,0)),"CHECK: Supplier ID not found"))</f>
        <v>Northwind Cloud Hosting Ltd</v>
      </c>
      <c r="D11" s="63" t="str">
        <f aca="false">IF(B11="","",IFERROR(INDEX(INV_TIER,MATCH(B11,INV_ID,0)),""))</f>
        <v>High</v>
      </c>
      <c r="E11" s="50" t="s">
        <v>952</v>
      </c>
      <c r="F11" s="59" t="str">
        <f aca="false">IF(E11="","",IFERROR(INDEX(QB_Q,MATCH(E11,QB_ID,0)),"CHECK: Question ID not found"))</f>
        <v>Has recovery of the service been tested in the last 12 months, and what were the results against the stated objectives?</v>
      </c>
      <c r="G11" s="59" t="str">
        <f aca="false">IF(E11="","",IFERROR(INDEX(QB_DOMAIN,MATCH(E11,QB_ID,0)),""))</f>
        <v>Business continuity and disaster recovery</v>
      </c>
      <c r="H11" s="54" t="str">
        <f aca="false">IF(OR(A11="",E11=""),"",IFERROR(IF(ISNUMBER(MATCH(D11,{"Low","Medium","High"},0)),IF(MATCH(D11,{"Low","Medium","High"},0)&gt;=MATCH(INDEX(QB_MINTIER,MATCH(E11,QB_ID,0)),{"Low","Medium","High"},0),"Recommended for tier","Optional for tier"),"Tier not determined"),"Check question"))</f>
        <v>Recommended for tier</v>
      </c>
      <c r="I11" s="34" t="s">
        <v>248</v>
      </c>
      <c r="J11" s="50" t="s">
        <v>240</v>
      </c>
      <c r="K11" s="34" t="s">
        <v>1180</v>
      </c>
      <c r="L11" s="34" t="s">
        <v>1177</v>
      </c>
      <c r="M11" s="62" t="n">
        <f aca="false">IF(L11="","",SUMPRODUCT(ISNUMBER(SEARCH(","&amp;EV_ID&amp;",",","&amp;SUBSTITUTE(L11," ","")&amp;","))*(EV_ID&lt;&gt;"")))</f>
        <v>1</v>
      </c>
      <c r="N11" s="54" t="str">
        <f aca="false">IF(A11="","",IF(I11&lt;&gt;"Applicable",IF(I11="","Applicability not set","Not in scope ("&amp;I11&amp;")"),IF(OR(J11="",J11="Not answered"),"Awaiting supplier response",IF(J11="Not applicable","Supplier states not applicable - analyst to confirm",IF(L11="","Evidence insufficient - none referenced",IF(M11=0,"Evidence insufficient - referenced ID not found",IF(SUMPRODUCT(ISNUMBER(SEARCH(","&amp;EV_ID&amp;",",","&amp;SUBSTITUTE(L11," ","")&amp;","))*(EV_ID&lt;&gt;"")*(EV_SUFF="Sufficient"))&gt;0,"Evidence reviewed - sufficient",IF(SUMPRODUCT(ISNUMBER(SEARCH(","&amp;EV_ID&amp;",",","&amp;SUBSTITUTE(L11," ","")&amp;","))*(EV_ID&lt;&gt;"")*(EV_SUFF="Partially sufficient"))&gt;0,"Evidence partially sufficient","Evidence insufficient - referenced evidence not sufficient"))))))))</f>
        <v>Evidence insufficient - referenced evidence not sufficient</v>
      </c>
      <c r="O11" s="50" t="s">
        <v>359</v>
      </c>
      <c r="P11" s="34" t="s">
        <v>1181</v>
      </c>
      <c r="Q11" s="34" t="s">
        <v>1182</v>
      </c>
      <c r="R11" s="50" t="s">
        <v>1170</v>
      </c>
      <c r="S11" s="51" t="n">
        <v>46371</v>
      </c>
      <c r="T11" s="51" t="n">
        <v>46277</v>
      </c>
      <c r="U11" s="52" t="str">
        <f aca="false">IF(OR(A11="",Q11=""),"",IF(AND(ISNUMBER(S11),S11&lt;AsOf,O11&lt;&gt;"Reviewed"),"Overdue",""))</f>
        <v/>
      </c>
      <c r="V11" s="54" t="str">
        <f aca="false">IF(A11="","",IF(COUNTIF(QA_ID,A11)&gt;1,"CHECK: duplicate ID",IF(B11="","CHECK: Supplier ID missing",IF(COUNTIF(INV_ID,B11)=0,"CHECK: Supplier ID not in inventory",IF(E11="","CHECK: Question ID missing",IF(COUNTIF(QB_ID,E11)=0,"CHECK: Question ID not in bank","OK"))))))</f>
        <v>OK</v>
      </c>
    </row>
    <row r="12" customFormat="false" ht="35.05" hidden="false" customHeight="false" outlineLevel="0" collapsed="false">
      <c r="A12" s="50" t="s">
        <v>1183</v>
      </c>
      <c r="B12" s="50" t="s">
        <v>479</v>
      </c>
      <c r="C12" s="59" t="str">
        <f aca="false">IF(B12="","",IFERROR(INDEX(INV_NAME,MATCH(B12,INV_ID,0)),"CHECK: Supplier ID not found"))</f>
        <v>Northwind Cloud Hosting Ltd</v>
      </c>
      <c r="D12" s="63" t="str">
        <f aca="false">IF(B12="","",IFERROR(INDEX(INV_TIER,MATCH(B12,INV_ID,0)),""))</f>
        <v>High</v>
      </c>
      <c r="E12" s="50" t="s">
        <v>1033</v>
      </c>
      <c r="F12" s="59" t="str">
        <f aca="false">IF(E12="","",IFERROR(INDEX(QB_Q,MATCH(E12,QB_ID,0)),"CHECK: Question ID not found"))</f>
        <v>Does the service rely on a single infrastructure or hosting provider, and what is the supplier's contingency if that provider fails?</v>
      </c>
      <c r="G12" s="59" t="str">
        <f aca="false">IF(E12="","",IFERROR(INDEX(QB_DOMAIN,MATCH(E12,QB_ID,0)),""))</f>
        <v>Subcontractor management</v>
      </c>
      <c r="H12" s="54" t="str">
        <f aca="false">IF(OR(A12="",E12=""),"",IFERROR(IF(ISNUMBER(MATCH(D12,{"Low","Medium","High"},0)),IF(MATCH(D12,{"Low","Medium","High"},0)&gt;=MATCH(INDEX(QB_MINTIER,MATCH(E12,QB_ID,0)),{"Low","Medium","High"},0),"Recommended for tier","Optional for tier"),"Tier not determined"),"Check question"))</f>
        <v>Recommended for tier</v>
      </c>
      <c r="I12" s="34" t="s">
        <v>248</v>
      </c>
      <c r="J12" s="50" t="s">
        <v>284</v>
      </c>
      <c r="K12" s="34" t="s">
        <v>1184</v>
      </c>
      <c r="L12" s="34"/>
      <c r="M12" s="62" t="str">
        <f aca="false">IF(L12="","",SUMPRODUCT(ISNUMBER(SEARCH(","&amp;EV_ID&amp;",",","&amp;SUBSTITUTE(L12," ","")&amp;","))*(EV_ID&lt;&gt;"")))</f>
        <v/>
      </c>
      <c r="N12" s="54" t="str">
        <f aca="false">IF(A12="","",IF(I12&lt;&gt;"Applicable",IF(I12="","Applicability not set","Not in scope ("&amp;I12&amp;")"),IF(OR(J12="",J12="Not answered"),"Awaiting supplier response",IF(J12="Not applicable","Supplier states not applicable - analyst to confirm",IF(L12="","Evidence insufficient - none referenced",IF(M12=0,"Evidence insufficient - referenced ID not found",IF(SUMPRODUCT(ISNUMBER(SEARCH(","&amp;EV_ID&amp;",",","&amp;SUBSTITUTE(L12," ","")&amp;","))*(EV_ID&lt;&gt;"")*(EV_SUFF="Sufficient"))&gt;0,"Evidence reviewed - sufficient",IF(SUMPRODUCT(ISNUMBER(SEARCH(","&amp;EV_ID&amp;",",","&amp;SUBSTITUTE(L12," ","")&amp;","))*(EV_ID&lt;&gt;"")*(EV_SUFF="Partially sufficient"))&gt;0,"Evidence partially sufficient","Evidence insufficient - referenced evidence not sufficient"))))))))</f>
        <v>Evidence insufficient - none referenced</v>
      </c>
      <c r="O12" s="50" t="s">
        <v>359</v>
      </c>
      <c r="P12" s="34" t="s">
        <v>1185</v>
      </c>
      <c r="Q12" s="34" t="s">
        <v>1186</v>
      </c>
      <c r="R12" s="50" t="s">
        <v>1170</v>
      </c>
      <c r="S12" s="51" t="n">
        <v>46341</v>
      </c>
      <c r="T12" s="51" t="n">
        <v>46277</v>
      </c>
      <c r="U12" s="52" t="str">
        <f aca="false">IF(OR(A12="",Q12=""),"",IF(AND(ISNUMBER(S12),S12&lt;AsOf,O12&lt;&gt;"Reviewed"),"Overdue",""))</f>
        <v/>
      </c>
      <c r="V12" s="54" t="str">
        <f aca="false">IF(A12="","",IF(COUNTIF(QA_ID,A12)&gt;1,"CHECK: duplicate ID",IF(B12="","CHECK: Supplier ID missing",IF(COUNTIF(INV_ID,B12)=0,"CHECK: Supplier ID not in inventory",IF(E12="","CHECK: Question ID missing",IF(COUNTIF(QB_ID,E12)=0,"CHECK: Question ID not in bank","OK"))))))</f>
        <v>OK</v>
      </c>
    </row>
    <row r="13" customFormat="false" ht="35.05" hidden="false" customHeight="false" outlineLevel="0" collapsed="false">
      <c r="A13" s="50" t="s">
        <v>1187</v>
      </c>
      <c r="B13" s="50" t="s">
        <v>479</v>
      </c>
      <c r="C13" s="59" t="str">
        <f aca="false">IF(B13="","",IFERROR(INDEX(INV_NAME,MATCH(B13,INV_ID,0)),"CHECK: Supplier ID not found"))</f>
        <v>Northwind Cloud Hosting Ltd</v>
      </c>
      <c r="D13" s="63" t="str">
        <f aca="false">IF(B13="","",IFERROR(INDEX(INV_TIER,MATCH(B13,INV_ID,0)),""))</f>
        <v>High</v>
      </c>
      <c r="E13" s="50" t="s">
        <v>1055</v>
      </c>
      <c r="F13" s="59" t="str">
        <f aca="false">IF(E13="","",IFERROR(INDEX(QB_Q,MATCH(E13,QB_ID,0)),"CHECK: Question ID not found"))</f>
        <v>Does the supplier provide a SOC 2 Type II (or equivalent) report covering the service, and were any exceptions reported?</v>
      </c>
      <c r="G13" s="59" t="str">
        <f aca="false">IF(E13="","",IFERROR(INDEX(QB_DOMAIN,MATCH(E13,QB_ID,0)),""))</f>
        <v>Independent assurance</v>
      </c>
      <c r="H13" s="54" t="str">
        <f aca="false">IF(OR(A13="",E13=""),"",IFERROR(IF(ISNUMBER(MATCH(D13,{"Low","Medium","High"},0)),IF(MATCH(D13,{"Low","Medium","High"},0)&gt;=MATCH(INDEX(QB_MINTIER,MATCH(E13,QB_ID,0)),{"Low","Medium","High"},0),"Recommended for tier","Optional for tier"),"Tier not determined"),"Check question"))</f>
        <v>Recommended for tier</v>
      </c>
      <c r="I13" s="34" t="s">
        <v>248</v>
      </c>
      <c r="J13" s="50" t="s">
        <v>240</v>
      </c>
      <c r="K13" s="34" t="s">
        <v>1188</v>
      </c>
      <c r="L13" s="34" t="s">
        <v>1189</v>
      </c>
      <c r="M13" s="62" t="n">
        <f aca="false">IF(L13="","",SUMPRODUCT(ISNUMBER(SEARCH(","&amp;EV_ID&amp;",",","&amp;SUBSTITUTE(L13," ","")&amp;","))*(EV_ID&lt;&gt;"")))</f>
        <v>1</v>
      </c>
      <c r="N13" s="54" t="str">
        <f aca="false">IF(A13="","",IF(I13&lt;&gt;"Applicable",IF(I13="","Applicability not set","Not in scope ("&amp;I13&amp;")"),IF(OR(J13="",J13="Not answered"),"Awaiting supplier response",IF(J13="Not applicable","Supplier states not applicable - analyst to confirm",IF(L13="","Evidence insufficient - none referenced",IF(M13=0,"Evidence insufficient - referenced ID not found",IF(SUMPRODUCT(ISNUMBER(SEARCH(","&amp;EV_ID&amp;",",","&amp;SUBSTITUTE(L13," ","")&amp;","))*(EV_ID&lt;&gt;"")*(EV_SUFF="Sufficient"))&gt;0,"Evidence reviewed - sufficient",IF(SUMPRODUCT(ISNUMBER(SEARCH(","&amp;EV_ID&amp;",",","&amp;SUBSTITUTE(L13," ","")&amp;","))*(EV_ID&lt;&gt;"")*(EV_SUFF="Partially sufficient"))&gt;0,"Evidence partially sufficient","Evidence insufficient - referenced evidence not sufficient"))))))))</f>
        <v>Evidence partially sufficient</v>
      </c>
      <c r="O13" s="50" t="s">
        <v>359</v>
      </c>
      <c r="P13" s="34" t="s">
        <v>1190</v>
      </c>
      <c r="Q13" s="34" t="s">
        <v>1191</v>
      </c>
      <c r="R13" s="50" t="s">
        <v>1192</v>
      </c>
      <c r="S13" s="51" t="n">
        <v>46356</v>
      </c>
      <c r="T13" s="51" t="n">
        <v>46277</v>
      </c>
      <c r="U13" s="52" t="str">
        <f aca="false">IF(OR(A13="",Q13=""),"",IF(AND(ISNUMBER(S13),S13&lt;AsOf,O13&lt;&gt;"Reviewed"),"Overdue",""))</f>
        <v/>
      </c>
      <c r="V13" s="54" t="str">
        <f aca="false">IF(A13="","",IF(COUNTIF(QA_ID,A13)&gt;1,"CHECK: duplicate ID",IF(B13="","CHECK: Supplier ID missing",IF(COUNTIF(INV_ID,B13)=0,"CHECK: Supplier ID not in inventory",IF(E13="","CHECK: Question ID missing",IF(COUNTIF(QB_ID,E13)=0,"CHECK: Question ID not in bank","OK"))))))</f>
        <v>OK</v>
      </c>
    </row>
    <row r="14" customFormat="false" ht="35.05" hidden="false" customHeight="false" outlineLevel="0" collapsed="false">
      <c r="A14" s="50" t="s">
        <v>1193</v>
      </c>
      <c r="B14" s="50" t="s">
        <v>479</v>
      </c>
      <c r="C14" s="59" t="str">
        <f aca="false">IF(B14="","",IFERROR(INDEX(INV_NAME,MATCH(B14,INV_ID,0)),"CHECK: Supplier ID not found"))</f>
        <v>Northwind Cloud Hosting Ltd</v>
      </c>
      <c r="D14" s="63" t="str">
        <f aca="false">IF(B14="","",IFERROR(INDEX(INV_TIER,MATCH(B14,INV_ID,0)),""))</f>
        <v>High</v>
      </c>
      <c r="E14" s="50" t="s">
        <v>848</v>
      </c>
      <c r="F14" s="59" t="str">
        <f aca="false">IF(E14="","",IFERROR(INDEX(QB_Q,MATCH(E14,QB_ID,0)),"CHECK: Question ID not found"))</f>
        <v>What are the supplier's remediation timeframes for critical and high vulnerabilities, and how did it perform over the last 12 months?</v>
      </c>
      <c r="G14" s="59" t="str">
        <f aca="false">IF(E14="","",IFERROR(INDEX(QB_DOMAIN,MATCH(E14,QB_ID,0)),""))</f>
        <v>Vulnerability and patch management</v>
      </c>
      <c r="H14" s="54" t="str">
        <f aca="false">IF(OR(A14="",E14=""),"",IFERROR(IF(ISNUMBER(MATCH(D14,{"Low","Medium","High"},0)),IF(MATCH(D14,{"Low","Medium","High"},0)&gt;=MATCH(INDEX(QB_MINTIER,MATCH(E14,QB_ID,0)),{"Low","Medium","High"},0),"Recommended for tier","Optional for tier"),"Tier not determined"),"Check question"))</f>
        <v>Recommended for tier</v>
      </c>
      <c r="I14" s="34" t="s">
        <v>248</v>
      </c>
      <c r="J14" s="50" t="s">
        <v>386</v>
      </c>
      <c r="K14" s="34"/>
      <c r="L14" s="34"/>
      <c r="M14" s="62" t="str">
        <f aca="false">IF(L14="","",SUMPRODUCT(ISNUMBER(SEARCH(","&amp;EV_ID&amp;",",","&amp;SUBSTITUTE(L14," ","")&amp;","))*(EV_ID&lt;&gt;"")))</f>
        <v/>
      </c>
      <c r="N14" s="54" t="str">
        <f aca="false">IF(A14="","",IF(I14&lt;&gt;"Applicable",IF(I14="","Applicability not set","Not in scope ("&amp;I14&amp;")"),IF(OR(J14="",J14="Not answered"),"Awaiting supplier response",IF(J14="Not applicable","Supplier states not applicable - analyst to confirm",IF(L14="","Evidence insufficient - none referenced",IF(M14=0,"Evidence insufficient - referenced ID not found",IF(SUMPRODUCT(ISNUMBER(SEARCH(","&amp;EV_ID&amp;",",","&amp;SUBSTITUTE(L14," ","")&amp;","))*(EV_ID&lt;&gt;"")*(EV_SUFF="Sufficient"))&gt;0,"Evidence reviewed - sufficient",IF(SUMPRODUCT(ISNUMBER(SEARCH(","&amp;EV_ID&amp;",",","&amp;SUBSTITUTE(L14," ","")&amp;","))*(EV_ID&lt;&gt;"")*(EV_SUFF="Partially sufficient"))&gt;0,"Evidence partially sufficient","Evidence insufficient - referenced evidence not sufficient"))))))))</f>
        <v>Awaiting supplier response</v>
      </c>
      <c r="O14" s="50" t="s">
        <v>249</v>
      </c>
      <c r="P14" s="34"/>
      <c r="Q14" s="34"/>
      <c r="R14" s="50"/>
      <c r="S14" s="51"/>
      <c r="T14" s="51"/>
      <c r="U14" s="52" t="str">
        <f aca="false">IF(OR(A14="",Q14=""),"",IF(AND(ISNUMBER(S14),S14&lt;AsOf,O14&lt;&gt;"Reviewed"),"Overdue",""))</f>
        <v/>
      </c>
      <c r="V14" s="54" t="str">
        <f aca="false">IF(A14="","",IF(COUNTIF(QA_ID,A14)&gt;1,"CHECK: duplicate ID",IF(B14="","CHECK: Supplier ID missing",IF(COUNTIF(INV_ID,B14)=0,"CHECK: Supplier ID not in inventory",IF(E14="","CHECK: Question ID missing",IF(COUNTIF(QB_ID,E14)=0,"CHECK: Question ID not in bank","OK"))))))</f>
        <v>OK</v>
      </c>
    </row>
    <row r="15" customFormat="false" ht="23.85" hidden="false" customHeight="false" outlineLevel="0" collapsed="false">
      <c r="A15" s="50" t="s">
        <v>1194</v>
      </c>
      <c r="B15" s="50" t="s">
        <v>489</v>
      </c>
      <c r="C15" s="59" t="str">
        <f aca="false">IF(B15="","",IFERROR(INDEX(INV_NAME,MATCH(B15,INV_ID,0)),"CHECK: Supplier ID not found"))</f>
        <v>SupportLoop Ltd</v>
      </c>
      <c r="D15" s="63" t="str">
        <f aca="false">IF(B15="","",IFERROR(INDEX(INV_TIER,MATCH(B15,INV_ID,0)),""))</f>
        <v>High</v>
      </c>
      <c r="E15" s="50" t="s">
        <v>785</v>
      </c>
      <c r="F15" s="59" t="str">
        <f aca="false">IF(E15="","",IFERROR(INDEX(QB_Q,MATCH(E15,QB_ID,0)),"CHECK: Question ID not found"))</f>
        <v>Does the service support single sign-on and role-based access control for our own users?</v>
      </c>
      <c r="G15" s="59" t="str">
        <f aca="false">IF(E15="","",IFERROR(INDEX(QB_DOMAIN,MATCH(E15,QB_ID,0)),""))</f>
        <v>Identity and privileged access</v>
      </c>
      <c r="H15" s="54" t="str">
        <f aca="false">IF(OR(A15="",E15=""),"",IFERROR(IF(ISNUMBER(MATCH(D15,{"Low","Medium","High"},0)),IF(MATCH(D15,{"Low","Medium","High"},0)&gt;=MATCH(INDEX(QB_MINTIER,MATCH(E15,QB_ID,0)),{"Low","Medium","High"},0),"Recommended for tier","Optional for tier"),"Tier not determined"),"Check question"))</f>
        <v>Recommended for tier</v>
      </c>
      <c r="I15" s="34" t="s">
        <v>248</v>
      </c>
      <c r="J15" s="50" t="s">
        <v>240</v>
      </c>
      <c r="K15" s="34" t="s">
        <v>1195</v>
      </c>
      <c r="L15" s="34" t="s">
        <v>1196</v>
      </c>
      <c r="M15" s="62" t="n">
        <f aca="false">IF(L15="","",SUMPRODUCT(ISNUMBER(SEARCH(","&amp;EV_ID&amp;",",","&amp;SUBSTITUTE(L15," ","")&amp;","))*(EV_ID&lt;&gt;"")))</f>
        <v>1</v>
      </c>
      <c r="N15" s="54" t="str">
        <f aca="false">IF(A15="","",IF(I15&lt;&gt;"Applicable",IF(I15="","Applicability not set","Not in scope ("&amp;I15&amp;")"),IF(OR(J15="",J15="Not answered"),"Awaiting supplier response",IF(J15="Not applicable","Supplier states not applicable - analyst to confirm",IF(L15="","Evidence insufficient - none referenced",IF(M15=0,"Evidence insufficient - referenced ID not found",IF(SUMPRODUCT(ISNUMBER(SEARCH(","&amp;EV_ID&amp;",",","&amp;SUBSTITUTE(L15," ","")&amp;","))*(EV_ID&lt;&gt;"")*(EV_SUFF="Sufficient"))&gt;0,"Evidence reviewed - sufficient",IF(SUMPRODUCT(ISNUMBER(SEARCH(","&amp;EV_ID&amp;",",","&amp;SUBSTITUTE(L15," ","")&amp;","))*(EV_ID&lt;&gt;"")*(EV_SUFF="Partially sufficient"))&gt;0,"Evidence partially sufficient","Evidence insufficient - referenced evidence not sufficient"))))))))</f>
        <v>Evidence reviewed - sufficient</v>
      </c>
      <c r="O15" s="50" t="s">
        <v>324</v>
      </c>
      <c r="P15" s="34" t="s">
        <v>1197</v>
      </c>
      <c r="Q15" s="34"/>
      <c r="R15" s="50"/>
      <c r="S15" s="51"/>
      <c r="T15" s="51" t="n">
        <v>46296</v>
      </c>
      <c r="U15" s="52" t="str">
        <f aca="false">IF(OR(A15="",Q15=""),"",IF(AND(ISNUMBER(S15),S15&lt;AsOf,O15&lt;&gt;"Reviewed"),"Overdue",""))</f>
        <v/>
      </c>
      <c r="V15" s="54" t="str">
        <f aca="false">IF(A15="","",IF(COUNTIF(QA_ID,A15)&gt;1,"CHECK: duplicate ID",IF(B15="","CHECK: Supplier ID missing",IF(COUNTIF(INV_ID,B15)=0,"CHECK: Supplier ID not in inventory",IF(E15="","CHECK: Question ID missing",IF(COUNTIF(QB_ID,E15)=0,"CHECK: Question ID not in bank","OK"))))))</f>
        <v>OK</v>
      </c>
    </row>
    <row r="16" customFormat="false" ht="23.85" hidden="false" customHeight="false" outlineLevel="0" collapsed="false">
      <c r="A16" s="50" t="s">
        <v>1198</v>
      </c>
      <c r="B16" s="50" t="s">
        <v>489</v>
      </c>
      <c r="C16" s="59" t="str">
        <f aca="false">IF(B16="","",IFERROR(INDEX(INV_NAME,MATCH(B16,INV_ID,0)),"CHECK: Supplier ID not found"))</f>
        <v>SupportLoop Ltd</v>
      </c>
      <c r="D16" s="63" t="str">
        <f aca="false">IF(B16="","",IFERROR(INDEX(INV_TIER,MATCH(B16,INV_ID,0)),""))</f>
        <v>High</v>
      </c>
      <c r="E16" s="50" t="s">
        <v>816</v>
      </c>
      <c r="F16" s="59" t="str">
        <f aca="false">IF(E16="","",IFERROR(INDEX(QB_Q,MATCH(E16,QB_ID,0)),"CHECK: Question ID not found"))</f>
        <v>Is our data logically separated from other customers' data, and how is that separation tested?</v>
      </c>
      <c r="G16" s="59" t="str">
        <f aca="false">IF(E16="","",IFERROR(INDEX(QB_DOMAIN,MATCH(E16,QB_ID,0)),""))</f>
        <v>Information protection</v>
      </c>
      <c r="H16" s="54" t="str">
        <f aca="false">IF(OR(A16="",E16=""),"",IFERROR(IF(ISNUMBER(MATCH(D16,{"Low","Medium","High"},0)),IF(MATCH(D16,{"Low","Medium","High"},0)&gt;=MATCH(INDEX(QB_MINTIER,MATCH(E16,QB_ID,0)),{"Low","Medium","High"},0),"Recommended for tier","Optional for tier"),"Tier not determined"),"Check question"))</f>
        <v>Recommended for tier</v>
      </c>
      <c r="I16" s="34" t="s">
        <v>248</v>
      </c>
      <c r="J16" s="50" t="s">
        <v>240</v>
      </c>
      <c r="K16" s="34" t="s">
        <v>1199</v>
      </c>
      <c r="L16" s="34" t="s">
        <v>1200</v>
      </c>
      <c r="M16" s="62" t="n">
        <f aca="false">IF(L16="","",SUMPRODUCT(ISNUMBER(SEARCH(","&amp;EV_ID&amp;",",","&amp;SUBSTITUTE(L16," ","")&amp;","))*(EV_ID&lt;&gt;"")))</f>
        <v>1</v>
      </c>
      <c r="N16" s="54" t="str">
        <f aca="false">IF(A16="","",IF(I16&lt;&gt;"Applicable",IF(I16="","Applicability not set","Not in scope ("&amp;I16&amp;")"),IF(OR(J16="",J16="Not answered"),"Awaiting supplier response",IF(J16="Not applicable","Supplier states not applicable - analyst to confirm",IF(L16="","Evidence insufficient - none referenced",IF(M16=0,"Evidence insufficient - referenced ID not found",IF(SUMPRODUCT(ISNUMBER(SEARCH(","&amp;EV_ID&amp;",",","&amp;SUBSTITUTE(L16," ","")&amp;","))*(EV_ID&lt;&gt;"")*(EV_SUFF="Sufficient"))&gt;0,"Evidence reviewed - sufficient",IF(SUMPRODUCT(ISNUMBER(SEARCH(","&amp;EV_ID&amp;",",","&amp;SUBSTITUTE(L16," ","")&amp;","))*(EV_ID&lt;&gt;"")*(EV_SUFF="Partially sufficient"))&gt;0,"Evidence partially sufficient","Evidence insufficient - referenced evidence not sufficient"))))))))</f>
        <v>Evidence partially sufficient</v>
      </c>
      <c r="O16" s="50" t="s">
        <v>324</v>
      </c>
      <c r="P16" s="34" t="s">
        <v>1201</v>
      </c>
      <c r="Q16" s="34"/>
      <c r="R16" s="50"/>
      <c r="S16" s="51"/>
      <c r="T16" s="51" t="n">
        <v>46296</v>
      </c>
      <c r="U16" s="52" t="str">
        <f aca="false">IF(OR(A16="",Q16=""),"",IF(AND(ISNUMBER(S16),S16&lt;AsOf,O16&lt;&gt;"Reviewed"),"Overdue",""))</f>
        <v/>
      </c>
      <c r="V16" s="54" t="str">
        <f aca="false">IF(A16="","",IF(COUNTIF(QA_ID,A16)&gt;1,"CHECK: duplicate ID",IF(B16="","CHECK: Supplier ID missing",IF(COUNTIF(INV_ID,B16)=0,"CHECK: Supplier ID not in inventory",IF(E16="","CHECK: Question ID missing",IF(COUNTIF(QB_ID,E16)=0,"CHECK: Question ID not in bank","OK"))))))</f>
        <v>OK</v>
      </c>
    </row>
    <row r="17" customFormat="false" ht="35.05" hidden="false" customHeight="false" outlineLevel="0" collapsed="false">
      <c r="A17" s="50" t="s">
        <v>1202</v>
      </c>
      <c r="B17" s="50" t="s">
        <v>489</v>
      </c>
      <c r="C17" s="59" t="str">
        <f aca="false">IF(B17="","",IFERROR(INDEX(INV_NAME,MATCH(B17,INV_ID,0)),"CHECK: Supplier ID not found"))</f>
        <v>SupportLoop Ltd</v>
      </c>
      <c r="D17" s="63" t="str">
        <f aca="false">IF(B17="","",IFERROR(INDEX(INV_TIER,MATCH(B17,INV_ID,0)),""))</f>
        <v>High</v>
      </c>
      <c r="E17" s="50" t="s">
        <v>852</v>
      </c>
      <c r="F17" s="59" t="str">
        <f aca="false">IF(E17="","",IFERROR(INDEX(QB_Q,MATCH(E17,QB_ID,0)),"CHECK: Question ID not found"))</f>
        <v>Has an independent penetration test of the service been performed in the last 12 months, and have findings been remediated?</v>
      </c>
      <c r="G17" s="59" t="str">
        <f aca="false">IF(E17="","",IFERROR(INDEX(QB_DOMAIN,MATCH(E17,QB_ID,0)),""))</f>
        <v>Vulnerability and patch management</v>
      </c>
      <c r="H17" s="54" t="str">
        <f aca="false">IF(OR(A17="",E17=""),"",IFERROR(IF(ISNUMBER(MATCH(D17,{"Low","Medium","High"},0)),IF(MATCH(D17,{"Low","Medium","High"},0)&gt;=MATCH(INDEX(QB_MINTIER,MATCH(E17,QB_ID,0)),{"Low","Medium","High"},0),"Recommended for tier","Optional for tier"),"Tier not determined"),"Check question"))</f>
        <v>Recommended for tier</v>
      </c>
      <c r="I17" s="34" t="s">
        <v>248</v>
      </c>
      <c r="J17" s="50" t="s">
        <v>240</v>
      </c>
      <c r="K17" s="34" t="s">
        <v>1203</v>
      </c>
      <c r="L17" s="34" t="s">
        <v>1200</v>
      </c>
      <c r="M17" s="62" t="n">
        <f aca="false">IF(L17="","",SUMPRODUCT(ISNUMBER(SEARCH(","&amp;EV_ID&amp;",",","&amp;SUBSTITUTE(L17," ","")&amp;","))*(EV_ID&lt;&gt;"")))</f>
        <v>1</v>
      </c>
      <c r="N17" s="54" t="str">
        <f aca="false">IF(A17="","",IF(I17&lt;&gt;"Applicable",IF(I17="","Applicability not set","Not in scope ("&amp;I17&amp;")"),IF(OR(J17="",J17="Not answered"),"Awaiting supplier response",IF(J17="Not applicable","Supplier states not applicable - analyst to confirm",IF(L17="","Evidence insufficient - none referenced",IF(M17=0,"Evidence insufficient - referenced ID not found",IF(SUMPRODUCT(ISNUMBER(SEARCH(","&amp;EV_ID&amp;",",","&amp;SUBSTITUTE(L17," ","")&amp;","))*(EV_ID&lt;&gt;"")*(EV_SUFF="Sufficient"))&gt;0,"Evidence reviewed - sufficient",IF(SUMPRODUCT(ISNUMBER(SEARCH(","&amp;EV_ID&amp;",",","&amp;SUBSTITUTE(L17," ","")&amp;","))*(EV_ID&lt;&gt;"")*(EV_SUFF="Partially sufficient"))&gt;0,"Evidence partially sufficient","Evidence insufficient - referenced evidence not sufficient"))))))))</f>
        <v>Evidence partially sufficient</v>
      </c>
      <c r="O17" s="50" t="s">
        <v>359</v>
      </c>
      <c r="P17" s="34" t="s">
        <v>1204</v>
      </c>
      <c r="Q17" s="34" t="s">
        <v>1205</v>
      </c>
      <c r="R17" s="50" t="s">
        <v>1206</v>
      </c>
      <c r="S17" s="51" t="n">
        <v>46315</v>
      </c>
      <c r="T17" s="51" t="n">
        <v>46300</v>
      </c>
      <c r="U17" s="52" t="str">
        <f aca="false">IF(OR(A17="",Q17=""),"",IF(AND(ISNUMBER(S17),S17&lt;AsOf,O17&lt;&gt;"Reviewed"),"Overdue",""))</f>
        <v>Overdue</v>
      </c>
      <c r="V17" s="54" t="str">
        <f aca="false">IF(A17="","",IF(COUNTIF(QA_ID,A17)&gt;1,"CHECK: duplicate ID",IF(B17="","CHECK: Supplier ID missing",IF(COUNTIF(INV_ID,B17)=0,"CHECK: Supplier ID not in inventory",IF(E17="","CHECK: Question ID missing",IF(COUNTIF(QB_ID,E17)=0,"CHECK: Question ID not in bank","OK"))))))</f>
        <v>OK</v>
      </c>
    </row>
    <row r="18" customFormat="false" ht="35.05" hidden="false" customHeight="false" outlineLevel="0" collapsed="false">
      <c r="A18" s="50" t="s">
        <v>1207</v>
      </c>
      <c r="B18" s="50" t="s">
        <v>489</v>
      </c>
      <c r="C18" s="59" t="str">
        <f aca="false">IF(B18="","",IFERROR(INDEX(INV_NAME,MATCH(B18,INV_ID,0)),"CHECK: Supplier ID not found"))</f>
        <v>SupportLoop Ltd</v>
      </c>
      <c r="D18" s="63" t="str">
        <f aca="false">IF(B18="","",IFERROR(INDEX(INV_TIER,MATCH(B18,INV_ID,0)),""))</f>
        <v>High</v>
      </c>
      <c r="E18" s="50" t="s">
        <v>978</v>
      </c>
      <c r="F18" s="59" t="str">
        <f aca="false">IF(E18="","",IFERROR(INDEX(QB_Q,MATCH(E18,QB_ID,0)),"CHECK: Question ID not found"))</f>
        <v>Does the supplier act only on our documented instructions when processing personal data, and is a data processing agreement in place?</v>
      </c>
      <c r="G18" s="59" t="str">
        <f aca="false">IF(E18="","",IFERROR(INDEX(QB_DOMAIN,MATCH(E18,QB_ID,0)),""))</f>
        <v>Privacy and information processing</v>
      </c>
      <c r="H18" s="54" t="str">
        <f aca="false">IF(OR(A18="",E18=""),"",IFERROR(IF(ISNUMBER(MATCH(D18,{"Low","Medium","High"},0)),IF(MATCH(D18,{"Low","Medium","High"},0)&gt;=MATCH(INDEX(QB_MINTIER,MATCH(E18,QB_ID,0)),{"Low","Medium","High"},0),"Recommended for tier","Optional for tier"),"Tier not determined"),"Check question"))</f>
        <v>Recommended for tier</v>
      </c>
      <c r="I18" s="34" t="s">
        <v>248</v>
      </c>
      <c r="J18" s="50" t="s">
        <v>240</v>
      </c>
      <c r="K18" s="34" t="s">
        <v>1208</v>
      </c>
      <c r="L18" s="34" t="s">
        <v>1196</v>
      </c>
      <c r="M18" s="62" t="n">
        <f aca="false">IF(L18="","",SUMPRODUCT(ISNUMBER(SEARCH(","&amp;EV_ID&amp;",",","&amp;SUBSTITUTE(L18," ","")&amp;","))*(EV_ID&lt;&gt;"")))</f>
        <v>1</v>
      </c>
      <c r="N18" s="54" t="str">
        <f aca="false">IF(A18="","",IF(I18&lt;&gt;"Applicable",IF(I18="","Applicability not set","Not in scope ("&amp;I18&amp;")"),IF(OR(J18="",J18="Not answered"),"Awaiting supplier response",IF(J18="Not applicable","Supplier states not applicable - analyst to confirm",IF(L18="","Evidence insufficient - none referenced",IF(M18=0,"Evidence insufficient - referenced ID not found",IF(SUMPRODUCT(ISNUMBER(SEARCH(","&amp;EV_ID&amp;",",","&amp;SUBSTITUTE(L18," ","")&amp;","))*(EV_ID&lt;&gt;"")*(EV_SUFF="Sufficient"))&gt;0,"Evidence reviewed - sufficient",IF(SUMPRODUCT(ISNUMBER(SEARCH(","&amp;EV_ID&amp;",",","&amp;SUBSTITUTE(L18," ","")&amp;","))*(EV_ID&lt;&gt;"")*(EV_SUFF="Partially sufficient"))&gt;0,"Evidence partially sufficient","Evidence insufficient - referenced evidence not sufficient"))))))))</f>
        <v>Evidence reviewed - sufficient</v>
      </c>
      <c r="O18" s="50" t="s">
        <v>324</v>
      </c>
      <c r="P18" s="34" t="s">
        <v>1209</v>
      </c>
      <c r="Q18" s="34"/>
      <c r="R18" s="50"/>
      <c r="S18" s="51"/>
      <c r="T18" s="51" t="n">
        <v>46296</v>
      </c>
      <c r="U18" s="52" t="str">
        <f aca="false">IF(OR(A18="",Q18=""),"",IF(AND(ISNUMBER(S18),S18&lt;AsOf,O18&lt;&gt;"Reviewed"),"Overdue",""))</f>
        <v/>
      </c>
      <c r="V18" s="54" t="str">
        <f aca="false">IF(A18="","",IF(COUNTIF(QA_ID,A18)&gt;1,"CHECK: duplicate ID",IF(B18="","CHECK: Supplier ID missing",IF(COUNTIF(INV_ID,B18)=0,"CHECK: Supplier ID not in inventory",IF(E18="","CHECK: Question ID missing",IF(COUNTIF(QB_ID,E18)=0,"CHECK: Question ID not in bank","OK"))))))</f>
        <v>OK</v>
      </c>
    </row>
    <row r="19" customFormat="false" ht="23.85" hidden="false" customHeight="false" outlineLevel="0" collapsed="false">
      <c r="A19" s="50" t="s">
        <v>1210</v>
      </c>
      <c r="B19" s="50" t="s">
        <v>489</v>
      </c>
      <c r="C19" s="59" t="str">
        <f aca="false">IF(B19="","",IFERROR(INDEX(INV_NAME,MATCH(B19,INV_ID,0)),"CHECK: Supplier ID not found"))</f>
        <v>SupportLoop Ltd</v>
      </c>
      <c r="D19" s="63" t="str">
        <f aca="false">IF(B19="","",IFERROR(INDEX(INV_TIER,MATCH(B19,INV_ID,0)),""))</f>
        <v>High</v>
      </c>
      <c r="E19" s="50" t="s">
        <v>997</v>
      </c>
      <c r="F19" s="59" t="str">
        <f aca="false">IF(E19="","",IFERROR(INDEX(QB_Q,MATCH(E19,QB_ID,0)),"CHECK: Question ID not found"))</f>
        <v>Are international transfers of personal data identified and covered by an approved transfer mechanism?</v>
      </c>
      <c r="G19" s="59" t="str">
        <f aca="false">IF(E19="","",IFERROR(INDEX(QB_DOMAIN,MATCH(E19,QB_ID,0)),""))</f>
        <v>Privacy and information processing</v>
      </c>
      <c r="H19" s="54" t="str">
        <f aca="false">IF(OR(A19="",E19=""),"",IFERROR(IF(ISNUMBER(MATCH(D19,{"Low","Medium","High"},0)),IF(MATCH(D19,{"Low","Medium","High"},0)&gt;=MATCH(INDEX(QB_MINTIER,MATCH(E19,QB_ID,0)),{"Low","Medium","High"},0),"Recommended for tier","Optional for tier"),"Tier not determined"),"Check question"))</f>
        <v>Recommended for tier</v>
      </c>
      <c r="I19" s="34" t="s">
        <v>248</v>
      </c>
      <c r="J19" s="50" t="s">
        <v>284</v>
      </c>
      <c r="K19" s="34" t="s">
        <v>1211</v>
      </c>
      <c r="L19" s="34"/>
      <c r="M19" s="62" t="str">
        <f aca="false">IF(L19="","",SUMPRODUCT(ISNUMBER(SEARCH(","&amp;EV_ID&amp;",",","&amp;SUBSTITUTE(L19," ","")&amp;","))*(EV_ID&lt;&gt;"")))</f>
        <v/>
      </c>
      <c r="N19" s="54" t="str">
        <f aca="false">IF(A19="","",IF(I19&lt;&gt;"Applicable",IF(I19="","Applicability not set","Not in scope ("&amp;I19&amp;")"),IF(OR(J19="",J19="Not answered"),"Awaiting supplier response",IF(J19="Not applicable","Supplier states not applicable - analyst to confirm",IF(L19="","Evidence insufficient - none referenced",IF(M19=0,"Evidence insufficient - referenced ID not found",IF(SUMPRODUCT(ISNUMBER(SEARCH(","&amp;EV_ID&amp;",",","&amp;SUBSTITUTE(L19," ","")&amp;","))*(EV_ID&lt;&gt;"")*(EV_SUFF="Sufficient"))&gt;0,"Evidence reviewed - sufficient",IF(SUMPRODUCT(ISNUMBER(SEARCH(","&amp;EV_ID&amp;",",","&amp;SUBSTITUTE(L19," ","")&amp;","))*(EV_ID&lt;&gt;"")*(EV_SUFF="Partially sufficient"))&gt;0,"Evidence partially sufficient","Evidence insufficient - referenced evidence not sufficient"))))))))</f>
        <v>Evidence insufficient - none referenced</v>
      </c>
      <c r="O19" s="50" t="s">
        <v>359</v>
      </c>
      <c r="P19" s="34" t="s">
        <v>1212</v>
      </c>
      <c r="Q19" s="34" t="s">
        <v>1213</v>
      </c>
      <c r="R19" s="50" t="s">
        <v>1206</v>
      </c>
      <c r="S19" s="51" t="n">
        <v>46346</v>
      </c>
      <c r="T19" s="51" t="n">
        <v>46300</v>
      </c>
      <c r="U19" s="52" t="str">
        <f aca="false">IF(OR(A19="",Q19=""),"",IF(AND(ISNUMBER(S19),S19&lt;AsOf,O19&lt;&gt;"Reviewed"),"Overdue",""))</f>
        <v/>
      </c>
      <c r="V19" s="54" t="str">
        <f aca="false">IF(A19="","",IF(COUNTIF(QA_ID,A19)&gt;1,"CHECK: duplicate ID",IF(B19="","CHECK: Supplier ID missing",IF(COUNTIF(INV_ID,B19)=0,"CHECK: Supplier ID not in inventory",IF(E19="","CHECK: Question ID missing",IF(COUNTIF(QB_ID,E19)=0,"CHECK: Question ID not in bank","OK"))))))</f>
        <v>OK</v>
      </c>
    </row>
    <row r="20" customFormat="false" ht="35.05" hidden="false" customHeight="false" outlineLevel="0" collapsed="false">
      <c r="A20" s="50" t="s">
        <v>1214</v>
      </c>
      <c r="B20" s="50" t="s">
        <v>489</v>
      </c>
      <c r="C20" s="59" t="str">
        <f aca="false">IF(B20="","",IFERROR(INDEX(INV_NAME,MATCH(B20,INV_ID,0)),"CHECK: Supplier ID not found"))</f>
        <v>SupportLoop Ltd</v>
      </c>
      <c r="D20" s="63" t="str">
        <f aca="false">IF(B20="","",IFERROR(INDEX(INV_TIER,MATCH(B20,INV_ID,0)),""))</f>
        <v>High</v>
      </c>
      <c r="E20" s="50" t="s">
        <v>1048</v>
      </c>
      <c r="F20" s="59" t="str">
        <f aca="false">IF(E20="","",IFERROR(INDEX(QB_Q,MATCH(E20,QB_ID,0)),"CHECK: Question ID not found"))</f>
        <v>Does the supplier hold a current ISO/IEC 27001 certificate, and does its scope include the service provided to us?</v>
      </c>
      <c r="G20" s="59" t="str">
        <f aca="false">IF(E20="","",IFERROR(INDEX(QB_DOMAIN,MATCH(E20,QB_ID,0)),""))</f>
        <v>Independent assurance</v>
      </c>
      <c r="H20" s="54" t="str">
        <f aca="false">IF(OR(A20="",E20=""),"",IFERROR(IF(ISNUMBER(MATCH(D20,{"Low","Medium","High"},0)),IF(MATCH(D20,{"Low","Medium","High"},0)&gt;=MATCH(INDEX(QB_MINTIER,MATCH(E20,QB_ID,0)),{"Low","Medium","High"},0),"Recommended for tier","Optional for tier"),"Tier not determined"),"Check question"))</f>
        <v>Recommended for tier</v>
      </c>
      <c r="I20" s="34" t="s">
        <v>248</v>
      </c>
      <c r="J20" s="50" t="s">
        <v>240</v>
      </c>
      <c r="K20" s="34" t="s">
        <v>1215</v>
      </c>
      <c r="L20" s="34" t="s">
        <v>1216</v>
      </c>
      <c r="M20" s="62" t="n">
        <f aca="false">IF(L20="","",SUMPRODUCT(ISNUMBER(SEARCH(","&amp;EV_ID&amp;",",","&amp;SUBSTITUTE(L20," ","")&amp;","))*(EV_ID&lt;&gt;"")))</f>
        <v>1</v>
      </c>
      <c r="N20" s="54" t="str">
        <f aca="false">IF(A20="","",IF(I20&lt;&gt;"Applicable",IF(I20="","Applicability not set","Not in scope ("&amp;I20&amp;")"),IF(OR(J20="",J20="Not answered"),"Awaiting supplier response",IF(J20="Not applicable","Supplier states not applicable - analyst to confirm",IF(L20="","Evidence insufficient - none referenced",IF(M20=0,"Evidence insufficient - referenced ID not found",IF(SUMPRODUCT(ISNUMBER(SEARCH(","&amp;EV_ID&amp;",",","&amp;SUBSTITUTE(L20," ","")&amp;","))*(EV_ID&lt;&gt;"")*(EV_SUFF="Sufficient"))&gt;0,"Evidence reviewed - sufficient",IF(SUMPRODUCT(ISNUMBER(SEARCH(","&amp;EV_ID&amp;",",","&amp;SUBSTITUTE(L20," ","")&amp;","))*(EV_ID&lt;&gt;"")*(EV_SUFF="Partially sufficient"))&gt;0,"Evidence partially sufficient","Evidence insufficient - referenced evidence not sufficient"))))))))</f>
        <v>Evidence reviewed - sufficient</v>
      </c>
      <c r="O20" s="50" t="s">
        <v>359</v>
      </c>
      <c r="P20" s="34" t="s">
        <v>1217</v>
      </c>
      <c r="Q20" s="34" t="s">
        <v>1218</v>
      </c>
      <c r="R20" s="50" t="s">
        <v>1192</v>
      </c>
      <c r="S20" s="51" t="n">
        <v>46371</v>
      </c>
      <c r="T20" s="51" t="n">
        <v>46300</v>
      </c>
      <c r="U20" s="52" t="str">
        <f aca="false">IF(OR(A20="",Q20=""),"",IF(AND(ISNUMBER(S20),S20&lt;AsOf,O20&lt;&gt;"Reviewed"),"Overdue",""))</f>
        <v/>
      </c>
      <c r="V20" s="54" t="str">
        <f aca="false">IF(A20="","",IF(COUNTIF(QA_ID,A20)&gt;1,"CHECK: duplicate ID",IF(B20="","CHECK: Supplier ID missing",IF(COUNTIF(INV_ID,B20)=0,"CHECK: Supplier ID not in inventory",IF(E20="","CHECK: Question ID missing",IF(COUNTIF(QB_ID,E20)=0,"CHECK: Question ID not in bank","OK"))))))</f>
        <v>OK</v>
      </c>
    </row>
    <row r="21" customFormat="false" ht="35.05" hidden="false" customHeight="false" outlineLevel="0" collapsed="false">
      <c r="A21" s="50" t="s">
        <v>1219</v>
      </c>
      <c r="B21" s="50" t="s">
        <v>506</v>
      </c>
      <c r="C21" s="59" t="str">
        <f aca="false">IF(B21="","",IFERROR(INDEX(INV_NAME,MATCH(B21,INV_ID,0)),"CHECK: Supplier ID not found"))</f>
        <v>Cleanwell Facilities Ltd</v>
      </c>
      <c r="D21" s="63" t="str">
        <f aca="false">IF(B21="","",IFERROR(INDEX(INV_TIER,MATCH(B21,INV_ID,0)),""))</f>
        <v>Medium</v>
      </c>
      <c r="E21" s="50" t="s">
        <v>756</v>
      </c>
      <c r="F21" s="59" t="str">
        <f aca="false">IF(E21="","",IFERROR(INDEX(QB_Q,MATCH(E21,QB_ID,0)),"CHECK: Question ID not found"))</f>
        <v>Does the supplier screen staff with access to our data or systems before employment, in proportion to their role?</v>
      </c>
      <c r="G21" s="59" t="str">
        <f aca="false">IF(E21="","",IFERROR(INDEX(QB_DOMAIN,MATCH(E21,QB_ID,0)),""))</f>
        <v>Governance and policy</v>
      </c>
      <c r="H21" s="54" t="str">
        <f aca="false">IF(OR(A21="",E21=""),"",IFERROR(IF(ISNUMBER(MATCH(D21,{"Low","Medium","High"},0)),IF(MATCH(D21,{"Low","Medium","High"},0)&gt;=MATCH(INDEX(QB_MINTIER,MATCH(E21,QB_ID,0)),{"Low","Medium","High"},0),"Recommended for tier","Optional for tier"),"Tier not determined"),"Check question"))</f>
        <v>Recommended for tier</v>
      </c>
      <c r="I21" s="34" t="s">
        <v>248</v>
      </c>
      <c r="J21" s="50" t="s">
        <v>240</v>
      </c>
      <c r="K21" s="34" t="s">
        <v>1220</v>
      </c>
      <c r="L21" s="34" t="s">
        <v>1221</v>
      </c>
      <c r="M21" s="62" t="n">
        <f aca="false">IF(L21="","",SUMPRODUCT(ISNUMBER(SEARCH(","&amp;EV_ID&amp;",",","&amp;SUBSTITUTE(L21," ","")&amp;","))*(EV_ID&lt;&gt;"")))</f>
        <v>2</v>
      </c>
      <c r="N21" s="54" t="str">
        <f aca="false">IF(A21="","",IF(I21&lt;&gt;"Applicable",IF(I21="","Applicability not set","Not in scope ("&amp;I21&amp;")"),IF(OR(J21="",J21="Not answered"),"Awaiting supplier response",IF(J21="Not applicable","Supplier states not applicable - analyst to confirm",IF(L21="","Evidence insufficient - none referenced",IF(M21=0,"Evidence insufficient - referenced ID not found",IF(SUMPRODUCT(ISNUMBER(SEARCH(","&amp;EV_ID&amp;",",","&amp;SUBSTITUTE(L21," ","")&amp;","))*(EV_ID&lt;&gt;"")*(EV_SUFF="Sufficient"))&gt;0,"Evidence reviewed - sufficient",IF(SUMPRODUCT(ISNUMBER(SEARCH(","&amp;EV_ID&amp;",",","&amp;SUBSTITUTE(L21," ","")&amp;","))*(EV_ID&lt;&gt;"")*(EV_SUFF="Partially sufficient"))&gt;0,"Evidence partially sufficient","Evidence insufficient - referenced evidence not sufficient"))))))))</f>
        <v>Evidence partially sufficient</v>
      </c>
      <c r="O21" s="50" t="s">
        <v>359</v>
      </c>
      <c r="P21" s="34" t="s">
        <v>1222</v>
      </c>
      <c r="Q21" s="34" t="s">
        <v>1223</v>
      </c>
      <c r="R21" s="50" t="s">
        <v>1224</v>
      </c>
      <c r="S21" s="51" t="n">
        <v>46356</v>
      </c>
      <c r="T21" s="51" t="n">
        <v>46266</v>
      </c>
      <c r="U21" s="52" t="str">
        <f aca="false">IF(OR(A21="",Q21=""),"",IF(AND(ISNUMBER(S21),S21&lt;AsOf,O21&lt;&gt;"Reviewed"),"Overdue",""))</f>
        <v/>
      </c>
      <c r="V21" s="54" t="str">
        <f aca="false">IF(A21="","",IF(COUNTIF(QA_ID,A21)&gt;1,"CHECK: duplicate ID",IF(B21="","CHECK: Supplier ID missing",IF(COUNTIF(INV_ID,B21)=0,"CHECK: Supplier ID not in inventory",IF(E21="","CHECK: Question ID missing",IF(COUNTIF(QB_ID,E21)=0,"CHECK: Question ID not in bank","OK"))))))</f>
        <v>OK</v>
      </c>
    </row>
    <row r="22" customFormat="false" ht="35.05" hidden="false" customHeight="false" outlineLevel="0" collapsed="false">
      <c r="A22" s="50" t="s">
        <v>1225</v>
      </c>
      <c r="B22" s="50" t="s">
        <v>515</v>
      </c>
      <c r="C22" s="59" t="str">
        <f aca="false">IF(B22="","",IFERROR(INDEX(INV_NAME,MATCH(B22,INV_ID,0)),"CHECK: Supplier ID not found"))</f>
        <v>Datavault Backup Services Ltd</v>
      </c>
      <c r="D22" s="63" t="str">
        <f aca="false">IF(B22="","",IFERROR(INDEX(INV_TIER,MATCH(B22,INV_ID,0)),""))</f>
        <v>High</v>
      </c>
      <c r="E22" s="50" t="s">
        <v>1115</v>
      </c>
      <c r="F22" s="59" t="str">
        <f aca="false">IF(E22="","",IFERROR(INDEX(QB_Q,MATCH(E22,QB_ID,0)),"CHECK: Question ID not found"))</f>
        <v>Will the supplier securely delete our data after return and provide written confirmation, including from backups?</v>
      </c>
      <c r="G22" s="59" t="str">
        <f aca="false">IF(E22="","",IFERROR(INDEX(QB_DOMAIN,MATCH(E22,QB_ID,0)),""))</f>
        <v>Exit and data retention</v>
      </c>
      <c r="H22" s="54" t="str">
        <f aca="false">IF(OR(A22="",E22=""),"",IFERROR(IF(ISNUMBER(MATCH(D22,{"Low","Medium","High"},0)),IF(MATCH(D22,{"Low","Medium","High"},0)&gt;=MATCH(INDEX(QB_MINTIER,MATCH(E22,QB_ID,0)),{"Low","Medium","High"},0),"Recommended for tier","Optional for tier"),"Tier not determined"),"Check question"))</f>
        <v>Recommended for tier</v>
      </c>
      <c r="I22" s="34" t="s">
        <v>248</v>
      </c>
      <c r="J22" s="50" t="s">
        <v>240</v>
      </c>
      <c r="K22" s="34" t="s">
        <v>1226</v>
      </c>
      <c r="L22" s="34" t="s">
        <v>1227</v>
      </c>
      <c r="M22" s="62" t="n">
        <f aca="false">IF(L22="","",SUMPRODUCT(ISNUMBER(SEARCH(","&amp;EV_ID&amp;",",","&amp;SUBSTITUTE(L22," ","")&amp;","))*(EV_ID&lt;&gt;"")))</f>
        <v>1</v>
      </c>
      <c r="N22" s="54" t="str">
        <f aca="false">IF(A22="","",IF(I22&lt;&gt;"Applicable",IF(I22="","Applicability not set","Not in scope ("&amp;I22&amp;")"),IF(OR(J22="",J22="Not answered"),"Awaiting supplier response",IF(J22="Not applicable","Supplier states not applicable - analyst to confirm",IF(L22="","Evidence insufficient - none referenced",IF(M22=0,"Evidence insufficient - referenced ID not found",IF(SUMPRODUCT(ISNUMBER(SEARCH(","&amp;EV_ID&amp;",",","&amp;SUBSTITUTE(L22," ","")&amp;","))*(EV_ID&lt;&gt;"")*(EV_SUFF="Sufficient"))&gt;0,"Evidence reviewed - sufficient",IF(SUMPRODUCT(ISNUMBER(SEARCH(","&amp;EV_ID&amp;",",","&amp;SUBSTITUTE(L22," ","")&amp;","))*(EV_ID&lt;&gt;"")*(EV_SUFF="Partially sufficient"))&gt;0,"Evidence partially sufficient","Evidence insufficient - referenced evidence not sufficient"))))))))</f>
        <v>Evidence insufficient - referenced evidence not sufficient</v>
      </c>
      <c r="O22" s="50" t="s">
        <v>359</v>
      </c>
      <c r="P22" s="34" t="s">
        <v>1228</v>
      </c>
      <c r="Q22" s="34" t="s">
        <v>1229</v>
      </c>
      <c r="R22" s="50" t="s">
        <v>1230</v>
      </c>
      <c r="S22" s="51" t="n">
        <v>46371</v>
      </c>
      <c r="T22" s="51" t="n">
        <v>46300</v>
      </c>
      <c r="U22" s="52" t="str">
        <f aca="false">IF(OR(A22="",Q22=""),"",IF(AND(ISNUMBER(S22),S22&lt;AsOf,O22&lt;&gt;"Reviewed"),"Overdue",""))</f>
        <v/>
      </c>
      <c r="V22" s="54" t="str">
        <f aca="false">IF(A22="","",IF(COUNTIF(QA_ID,A22)&gt;1,"CHECK: duplicate ID",IF(B22="","CHECK: Supplier ID missing",IF(COUNTIF(INV_ID,B22)=0,"CHECK: Supplier ID not in inventory",IF(E22="","CHECK: Question ID missing",IF(COUNTIF(QB_ID,E22)=0,"CHECK: Question ID not in bank","OK"))))))</f>
        <v>OK</v>
      </c>
    </row>
    <row r="23" customFormat="false" ht="15" hidden="false" customHeight="false" outlineLevel="0" collapsed="false">
      <c r="A23" s="50"/>
      <c r="B23" s="50"/>
      <c r="C23" s="59" t="str">
        <f aca="false">IF(B23="","",IFERROR(INDEX(INV_NAME,MATCH(B23,INV_ID,0)),"CHECK: Supplier ID not found"))</f>
        <v/>
      </c>
      <c r="D23" s="63" t="str">
        <f aca="false">IF(B23="","",IFERROR(INDEX(INV_TIER,MATCH(B23,INV_ID,0)),""))</f>
        <v/>
      </c>
      <c r="E23" s="50"/>
      <c r="F23" s="59" t="str">
        <f aca="false">IF(E23="","",IFERROR(INDEX(QB_Q,MATCH(E23,QB_ID,0)),"CHECK: Question ID not found"))</f>
        <v/>
      </c>
      <c r="G23" s="59" t="str">
        <f aca="false">IF(E23="","",IFERROR(INDEX(QB_DOMAIN,MATCH(E23,QB_ID,0)),""))</f>
        <v/>
      </c>
      <c r="H23" s="54" t="str">
        <f aca="false">IF(OR(A23="",E23=""),"",IFERROR(IF(ISNUMBER(MATCH(D23,{"Low","Medium","High"},0)),IF(MATCH(D23,{"Low","Medium","High"},0)&gt;=MATCH(INDEX(QB_MINTIER,MATCH(E23,QB_ID,0)),{"Low","Medium","High"},0),"Recommended for tier","Optional for tier"),"Tier not determined"),"Check question"))</f>
        <v/>
      </c>
      <c r="I23" s="34"/>
      <c r="J23" s="50"/>
      <c r="K23" s="34"/>
      <c r="L23" s="34"/>
      <c r="M23" s="62" t="str">
        <f aca="false">IF(L23="","",SUMPRODUCT(ISNUMBER(SEARCH(","&amp;EV_ID&amp;",",","&amp;SUBSTITUTE(L23," ","")&amp;","))*(EV_ID&lt;&gt;"")))</f>
        <v/>
      </c>
      <c r="N23" s="54" t="str">
        <f aca="false">IF(A23="","",IF(I23&lt;&gt;"Applicable",IF(I23="","Applicability not set","Not in scope ("&amp;I23&amp;")"),IF(OR(J23="",J23="Not answered"),"Awaiting supplier response",IF(J23="Not applicable","Supplier states not applicable - analyst to confirm",IF(L23="","Evidence insufficient - none referenced",IF(M23=0,"Evidence insufficient - referenced ID not found",IF(SUMPRODUCT(ISNUMBER(SEARCH(","&amp;EV_ID&amp;",",","&amp;SUBSTITUTE(L23," ","")&amp;","))*(EV_ID&lt;&gt;"")*(EV_SUFF="Sufficient"))&gt;0,"Evidence reviewed - sufficient",IF(SUMPRODUCT(ISNUMBER(SEARCH(","&amp;EV_ID&amp;",",","&amp;SUBSTITUTE(L23," ","")&amp;","))*(EV_ID&lt;&gt;"")*(EV_SUFF="Partially sufficient"))&gt;0,"Evidence partially sufficient","Evidence insufficient - referenced evidence not sufficient"))))))))</f>
        <v/>
      </c>
      <c r="O23" s="50"/>
      <c r="P23" s="34"/>
      <c r="Q23" s="34"/>
      <c r="R23" s="50"/>
      <c r="S23" s="51"/>
      <c r="T23" s="51"/>
      <c r="U23" s="52" t="str">
        <f aca="false">IF(OR(A23="",Q23=""),"",IF(AND(ISNUMBER(S23),S23&lt;AsOf,O23&lt;&gt;"Reviewed"),"Overdue",""))</f>
        <v/>
      </c>
      <c r="V23" s="54" t="str">
        <f aca="false">IF(A23="","",IF(COUNTIF(QA_ID,A23)&gt;1,"CHECK: duplicate ID",IF(B23="","CHECK: Supplier ID missing",IF(COUNTIF(INV_ID,B23)=0,"CHECK: Supplier ID not in inventory",IF(E23="","CHECK: Question ID missing",IF(COUNTIF(QB_ID,E23)=0,"CHECK: Question ID not in bank","OK"))))))</f>
        <v/>
      </c>
    </row>
    <row r="24" customFormat="false" ht="15" hidden="false" customHeight="false" outlineLevel="0" collapsed="false">
      <c r="A24" s="50"/>
      <c r="B24" s="50"/>
      <c r="C24" s="59" t="str">
        <f aca="false">IF(B24="","",IFERROR(INDEX(INV_NAME,MATCH(B24,INV_ID,0)),"CHECK: Supplier ID not found"))</f>
        <v/>
      </c>
      <c r="D24" s="63" t="str">
        <f aca="false">IF(B24="","",IFERROR(INDEX(INV_TIER,MATCH(B24,INV_ID,0)),""))</f>
        <v/>
      </c>
      <c r="E24" s="50"/>
      <c r="F24" s="59" t="str">
        <f aca="false">IF(E24="","",IFERROR(INDEX(QB_Q,MATCH(E24,QB_ID,0)),"CHECK: Question ID not found"))</f>
        <v/>
      </c>
      <c r="G24" s="59" t="str">
        <f aca="false">IF(E24="","",IFERROR(INDEX(QB_DOMAIN,MATCH(E24,QB_ID,0)),""))</f>
        <v/>
      </c>
      <c r="H24" s="54" t="str">
        <f aca="false">IF(OR(A24="",E24=""),"",IFERROR(IF(ISNUMBER(MATCH(D24,{"Low","Medium","High"},0)),IF(MATCH(D24,{"Low","Medium","High"},0)&gt;=MATCH(INDEX(QB_MINTIER,MATCH(E24,QB_ID,0)),{"Low","Medium","High"},0),"Recommended for tier","Optional for tier"),"Tier not determined"),"Check question"))</f>
        <v/>
      </c>
      <c r="I24" s="34"/>
      <c r="J24" s="50"/>
      <c r="K24" s="34"/>
      <c r="L24" s="34"/>
      <c r="M24" s="62" t="str">
        <f aca="false">IF(L24="","",SUMPRODUCT(ISNUMBER(SEARCH(","&amp;EV_ID&amp;",",","&amp;SUBSTITUTE(L24," ","")&amp;","))*(EV_ID&lt;&gt;"")))</f>
        <v/>
      </c>
      <c r="N24" s="54" t="str">
        <f aca="false">IF(A24="","",IF(I24&lt;&gt;"Applicable",IF(I24="","Applicability not set","Not in scope ("&amp;I24&amp;")"),IF(OR(J24="",J24="Not answered"),"Awaiting supplier response",IF(J24="Not applicable","Supplier states not applicable - analyst to confirm",IF(L24="","Evidence insufficient - none referenced",IF(M24=0,"Evidence insufficient - referenced ID not found",IF(SUMPRODUCT(ISNUMBER(SEARCH(","&amp;EV_ID&amp;",",","&amp;SUBSTITUTE(L24," ","")&amp;","))*(EV_ID&lt;&gt;"")*(EV_SUFF="Sufficient"))&gt;0,"Evidence reviewed - sufficient",IF(SUMPRODUCT(ISNUMBER(SEARCH(","&amp;EV_ID&amp;",",","&amp;SUBSTITUTE(L24," ","")&amp;","))*(EV_ID&lt;&gt;"")*(EV_SUFF="Partially sufficient"))&gt;0,"Evidence partially sufficient","Evidence insufficient - referenced evidence not sufficient"))))))))</f>
        <v/>
      </c>
      <c r="O24" s="50"/>
      <c r="P24" s="34"/>
      <c r="Q24" s="34"/>
      <c r="R24" s="50"/>
      <c r="S24" s="51"/>
      <c r="T24" s="51"/>
      <c r="U24" s="52" t="str">
        <f aca="false">IF(OR(A24="",Q24=""),"",IF(AND(ISNUMBER(S24),S24&lt;AsOf,O24&lt;&gt;"Reviewed"),"Overdue",""))</f>
        <v/>
      </c>
      <c r="V24" s="54" t="str">
        <f aca="false">IF(A24="","",IF(COUNTIF(QA_ID,A24)&gt;1,"CHECK: duplicate ID",IF(B24="","CHECK: Supplier ID missing",IF(COUNTIF(INV_ID,B24)=0,"CHECK: Supplier ID not in inventory",IF(E24="","CHECK: Question ID missing",IF(COUNTIF(QB_ID,E24)=0,"CHECK: Question ID not in bank","OK"))))))</f>
        <v/>
      </c>
    </row>
    <row r="25" customFormat="false" ht="15" hidden="false" customHeight="false" outlineLevel="0" collapsed="false">
      <c r="A25" s="50"/>
      <c r="B25" s="50"/>
      <c r="C25" s="59" t="str">
        <f aca="false">IF(B25="","",IFERROR(INDEX(INV_NAME,MATCH(B25,INV_ID,0)),"CHECK: Supplier ID not found"))</f>
        <v/>
      </c>
      <c r="D25" s="63" t="str">
        <f aca="false">IF(B25="","",IFERROR(INDEX(INV_TIER,MATCH(B25,INV_ID,0)),""))</f>
        <v/>
      </c>
      <c r="E25" s="50"/>
      <c r="F25" s="59" t="str">
        <f aca="false">IF(E25="","",IFERROR(INDEX(QB_Q,MATCH(E25,QB_ID,0)),"CHECK: Question ID not found"))</f>
        <v/>
      </c>
      <c r="G25" s="59" t="str">
        <f aca="false">IF(E25="","",IFERROR(INDEX(QB_DOMAIN,MATCH(E25,QB_ID,0)),""))</f>
        <v/>
      </c>
      <c r="H25" s="54" t="str">
        <f aca="false">IF(OR(A25="",E25=""),"",IFERROR(IF(ISNUMBER(MATCH(D25,{"Low","Medium","High"},0)),IF(MATCH(D25,{"Low","Medium","High"},0)&gt;=MATCH(INDEX(QB_MINTIER,MATCH(E25,QB_ID,0)),{"Low","Medium","High"},0),"Recommended for tier","Optional for tier"),"Tier not determined"),"Check question"))</f>
        <v/>
      </c>
      <c r="I25" s="34"/>
      <c r="J25" s="50"/>
      <c r="K25" s="34"/>
      <c r="L25" s="34"/>
      <c r="M25" s="62" t="str">
        <f aca="false">IF(L25="","",SUMPRODUCT(ISNUMBER(SEARCH(","&amp;EV_ID&amp;",",","&amp;SUBSTITUTE(L25," ","")&amp;","))*(EV_ID&lt;&gt;"")))</f>
        <v/>
      </c>
      <c r="N25" s="54" t="str">
        <f aca="false">IF(A25="","",IF(I25&lt;&gt;"Applicable",IF(I25="","Applicability not set","Not in scope ("&amp;I25&amp;")"),IF(OR(J25="",J25="Not answered"),"Awaiting supplier response",IF(J25="Not applicable","Supplier states not applicable - analyst to confirm",IF(L25="","Evidence insufficient - none referenced",IF(M25=0,"Evidence insufficient - referenced ID not found",IF(SUMPRODUCT(ISNUMBER(SEARCH(","&amp;EV_ID&amp;",",","&amp;SUBSTITUTE(L25," ","")&amp;","))*(EV_ID&lt;&gt;"")*(EV_SUFF="Sufficient"))&gt;0,"Evidence reviewed - sufficient",IF(SUMPRODUCT(ISNUMBER(SEARCH(","&amp;EV_ID&amp;",",","&amp;SUBSTITUTE(L25," ","")&amp;","))*(EV_ID&lt;&gt;"")*(EV_SUFF="Partially sufficient"))&gt;0,"Evidence partially sufficient","Evidence insufficient - referenced evidence not sufficient"))))))))</f>
        <v/>
      </c>
      <c r="O25" s="50"/>
      <c r="P25" s="34"/>
      <c r="Q25" s="34"/>
      <c r="R25" s="50"/>
      <c r="S25" s="51"/>
      <c r="T25" s="51"/>
      <c r="U25" s="52" t="str">
        <f aca="false">IF(OR(A25="",Q25=""),"",IF(AND(ISNUMBER(S25),S25&lt;AsOf,O25&lt;&gt;"Reviewed"),"Overdue",""))</f>
        <v/>
      </c>
      <c r="V25" s="54" t="str">
        <f aca="false">IF(A25="","",IF(COUNTIF(QA_ID,A25)&gt;1,"CHECK: duplicate ID",IF(B25="","CHECK: Supplier ID missing",IF(COUNTIF(INV_ID,B25)=0,"CHECK: Supplier ID not in inventory",IF(E25="","CHECK: Question ID missing",IF(COUNTIF(QB_ID,E25)=0,"CHECK: Question ID not in bank","OK"))))))</f>
        <v/>
      </c>
    </row>
    <row r="26" customFormat="false" ht="15" hidden="false" customHeight="false" outlineLevel="0" collapsed="false">
      <c r="A26" s="50"/>
      <c r="B26" s="50"/>
      <c r="C26" s="59" t="str">
        <f aca="false">IF(B26="","",IFERROR(INDEX(INV_NAME,MATCH(B26,INV_ID,0)),"CHECK: Supplier ID not found"))</f>
        <v/>
      </c>
      <c r="D26" s="63" t="str">
        <f aca="false">IF(B26="","",IFERROR(INDEX(INV_TIER,MATCH(B26,INV_ID,0)),""))</f>
        <v/>
      </c>
      <c r="E26" s="50"/>
      <c r="F26" s="59" t="str">
        <f aca="false">IF(E26="","",IFERROR(INDEX(QB_Q,MATCH(E26,QB_ID,0)),"CHECK: Question ID not found"))</f>
        <v/>
      </c>
      <c r="G26" s="59" t="str">
        <f aca="false">IF(E26="","",IFERROR(INDEX(QB_DOMAIN,MATCH(E26,QB_ID,0)),""))</f>
        <v/>
      </c>
      <c r="H26" s="54" t="str">
        <f aca="false">IF(OR(A26="",E26=""),"",IFERROR(IF(ISNUMBER(MATCH(D26,{"Low","Medium","High"},0)),IF(MATCH(D26,{"Low","Medium","High"},0)&gt;=MATCH(INDEX(QB_MINTIER,MATCH(E26,QB_ID,0)),{"Low","Medium","High"},0),"Recommended for tier","Optional for tier"),"Tier not determined"),"Check question"))</f>
        <v/>
      </c>
      <c r="I26" s="34"/>
      <c r="J26" s="50"/>
      <c r="K26" s="34"/>
      <c r="L26" s="34"/>
      <c r="M26" s="62" t="str">
        <f aca="false">IF(L26="","",SUMPRODUCT(ISNUMBER(SEARCH(","&amp;EV_ID&amp;",",","&amp;SUBSTITUTE(L26," ","")&amp;","))*(EV_ID&lt;&gt;"")))</f>
        <v/>
      </c>
      <c r="N26" s="54" t="str">
        <f aca="false">IF(A26="","",IF(I26&lt;&gt;"Applicable",IF(I26="","Applicability not set","Not in scope ("&amp;I26&amp;")"),IF(OR(J26="",J26="Not answered"),"Awaiting supplier response",IF(J26="Not applicable","Supplier states not applicable - analyst to confirm",IF(L26="","Evidence insufficient - none referenced",IF(M26=0,"Evidence insufficient - referenced ID not found",IF(SUMPRODUCT(ISNUMBER(SEARCH(","&amp;EV_ID&amp;",",","&amp;SUBSTITUTE(L26," ","")&amp;","))*(EV_ID&lt;&gt;"")*(EV_SUFF="Sufficient"))&gt;0,"Evidence reviewed - sufficient",IF(SUMPRODUCT(ISNUMBER(SEARCH(","&amp;EV_ID&amp;",",","&amp;SUBSTITUTE(L26," ","")&amp;","))*(EV_ID&lt;&gt;"")*(EV_SUFF="Partially sufficient"))&gt;0,"Evidence partially sufficient","Evidence insufficient - referenced evidence not sufficient"))))))))</f>
        <v/>
      </c>
      <c r="O26" s="50"/>
      <c r="P26" s="34"/>
      <c r="Q26" s="34"/>
      <c r="R26" s="50"/>
      <c r="S26" s="51"/>
      <c r="T26" s="51"/>
      <c r="U26" s="52" t="str">
        <f aca="false">IF(OR(A26="",Q26=""),"",IF(AND(ISNUMBER(S26),S26&lt;AsOf,O26&lt;&gt;"Reviewed"),"Overdue",""))</f>
        <v/>
      </c>
      <c r="V26" s="54" t="str">
        <f aca="false">IF(A26="","",IF(COUNTIF(QA_ID,A26)&gt;1,"CHECK: duplicate ID",IF(B26="","CHECK: Supplier ID missing",IF(COUNTIF(INV_ID,B26)=0,"CHECK: Supplier ID not in inventory",IF(E26="","CHECK: Question ID missing",IF(COUNTIF(QB_ID,E26)=0,"CHECK: Question ID not in bank","OK"))))))</f>
        <v/>
      </c>
    </row>
    <row r="27" customFormat="false" ht="15" hidden="false" customHeight="false" outlineLevel="0" collapsed="false">
      <c r="A27" s="50"/>
      <c r="B27" s="50"/>
      <c r="C27" s="59" t="str">
        <f aca="false">IF(B27="","",IFERROR(INDEX(INV_NAME,MATCH(B27,INV_ID,0)),"CHECK: Supplier ID not found"))</f>
        <v/>
      </c>
      <c r="D27" s="63" t="str">
        <f aca="false">IF(B27="","",IFERROR(INDEX(INV_TIER,MATCH(B27,INV_ID,0)),""))</f>
        <v/>
      </c>
      <c r="E27" s="50"/>
      <c r="F27" s="59" t="str">
        <f aca="false">IF(E27="","",IFERROR(INDEX(QB_Q,MATCH(E27,QB_ID,0)),"CHECK: Question ID not found"))</f>
        <v/>
      </c>
      <c r="G27" s="59" t="str">
        <f aca="false">IF(E27="","",IFERROR(INDEX(QB_DOMAIN,MATCH(E27,QB_ID,0)),""))</f>
        <v/>
      </c>
      <c r="H27" s="54" t="str">
        <f aca="false">IF(OR(A27="",E27=""),"",IFERROR(IF(ISNUMBER(MATCH(D27,{"Low","Medium","High"},0)),IF(MATCH(D27,{"Low","Medium","High"},0)&gt;=MATCH(INDEX(QB_MINTIER,MATCH(E27,QB_ID,0)),{"Low","Medium","High"},0),"Recommended for tier","Optional for tier"),"Tier not determined"),"Check question"))</f>
        <v/>
      </c>
      <c r="I27" s="34"/>
      <c r="J27" s="50"/>
      <c r="K27" s="34"/>
      <c r="L27" s="34"/>
      <c r="M27" s="62" t="str">
        <f aca="false">IF(L27="","",SUMPRODUCT(ISNUMBER(SEARCH(","&amp;EV_ID&amp;",",","&amp;SUBSTITUTE(L27," ","")&amp;","))*(EV_ID&lt;&gt;"")))</f>
        <v/>
      </c>
      <c r="N27" s="54" t="str">
        <f aca="false">IF(A27="","",IF(I27&lt;&gt;"Applicable",IF(I27="","Applicability not set","Not in scope ("&amp;I27&amp;")"),IF(OR(J27="",J27="Not answered"),"Awaiting supplier response",IF(J27="Not applicable","Supplier states not applicable - analyst to confirm",IF(L27="","Evidence insufficient - none referenced",IF(M27=0,"Evidence insufficient - referenced ID not found",IF(SUMPRODUCT(ISNUMBER(SEARCH(","&amp;EV_ID&amp;",",","&amp;SUBSTITUTE(L27," ","")&amp;","))*(EV_ID&lt;&gt;"")*(EV_SUFF="Sufficient"))&gt;0,"Evidence reviewed - sufficient",IF(SUMPRODUCT(ISNUMBER(SEARCH(","&amp;EV_ID&amp;",",","&amp;SUBSTITUTE(L27," ","")&amp;","))*(EV_ID&lt;&gt;"")*(EV_SUFF="Partially sufficient"))&gt;0,"Evidence partially sufficient","Evidence insufficient - referenced evidence not sufficient"))))))))</f>
        <v/>
      </c>
      <c r="O27" s="50"/>
      <c r="P27" s="34"/>
      <c r="Q27" s="34"/>
      <c r="R27" s="50"/>
      <c r="S27" s="51"/>
      <c r="T27" s="51"/>
      <c r="U27" s="52" t="str">
        <f aca="false">IF(OR(A27="",Q27=""),"",IF(AND(ISNUMBER(S27),S27&lt;AsOf,O27&lt;&gt;"Reviewed"),"Overdue",""))</f>
        <v/>
      </c>
      <c r="V27" s="54" t="str">
        <f aca="false">IF(A27="","",IF(COUNTIF(QA_ID,A27)&gt;1,"CHECK: duplicate ID",IF(B27="","CHECK: Supplier ID missing",IF(COUNTIF(INV_ID,B27)=0,"CHECK: Supplier ID not in inventory",IF(E27="","CHECK: Question ID missing",IF(COUNTIF(QB_ID,E27)=0,"CHECK: Question ID not in bank","OK"))))))</f>
        <v/>
      </c>
    </row>
    <row r="28" customFormat="false" ht="15" hidden="false" customHeight="false" outlineLevel="0" collapsed="false">
      <c r="A28" s="50"/>
      <c r="B28" s="50"/>
      <c r="C28" s="59" t="str">
        <f aca="false">IF(B28="","",IFERROR(INDEX(INV_NAME,MATCH(B28,INV_ID,0)),"CHECK: Supplier ID not found"))</f>
        <v/>
      </c>
      <c r="D28" s="63" t="str">
        <f aca="false">IF(B28="","",IFERROR(INDEX(INV_TIER,MATCH(B28,INV_ID,0)),""))</f>
        <v/>
      </c>
      <c r="E28" s="50"/>
      <c r="F28" s="59" t="str">
        <f aca="false">IF(E28="","",IFERROR(INDEX(QB_Q,MATCH(E28,QB_ID,0)),"CHECK: Question ID not found"))</f>
        <v/>
      </c>
      <c r="G28" s="59" t="str">
        <f aca="false">IF(E28="","",IFERROR(INDEX(QB_DOMAIN,MATCH(E28,QB_ID,0)),""))</f>
        <v/>
      </c>
      <c r="H28" s="54" t="str">
        <f aca="false">IF(OR(A28="",E28=""),"",IFERROR(IF(ISNUMBER(MATCH(D28,{"Low","Medium","High"},0)),IF(MATCH(D28,{"Low","Medium","High"},0)&gt;=MATCH(INDEX(QB_MINTIER,MATCH(E28,QB_ID,0)),{"Low","Medium","High"},0),"Recommended for tier","Optional for tier"),"Tier not determined"),"Check question"))</f>
        <v/>
      </c>
      <c r="I28" s="34"/>
      <c r="J28" s="50"/>
      <c r="K28" s="34"/>
      <c r="L28" s="34"/>
      <c r="M28" s="62" t="str">
        <f aca="false">IF(L28="","",SUMPRODUCT(ISNUMBER(SEARCH(","&amp;EV_ID&amp;",",","&amp;SUBSTITUTE(L28," ","")&amp;","))*(EV_ID&lt;&gt;"")))</f>
        <v/>
      </c>
      <c r="N28" s="54" t="str">
        <f aca="false">IF(A28="","",IF(I28&lt;&gt;"Applicable",IF(I28="","Applicability not set","Not in scope ("&amp;I28&amp;")"),IF(OR(J28="",J28="Not answered"),"Awaiting supplier response",IF(J28="Not applicable","Supplier states not applicable - analyst to confirm",IF(L28="","Evidence insufficient - none referenced",IF(M28=0,"Evidence insufficient - referenced ID not found",IF(SUMPRODUCT(ISNUMBER(SEARCH(","&amp;EV_ID&amp;",",","&amp;SUBSTITUTE(L28," ","")&amp;","))*(EV_ID&lt;&gt;"")*(EV_SUFF="Sufficient"))&gt;0,"Evidence reviewed - sufficient",IF(SUMPRODUCT(ISNUMBER(SEARCH(","&amp;EV_ID&amp;",",","&amp;SUBSTITUTE(L28," ","")&amp;","))*(EV_ID&lt;&gt;"")*(EV_SUFF="Partially sufficient"))&gt;0,"Evidence partially sufficient","Evidence insufficient - referenced evidence not sufficient"))))))))</f>
        <v/>
      </c>
      <c r="O28" s="50"/>
      <c r="P28" s="34"/>
      <c r="Q28" s="34"/>
      <c r="R28" s="50"/>
      <c r="S28" s="51"/>
      <c r="T28" s="51"/>
      <c r="U28" s="52" t="str">
        <f aca="false">IF(OR(A28="",Q28=""),"",IF(AND(ISNUMBER(S28),S28&lt;AsOf,O28&lt;&gt;"Reviewed"),"Overdue",""))</f>
        <v/>
      </c>
      <c r="V28" s="54" t="str">
        <f aca="false">IF(A28="","",IF(COUNTIF(QA_ID,A28)&gt;1,"CHECK: duplicate ID",IF(B28="","CHECK: Supplier ID missing",IF(COUNTIF(INV_ID,B28)=0,"CHECK: Supplier ID not in inventory",IF(E28="","CHECK: Question ID missing",IF(COUNTIF(QB_ID,E28)=0,"CHECK: Question ID not in bank","OK"))))))</f>
        <v/>
      </c>
    </row>
    <row r="29" customFormat="false" ht="15" hidden="false" customHeight="false" outlineLevel="0" collapsed="false">
      <c r="A29" s="50"/>
      <c r="B29" s="50"/>
      <c r="C29" s="59" t="str">
        <f aca="false">IF(B29="","",IFERROR(INDEX(INV_NAME,MATCH(B29,INV_ID,0)),"CHECK: Supplier ID not found"))</f>
        <v/>
      </c>
      <c r="D29" s="63" t="str">
        <f aca="false">IF(B29="","",IFERROR(INDEX(INV_TIER,MATCH(B29,INV_ID,0)),""))</f>
        <v/>
      </c>
      <c r="E29" s="50"/>
      <c r="F29" s="59" t="str">
        <f aca="false">IF(E29="","",IFERROR(INDEX(QB_Q,MATCH(E29,QB_ID,0)),"CHECK: Question ID not found"))</f>
        <v/>
      </c>
      <c r="G29" s="59" t="str">
        <f aca="false">IF(E29="","",IFERROR(INDEX(QB_DOMAIN,MATCH(E29,QB_ID,0)),""))</f>
        <v/>
      </c>
      <c r="H29" s="54" t="str">
        <f aca="false">IF(OR(A29="",E29=""),"",IFERROR(IF(ISNUMBER(MATCH(D29,{"Low","Medium","High"},0)),IF(MATCH(D29,{"Low","Medium","High"},0)&gt;=MATCH(INDEX(QB_MINTIER,MATCH(E29,QB_ID,0)),{"Low","Medium","High"},0),"Recommended for tier","Optional for tier"),"Tier not determined"),"Check question"))</f>
        <v/>
      </c>
      <c r="I29" s="34"/>
      <c r="J29" s="50"/>
      <c r="K29" s="34"/>
      <c r="L29" s="34"/>
      <c r="M29" s="62" t="str">
        <f aca="false">IF(L29="","",SUMPRODUCT(ISNUMBER(SEARCH(","&amp;EV_ID&amp;",",","&amp;SUBSTITUTE(L29," ","")&amp;","))*(EV_ID&lt;&gt;"")))</f>
        <v/>
      </c>
      <c r="N29" s="54" t="str">
        <f aca="false">IF(A29="","",IF(I29&lt;&gt;"Applicable",IF(I29="","Applicability not set","Not in scope ("&amp;I29&amp;")"),IF(OR(J29="",J29="Not answered"),"Awaiting supplier response",IF(J29="Not applicable","Supplier states not applicable - analyst to confirm",IF(L29="","Evidence insufficient - none referenced",IF(M29=0,"Evidence insufficient - referenced ID not found",IF(SUMPRODUCT(ISNUMBER(SEARCH(","&amp;EV_ID&amp;",",","&amp;SUBSTITUTE(L29," ","")&amp;","))*(EV_ID&lt;&gt;"")*(EV_SUFF="Sufficient"))&gt;0,"Evidence reviewed - sufficient",IF(SUMPRODUCT(ISNUMBER(SEARCH(","&amp;EV_ID&amp;",",","&amp;SUBSTITUTE(L29," ","")&amp;","))*(EV_ID&lt;&gt;"")*(EV_SUFF="Partially sufficient"))&gt;0,"Evidence partially sufficient","Evidence insufficient - referenced evidence not sufficient"))))))))</f>
        <v/>
      </c>
      <c r="O29" s="50"/>
      <c r="P29" s="34"/>
      <c r="Q29" s="34"/>
      <c r="R29" s="50"/>
      <c r="S29" s="51"/>
      <c r="T29" s="51"/>
      <c r="U29" s="52" t="str">
        <f aca="false">IF(OR(A29="",Q29=""),"",IF(AND(ISNUMBER(S29),S29&lt;AsOf,O29&lt;&gt;"Reviewed"),"Overdue",""))</f>
        <v/>
      </c>
      <c r="V29" s="54" t="str">
        <f aca="false">IF(A29="","",IF(COUNTIF(QA_ID,A29)&gt;1,"CHECK: duplicate ID",IF(B29="","CHECK: Supplier ID missing",IF(COUNTIF(INV_ID,B29)=0,"CHECK: Supplier ID not in inventory",IF(E29="","CHECK: Question ID missing",IF(COUNTIF(QB_ID,E29)=0,"CHECK: Question ID not in bank","OK"))))))</f>
        <v/>
      </c>
    </row>
    <row r="30" customFormat="false" ht="15" hidden="false" customHeight="false" outlineLevel="0" collapsed="false">
      <c r="A30" s="50"/>
      <c r="B30" s="50"/>
      <c r="C30" s="59" t="str">
        <f aca="false">IF(B30="","",IFERROR(INDEX(INV_NAME,MATCH(B30,INV_ID,0)),"CHECK: Supplier ID not found"))</f>
        <v/>
      </c>
      <c r="D30" s="63" t="str">
        <f aca="false">IF(B30="","",IFERROR(INDEX(INV_TIER,MATCH(B30,INV_ID,0)),""))</f>
        <v/>
      </c>
      <c r="E30" s="50"/>
      <c r="F30" s="59" t="str">
        <f aca="false">IF(E30="","",IFERROR(INDEX(QB_Q,MATCH(E30,QB_ID,0)),"CHECK: Question ID not found"))</f>
        <v/>
      </c>
      <c r="G30" s="59" t="str">
        <f aca="false">IF(E30="","",IFERROR(INDEX(QB_DOMAIN,MATCH(E30,QB_ID,0)),""))</f>
        <v/>
      </c>
      <c r="H30" s="54" t="str">
        <f aca="false">IF(OR(A30="",E30=""),"",IFERROR(IF(ISNUMBER(MATCH(D30,{"Low","Medium","High"},0)),IF(MATCH(D30,{"Low","Medium","High"},0)&gt;=MATCH(INDEX(QB_MINTIER,MATCH(E30,QB_ID,0)),{"Low","Medium","High"},0),"Recommended for tier","Optional for tier"),"Tier not determined"),"Check question"))</f>
        <v/>
      </c>
      <c r="I30" s="34"/>
      <c r="J30" s="50"/>
      <c r="K30" s="34"/>
      <c r="L30" s="34"/>
      <c r="M30" s="62" t="str">
        <f aca="false">IF(L30="","",SUMPRODUCT(ISNUMBER(SEARCH(","&amp;EV_ID&amp;",",","&amp;SUBSTITUTE(L30," ","")&amp;","))*(EV_ID&lt;&gt;"")))</f>
        <v/>
      </c>
      <c r="N30" s="54" t="str">
        <f aca="false">IF(A30="","",IF(I30&lt;&gt;"Applicable",IF(I30="","Applicability not set","Not in scope ("&amp;I30&amp;")"),IF(OR(J30="",J30="Not answered"),"Awaiting supplier response",IF(J30="Not applicable","Supplier states not applicable - analyst to confirm",IF(L30="","Evidence insufficient - none referenced",IF(M30=0,"Evidence insufficient - referenced ID not found",IF(SUMPRODUCT(ISNUMBER(SEARCH(","&amp;EV_ID&amp;",",","&amp;SUBSTITUTE(L30," ","")&amp;","))*(EV_ID&lt;&gt;"")*(EV_SUFF="Sufficient"))&gt;0,"Evidence reviewed - sufficient",IF(SUMPRODUCT(ISNUMBER(SEARCH(","&amp;EV_ID&amp;",",","&amp;SUBSTITUTE(L30," ","")&amp;","))*(EV_ID&lt;&gt;"")*(EV_SUFF="Partially sufficient"))&gt;0,"Evidence partially sufficient","Evidence insufficient - referenced evidence not sufficient"))))))))</f>
        <v/>
      </c>
      <c r="O30" s="50"/>
      <c r="P30" s="34"/>
      <c r="Q30" s="34"/>
      <c r="R30" s="50"/>
      <c r="S30" s="51"/>
      <c r="T30" s="51"/>
      <c r="U30" s="52" t="str">
        <f aca="false">IF(OR(A30="",Q30=""),"",IF(AND(ISNUMBER(S30),S30&lt;AsOf,O30&lt;&gt;"Reviewed"),"Overdue",""))</f>
        <v/>
      </c>
      <c r="V30" s="54" t="str">
        <f aca="false">IF(A30="","",IF(COUNTIF(QA_ID,A30)&gt;1,"CHECK: duplicate ID",IF(B30="","CHECK: Supplier ID missing",IF(COUNTIF(INV_ID,B30)=0,"CHECK: Supplier ID not in inventory",IF(E30="","CHECK: Question ID missing",IF(COUNTIF(QB_ID,E30)=0,"CHECK: Question ID not in bank","OK"))))))</f>
        <v/>
      </c>
    </row>
    <row r="31" customFormat="false" ht="15" hidden="false" customHeight="false" outlineLevel="0" collapsed="false">
      <c r="A31" s="50"/>
      <c r="B31" s="50"/>
      <c r="C31" s="59" t="str">
        <f aca="false">IF(B31="","",IFERROR(INDEX(INV_NAME,MATCH(B31,INV_ID,0)),"CHECK: Supplier ID not found"))</f>
        <v/>
      </c>
      <c r="D31" s="63" t="str">
        <f aca="false">IF(B31="","",IFERROR(INDEX(INV_TIER,MATCH(B31,INV_ID,0)),""))</f>
        <v/>
      </c>
      <c r="E31" s="50"/>
      <c r="F31" s="59" t="str">
        <f aca="false">IF(E31="","",IFERROR(INDEX(QB_Q,MATCH(E31,QB_ID,0)),"CHECK: Question ID not found"))</f>
        <v/>
      </c>
      <c r="G31" s="59" t="str">
        <f aca="false">IF(E31="","",IFERROR(INDEX(QB_DOMAIN,MATCH(E31,QB_ID,0)),""))</f>
        <v/>
      </c>
      <c r="H31" s="54" t="str">
        <f aca="false">IF(OR(A31="",E31=""),"",IFERROR(IF(ISNUMBER(MATCH(D31,{"Low","Medium","High"},0)),IF(MATCH(D31,{"Low","Medium","High"},0)&gt;=MATCH(INDEX(QB_MINTIER,MATCH(E31,QB_ID,0)),{"Low","Medium","High"},0),"Recommended for tier","Optional for tier"),"Tier not determined"),"Check question"))</f>
        <v/>
      </c>
      <c r="I31" s="34"/>
      <c r="J31" s="50"/>
      <c r="K31" s="34"/>
      <c r="L31" s="34"/>
      <c r="M31" s="62" t="str">
        <f aca="false">IF(L31="","",SUMPRODUCT(ISNUMBER(SEARCH(","&amp;EV_ID&amp;",",","&amp;SUBSTITUTE(L31," ","")&amp;","))*(EV_ID&lt;&gt;"")))</f>
        <v/>
      </c>
      <c r="N31" s="54" t="str">
        <f aca="false">IF(A31="","",IF(I31&lt;&gt;"Applicable",IF(I31="","Applicability not set","Not in scope ("&amp;I31&amp;")"),IF(OR(J31="",J31="Not answered"),"Awaiting supplier response",IF(J31="Not applicable","Supplier states not applicable - analyst to confirm",IF(L31="","Evidence insufficient - none referenced",IF(M31=0,"Evidence insufficient - referenced ID not found",IF(SUMPRODUCT(ISNUMBER(SEARCH(","&amp;EV_ID&amp;",",","&amp;SUBSTITUTE(L31," ","")&amp;","))*(EV_ID&lt;&gt;"")*(EV_SUFF="Sufficient"))&gt;0,"Evidence reviewed - sufficient",IF(SUMPRODUCT(ISNUMBER(SEARCH(","&amp;EV_ID&amp;",",","&amp;SUBSTITUTE(L31," ","")&amp;","))*(EV_ID&lt;&gt;"")*(EV_SUFF="Partially sufficient"))&gt;0,"Evidence partially sufficient","Evidence insufficient - referenced evidence not sufficient"))))))))</f>
        <v/>
      </c>
      <c r="O31" s="50"/>
      <c r="P31" s="34"/>
      <c r="Q31" s="34"/>
      <c r="R31" s="50"/>
      <c r="S31" s="51"/>
      <c r="T31" s="51"/>
      <c r="U31" s="52" t="str">
        <f aca="false">IF(OR(A31="",Q31=""),"",IF(AND(ISNUMBER(S31),S31&lt;AsOf,O31&lt;&gt;"Reviewed"),"Overdue",""))</f>
        <v/>
      </c>
      <c r="V31" s="54" t="str">
        <f aca="false">IF(A31="","",IF(COUNTIF(QA_ID,A31)&gt;1,"CHECK: duplicate ID",IF(B31="","CHECK: Supplier ID missing",IF(COUNTIF(INV_ID,B31)=0,"CHECK: Supplier ID not in inventory",IF(E31="","CHECK: Question ID missing",IF(COUNTIF(QB_ID,E31)=0,"CHECK: Question ID not in bank","OK"))))))</f>
        <v/>
      </c>
    </row>
    <row r="32" customFormat="false" ht="15" hidden="false" customHeight="false" outlineLevel="0" collapsed="false">
      <c r="A32" s="50"/>
      <c r="B32" s="50"/>
      <c r="C32" s="59" t="str">
        <f aca="false">IF(B32="","",IFERROR(INDEX(INV_NAME,MATCH(B32,INV_ID,0)),"CHECK: Supplier ID not found"))</f>
        <v/>
      </c>
      <c r="D32" s="63" t="str">
        <f aca="false">IF(B32="","",IFERROR(INDEX(INV_TIER,MATCH(B32,INV_ID,0)),""))</f>
        <v/>
      </c>
      <c r="E32" s="50"/>
      <c r="F32" s="59" t="str">
        <f aca="false">IF(E32="","",IFERROR(INDEX(QB_Q,MATCH(E32,QB_ID,0)),"CHECK: Question ID not found"))</f>
        <v/>
      </c>
      <c r="G32" s="59" t="str">
        <f aca="false">IF(E32="","",IFERROR(INDEX(QB_DOMAIN,MATCH(E32,QB_ID,0)),""))</f>
        <v/>
      </c>
      <c r="H32" s="54" t="str">
        <f aca="false">IF(OR(A32="",E32=""),"",IFERROR(IF(ISNUMBER(MATCH(D32,{"Low","Medium","High"},0)),IF(MATCH(D32,{"Low","Medium","High"},0)&gt;=MATCH(INDEX(QB_MINTIER,MATCH(E32,QB_ID,0)),{"Low","Medium","High"},0),"Recommended for tier","Optional for tier"),"Tier not determined"),"Check question"))</f>
        <v/>
      </c>
      <c r="I32" s="34"/>
      <c r="J32" s="50"/>
      <c r="K32" s="34"/>
      <c r="L32" s="34"/>
      <c r="M32" s="62" t="str">
        <f aca="false">IF(L32="","",SUMPRODUCT(ISNUMBER(SEARCH(","&amp;EV_ID&amp;",",","&amp;SUBSTITUTE(L32," ","")&amp;","))*(EV_ID&lt;&gt;"")))</f>
        <v/>
      </c>
      <c r="N32" s="54" t="str">
        <f aca="false">IF(A32="","",IF(I32&lt;&gt;"Applicable",IF(I32="","Applicability not set","Not in scope ("&amp;I32&amp;")"),IF(OR(J32="",J32="Not answered"),"Awaiting supplier response",IF(J32="Not applicable","Supplier states not applicable - analyst to confirm",IF(L32="","Evidence insufficient - none referenced",IF(M32=0,"Evidence insufficient - referenced ID not found",IF(SUMPRODUCT(ISNUMBER(SEARCH(","&amp;EV_ID&amp;",",","&amp;SUBSTITUTE(L32," ","")&amp;","))*(EV_ID&lt;&gt;"")*(EV_SUFF="Sufficient"))&gt;0,"Evidence reviewed - sufficient",IF(SUMPRODUCT(ISNUMBER(SEARCH(","&amp;EV_ID&amp;",",","&amp;SUBSTITUTE(L32," ","")&amp;","))*(EV_ID&lt;&gt;"")*(EV_SUFF="Partially sufficient"))&gt;0,"Evidence partially sufficient","Evidence insufficient - referenced evidence not sufficient"))))))))</f>
        <v/>
      </c>
      <c r="O32" s="50"/>
      <c r="P32" s="34"/>
      <c r="Q32" s="34"/>
      <c r="R32" s="50"/>
      <c r="S32" s="51"/>
      <c r="T32" s="51"/>
      <c r="U32" s="52" t="str">
        <f aca="false">IF(OR(A32="",Q32=""),"",IF(AND(ISNUMBER(S32),S32&lt;AsOf,O32&lt;&gt;"Reviewed"),"Overdue",""))</f>
        <v/>
      </c>
      <c r="V32" s="54" t="str">
        <f aca="false">IF(A32="","",IF(COUNTIF(QA_ID,A32)&gt;1,"CHECK: duplicate ID",IF(B32="","CHECK: Supplier ID missing",IF(COUNTIF(INV_ID,B32)=0,"CHECK: Supplier ID not in inventory",IF(E32="","CHECK: Question ID missing",IF(COUNTIF(QB_ID,E32)=0,"CHECK: Question ID not in bank","OK"))))))</f>
        <v/>
      </c>
    </row>
    <row r="33" customFormat="false" ht="15" hidden="false" customHeight="false" outlineLevel="0" collapsed="false">
      <c r="A33" s="50"/>
      <c r="B33" s="50"/>
      <c r="C33" s="59" t="str">
        <f aca="false">IF(B33="","",IFERROR(INDEX(INV_NAME,MATCH(B33,INV_ID,0)),"CHECK: Supplier ID not found"))</f>
        <v/>
      </c>
      <c r="D33" s="63" t="str">
        <f aca="false">IF(B33="","",IFERROR(INDEX(INV_TIER,MATCH(B33,INV_ID,0)),""))</f>
        <v/>
      </c>
      <c r="E33" s="50"/>
      <c r="F33" s="59" t="str">
        <f aca="false">IF(E33="","",IFERROR(INDEX(QB_Q,MATCH(E33,QB_ID,0)),"CHECK: Question ID not found"))</f>
        <v/>
      </c>
      <c r="G33" s="59" t="str">
        <f aca="false">IF(E33="","",IFERROR(INDEX(QB_DOMAIN,MATCH(E33,QB_ID,0)),""))</f>
        <v/>
      </c>
      <c r="H33" s="54" t="str">
        <f aca="false">IF(OR(A33="",E33=""),"",IFERROR(IF(ISNUMBER(MATCH(D33,{"Low","Medium","High"},0)),IF(MATCH(D33,{"Low","Medium","High"},0)&gt;=MATCH(INDEX(QB_MINTIER,MATCH(E33,QB_ID,0)),{"Low","Medium","High"},0),"Recommended for tier","Optional for tier"),"Tier not determined"),"Check question"))</f>
        <v/>
      </c>
      <c r="I33" s="34"/>
      <c r="J33" s="50"/>
      <c r="K33" s="34"/>
      <c r="L33" s="34"/>
      <c r="M33" s="62" t="str">
        <f aca="false">IF(L33="","",SUMPRODUCT(ISNUMBER(SEARCH(","&amp;EV_ID&amp;",",","&amp;SUBSTITUTE(L33," ","")&amp;","))*(EV_ID&lt;&gt;"")))</f>
        <v/>
      </c>
      <c r="N33" s="54" t="str">
        <f aca="false">IF(A33="","",IF(I33&lt;&gt;"Applicable",IF(I33="","Applicability not set","Not in scope ("&amp;I33&amp;")"),IF(OR(J33="",J33="Not answered"),"Awaiting supplier response",IF(J33="Not applicable","Supplier states not applicable - analyst to confirm",IF(L33="","Evidence insufficient - none referenced",IF(M33=0,"Evidence insufficient - referenced ID not found",IF(SUMPRODUCT(ISNUMBER(SEARCH(","&amp;EV_ID&amp;",",","&amp;SUBSTITUTE(L33," ","")&amp;","))*(EV_ID&lt;&gt;"")*(EV_SUFF="Sufficient"))&gt;0,"Evidence reviewed - sufficient",IF(SUMPRODUCT(ISNUMBER(SEARCH(","&amp;EV_ID&amp;",",","&amp;SUBSTITUTE(L33," ","")&amp;","))*(EV_ID&lt;&gt;"")*(EV_SUFF="Partially sufficient"))&gt;0,"Evidence partially sufficient","Evidence insufficient - referenced evidence not sufficient"))))))))</f>
        <v/>
      </c>
      <c r="O33" s="50"/>
      <c r="P33" s="34"/>
      <c r="Q33" s="34"/>
      <c r="R33" s="50"/>
      <c r="S33" s="51"/>
      <c r="T33" s="51"/>
      <c r="U33" s="52" t="str">
        <f aca="false">IF(OR(A33="",Q33=""),"",IF(AND(ISNUMBER(S33),S33&lt;AsOf,O33&lt;&gt;"Reviewed"),"Overdue",""))</f>
        <v/>
      </c>
      <c r="V33" s="54" t="str">
        <f aca="false">IF(A33="","",IF(COUNTIF(QA_ID,A33)&gt;1,"CHECK: duplicate ID",IF(B33="","CHECK: Supplier ID missing",IF(COUNTIF(INV_ID,B33)=0,"CHECK: Supplier ID not in inventory",IF(E33="","CHECK: Question ID missing",IF(COUNTIF(QB_ID,E33)=0,"CHECK: Question ID not in bank","OK"))))))</f>
        <v/>
      </c>
    </row>
    <row r="34" customFormat="false" ht="15" hidden="false" customHeight="false" outlineLevel="0" collapsed="false">
      <c r="A34" s="50"/>
      <c r="B34" s="50"/>
      <c r="C34" s="59" t="str">
        <f aca="false">IF(B34="","",IFERROR(INDEX(INV_NAME,MATCH(B34,INV_ID,0)),"CHECK: Supplier ID not found"))</f>
        <v/>
      </c>
      <c r="D34" s="63" t="str">
        <f aca="false">IF(B34="","",IFERROR(INDEX(INV_TIER,MATCH(B34,INV_ID,0)),""))</f>
        <v/>
      </c>
      <c r="E34" s="50"/>
      <c r="F34" s="59" t="str">
        <f aca="false">IF(E34="","",IFERROR(INDEX(QB_Q,MATCH(E34,QB_ID,0)),"CHECK: Question ID not found"))</f>
        <v/>
      </c>
      <c r="G34" s="59" t="str">
        <f aca="false">IF(E34="","",IFERROR(INDEX(QB_DOMAIN,MATCH(E34,QB_ID,0)),""))</f>
        <v/>
      </c>
      <c r="H34" s="54" t="str">
        <f aca="false">IF(OR(A34="",E34=""),"",IFERROR(IF(ISNUMBER(MATCH(D34,{"Low","Medium","High"},0)),IF(MATCH(D34,{"Low","Medium","High"},0)&gt;=MATCH(INDEX(QB_MINTIER,MATCH(E34,QB_ID,0)),{"Low","Medium","High"},0),"Recommended for tier","Optional for tier"),"Tier not determined"),"Check question"))</f>
        <v/>
      </c>
      <c r="I34" s="34"/>
      <c r="J34" s="50"/>
      <c r="K34" s="34"/>
      <c r="L34" s="34"/>
      <c r="M34" s="62" t="str">
        <f aca="false">IF(L34="","",SUMPRODUCT(ISNUMBER(SEARCH(","&amp;EV_ID&amp;",",","&amp;SUBSTITUTE(L34," ","")&amp;","))*(EV_ID&lt;&gt;"")))</f>
        <v/>
      </c>
      <c r="N34" s="54" t="str">
        <f aca="false">IF(A34="","",IF(I34&lt;&gt;"Applicable",IF(I34="","Applicability not set","Not in scope ("&amp;I34&amp;")"),IF(OR(J34="",J34="Not answered"),"Awaiting supplier response",IF(J34="Not applicable","Supplier states not applicable - analyst to confirm",IF(L34="","Evidence insufficient - none referenced",IF(M34=0,"Evidence insufficient - referenced ID not found",IF(SUMPRODUCT(ISNUMBER(SEARCH(","&amp;EV_ID&amp;",",","&amp;SUBSTITUTE(L34," ","")&amp;","))*(EV_ID&lt;&gt;"")*(EV_SUFF="Sufficient"))&gt;0,"Evidence reviewed - sufficient",IF(SUMPRODUCT(ISNUMBER(SEARCH(","&amp;EV_ID&amp;",",","&amp;SUBSTITUTE(L34," ","")&amp;","))*(EV_ID&lt;&gt;"")*(EV_SUFF="Partially sufficient"))&gt;0,"Evidence partially sufficient","Evidence insufficient - referenced evidence not sufficient"))))))))</f>
        <v/>
      </c>
      <c r="O34" s="50"/>
      <c r="P34" s="34"/>
      <c r="Q34" s="34"/>
      <c r="R34" s="50"/>
      <c r="S34" s="51"/>
      <c r="T34" s="51"/>
      <c r="U34" s="52" t="str">
        <f aca="false">IF(OR(A34="",Q34=""),"",IF(AND(ISNUMBER(S34),S34&lt;AsOf,O34&lt;&gt;"Reviewed"),"Overdue",""))</f>
        <v/>
      </c>
      <c r="V34" s="54" t="str">
        <f aca="false">IF(A34="","",IF(COUNTIF(QA_ID,A34)&gt;1,"CHECK: duplicate ID",IF(B34="","CHECK: Supplier ID missing",IF(COUNTIF(INV_ID,B34)=0,"CHECK: Supplier ID not in inventory",IF(E34="","CHECK: Question ID missing",IF(COUNTIF(QB_ID,E34)=0,"CHECK: Question ID not in bank","OK"))))))</f>
        <v/>
      </c>
    </row>
    <row r="35" customFormat="false" ht="15" hidden="false" customHeight="false" outlineLevel="0" collapsed="false">
      <c r="A35" s="50"/>
      <c r="B35" s="50"/>
      <c r="C35" s="59" t="str">
        <f aca="false">IF(B35="","",IFERROR(INDEX(INV_NAME,MATCH(B35,INV_ID,0)),"CHECK: Supplier ID not found"))</f>
        <v/>
      </c>
      <c r="D35" s="63" t="str">
        <f aca="false">IF(B35="","",IFERROR(INDEX(INV_TIER,MATCH(B35,INV_ID,0)),""))</f>
        <v/>
      </c>
      <c r="E35" s="50"/>
      <c r="F35" s="59" t="str">
        <f aca="false">IF(E35="","",IFERROR(INDEX(QB_Q,MATCH(E35,QB_ID,0)),"CHECK: Question ID not found"))</f>
        <v/>
      </c>
      <c r="G35" s="59" t="str">
        <f aca="false">IF(E35="","",IFERROR(INDEX(QB_DOMAIN,MATCH(E35,QB_ID,0)),""))</f>
        <v/>
      </c>
      <c r="H35" s="54" t="str">
        <f aca="false">IF(OR(A35="",E35=""),"",IFERROR(IF(ISNUMBER(MATCH(D35,{"Low","Medium","High"},0)),IF(MATCH(D35,{"Low","Medium","High"},0)&gt;=MATCH(INDEX(QB_MINTIER,MATCH(E35,QB_ID,0)),{"Low","Medium","High"},0),"Recommended for tier","Optional for tier"),"Tier not determined"),"Check question"))</f>
        <v/>
      </c>
      <c r="I35" s="34"/>
      <c r="J35" s="50"/>
      <c r="K35" s="34"/>
      <c r="L35" s="34"/>
      <c r="M35" s="62" t="str">
        <f aca="false">IF(L35="","",SUMPRODUCT(ISNUMBER(SEARCH(","&amp;EV_ID&amp;",",","&amp;SUBSTITUTE(L35," ","")&amp;","))*(EV_ID&lt;&gt;"")))</f>
        <v/>
      </c>
      <c r="N35" s="54" t="str">
        <f aca="false">IF(A35="","",IF(I35&lt;&gt;"Applicable",IF(I35="","Applicability not set","Not in scope ("&amp;I35&amp;")"),IF(OR(J35="",J35="Not answered"),"Awaiting supplier response",IF(J35="Not applicable","Supplier states not applicable - analyst to confirm",IF(L35="","Evidence insufficient - none referenced",IF(M35=0,"Evidence insufficient - referenced ID not found",IF(SUMPRODUCT(ISNUMBER(SEARCH(","&amp;EV_ID&amp;",",","&amp;SUBSTITUTE(L35," ","")&amp;","))*(EV_ID&lt;&gt;"")*(EV_SUFF="Sufficient"))&gt;0,"Evidence reviewed - sufficient",IF(SUMPRODUCT(ISNUMBER(SEARCH(","&amp;EV_ID&amp;",",","&amp;SUBSTITUTE(L35," ","")&amp;","))*(EV_ID&lt;&gt;"")*(EV_SUFF="Partially sufficient"))&gt;0,"Evidence partially sufficient","Evidence insufficient - referenced evidence not sufficient"))))))))</f>
        <v/>
      </c>
      <c r="O35" s="50"/>
      <c r="P35" s="34"/>
      <c r="Q35" s="34"/>
      <c r="R35" s="50"/>
      <c r="S35" s="51"/>
      <c r="T35" s="51"/>
      <c r="U35" s="52" t="str">
        <f aca="false">IF(OR(A35="",Q35=""),"",IF(AND(ISNUMBER(S35),S35&lt;AsOf,O35&lt;&gt;"Reviewed"),"Overdue",""))</f>
        <v/>
      </c>
      <c r="V35" s="54" t="str">
        <f aca="false">IF(A35="","",IF(COUNTIF(QA_ID,A35)&gt;1,"CHECK: duplicate ID",IF(B35="","CHECK: Supplier ID missing",IF(COUNTIF(INV_ID,B35)=0,"CHECK: Supplier ID not in inventory",IF(E35="","CHECK: Question ID missing",IF(COUNTIF(QB_ID,E35)=0,"CHECK: Question ID not in bank","OK"))))))</f>
        <v/>
      </c>
    </row>
    <row r="36" customFormat="false" ht="15" hidden="false" customHeight="false" outlineLevel="0" collapsed="false">
      <c r="A36" s="50"/>
      <c r="B36" s="50"/>
      <c r="C36" s="59" t="str">
        <f aca="false">IF(B36="","",IFERROR(INDEX(INV_NAME,MATCH(B36,INV_ID,0)),"CHECK: Supplier ID not found"))</f>
        <v/>
      </c>
      <c r="D36" s="63" t="str">
        <f aca="false">IF(B36="","",IFERROR(INDEX(INV_TIER,MATCH(B36,INV_ID,0)),""))</f>
        <v/>
      </c>
      <c r="E36" s="50"/>
      <c r="F36" s="59" t="str">
        <f aca="false">IF(E36="","",IFERROR(INDEX(QB_Q,MATCH(E36,QB_ID,0)),"CHECK: Question ID not found"))</f>
        <v/>
      </c>
      <c r="G36" s="59" t="str">
        <f aca="false">IF(E36="","",IFERROR(INDEX(QB_DOMAIN,MATCH(E36,QB_ID,0)),""))</f>
        <v/>
      </c>
      <c r="H36" s="54" t="str">
        <f aca="false">IF(OR(A36="",E36=""),"",IFERROR(IF(ISNUMBER(MATCH(D36,{"Low","Medium","High"},0)),IF(MATCH(D36,{"Low","Medium","High"},0)&gt;=MATCH(INDEX(QB_MINTIER,MATCH(E36,QB_ID,0)),{"Low","Medium","High"},0),"Recommended for tier","Optional for tier"),"Tier not determined"),"Check question"))</f>
        <v/>
      </c>
      <c r="I36" s="34"/>
      <c r="J36" s="50"/>
      <c r="K36" s="34"/>
      <c r="L36" s="34"/>
      <c r="M36" s="62" t="str">
        <f aca="false">IF(L36="","",SUMPRODUCT(ISNUMBER(SEARCH(","&amp;EV_ID&amp;",",","&amp;SUBSTITUTE(L36," ","")&amp;","))*(EV_ID&lt;&gt;"")))</f>
        <v/>
      </c>
      <c r="N36" s="54" t="str">
        <f aca="false">IF(A36="","",IF(I36&lt;&gt;"Applicable",IF(I36="","Applicability not set","Not in scope ("&amp;I36&amp;")"),IF(OR(J36="",J36="Not answered"),"Awaiting supplier response",IF(J36="Not applicable","Supplier states not applicable - analyst to confirm",IF(L36="","Evidence insufficient - none referenced",IF(M36=0,"Evidence insufficient - referenced ID not found",IF(SUMPRODUCT(ISNUMBER(SEARCH(","&amp;EV_ID&amp;",",","&amp;SUBSTITUTE(L36," ","")&amp;","))*(EV_ID&lt;&gt;"")*(EV_SUFF="Sufficient"))&gt;0,"Evidence reviewed - sufficient",IF(SUMPRODUCT(ISNUMBER(SEARCH(","&amp;EV_ID&amp;",",","&amp;SUBSTITUTE(L36," ","")&amp;","))*(EV_ID&lt;&gt;"")*(EV_SUFF="Partially sufficient"))&gt;0,"Evidence partially sufficient","Evidence insufficient - referenced evidence not sufficient"))))))))</f>
        <v/>
      </c>
      <c r="O36" s="50"/>
      <c r="P36" s="34"/>
      <c r="Q36" s="34"/>
      <c r="R36" s="50"/>
      <c r="S36" s="51"/>
      <c r="T36" s="51"/>
      <c r="U36" s="52" t="str">
        <f aca="false">IF(OR(A36="",Q36=""),"",IF(AND(ISNUMBER(S36),S36&lt;AsOf,O36&lt;&gt;"Reviewed"),"Overdue",""))</f>
        <v/>
      </c>
      <c r="V36" s="54" t="str">
        <f aca="false">IF(A36="","",IF(COUNTIF(QA_ID,A36)&gt;1,"CHECK: duplicate ID",IF(B36="","CHECK: Supplier ID missing",IF(COUNTIF(INV_ID,B36)=0,"CHECK: Supplier ID not in inventory",IF(E36="","CHECK: Question ID missing",IF(COUNTIF(QB_ID,E36)=0,"CHECK: Question ID not in bank","OK"))))))</f>
        <v/>
      </c>
    </row>
    <row r="37" customFormat="false" ht="15" hidden="false" customHeight="false" outlineLevel="0" collapsed="false">
      <c r="A37" s="50"/>
      <c r="B37" s="50"/>
      <c r="C37" s="59" t="str">
        <f aca="false">IF(B37="","",IFERROR(INDEX(INV_NAME,MATCH(B37,INV_ID,0)),"CHECK: Supplier ID not found"))</f>
        <v/>
      </c>
      <c r="D37" s="63" t="str">
        <f aca="false">IF(B37="","",IFERROR(INDEX(INV_TIER,MATCH(B37,INV_ID,0)),""))</f>
        <v/>
      </c>
      <c r="E37" s="50"/>
      <c r="F37" s="59" t="str">
        <f aca="false">IF(E37="","",IFERROR(INDEX(QB_Q,MATCH(E37,QB_ID,0)),"CHECK: Question ID not found"))</f>
        <v/>
      </c>
      <c r="G37" s="59" t="str">
        <f aca="false">IF(E37="","",IFERROR(INDEX(QB_DOMAIN,MATCH(E37,QB_ID,0)),""))</f>
        <v/>
      </c>
      <c r="H37" s="54" t="str">
        <f aca="false">IF(OR(A37="",E37=""),"",IFERROR(IF(ISNUMBER(MATCH(D37,{"Low","Medium","High"},0)),IF(MATCH(D37,{"Low","Medium","High"},0)&gt;=MATCH(INDEX(QB_MINTIER,MATCH(E37,QB_ID,0)),{"Low","Medium","High"},0),"Recommended for tier","Optional for tier"),"Tier not determined"),"Check question"))</f>
        <v/>
      </c>
      <c r="I37" s="34"/>
      <c r="J37" s="50"/>
      <c r="K37" s="34"/>
      <c r="L37" s="34"/>
      <c r="M37" s="62" t="str">
        <f aca="false">IF(L37="","",SUMPRODUCT(ISNUMBER(SEARCH(","&amp;EV_ID&amp;",",","&amp;SUBSTITUTE(L37," ","")&amp;","))*(EV_ID&lt;&gt;"")))</f>
        <v/>
      </c>
      <c r="N37" s="54" t="str">
        <f aca="false">IF(A37="","",IF(I37&lt;&gt;"Applicable",IF(I37="","Applicability not set","Not in scope ("&amp;I37&amp;")"),IF(OR(J37="",J37="Not answered"),"Awaiting supplier response",IF(J37="Not applicable","Supplier states not applicable - analyst to confirm",IF(L37="","Evidence insufficient - none referenced",IF(M37=0,"Evidence insufficient - referenced ID not found",IF(SUMPRODUCT(ISNUMBER(SEARCH(","&amp;EV_ID&amp;",",","&amp;SUBSTITUTE(L37," ","")&amp;","))*(EV_ID&lt;&gt;"")*(EV_SUFF="Sufficient"))&gt;0,"Evidence reviewed - sufficient",IF(SUMPRODUCT(ISNUMBER(SEARCH(","&amp;EV_ID&amp;",",","&amp;SUBSTITUTE(L37," ","")&amp;","))*(EV_ID&lt;&gt;"")*(EV_SUFF="Partially sufficient"))&gt;0,"Evidence partially sufficient","Evidence insufficient - referenced evidence not sufficient"))))))))</f>
        <v/>
      </c>
      <c r="O37" s="50"/>
      <c r="P37" s="34"/>
      <c r="Q37" s="34"/>
      <c r="R37" s="50"/>
      <c r="S37" s="51"/>
      <c r="T37" s="51"/>
      <c r="U37" s="52" t="str">
        <f aca="false">IF(OR(A37="",Q37=""),"",IF(AND(ISNUMBER(S37),S37&lt;AsOf,O37&lt;&gt;"Reviewed"),"Overdue",""))</f>
        <v/>
      </c>
      <c r="V37" s="54" t="str">
        <f aca="false">IF(A37="","",IF(COUNTIF(QA_ID,A37)&gt;1,"CHECK: duplicate ID",IF(B37="","CHECK: Supplier ID missing",IF(COUNTIF(INV_ID,B37)=0,"CHECK: Supplier ID not in inventory",IF(E37="","CHECK: Question ID missing",IF(COUNTIF(QB_ID,E37)=0,"CHECK: Question ID not in bank","OK"))))))</f>
        <v/>
      </c>
    </row>
    <row r="38" customFormat="false" ht="15" hidden="false" customHeight="false" outlineLevel="0" collapsed="false">
      <c r="A38" s="50"/>
      <c r="B38" s="50"/>
      <c r="C38" s="59" t="str">
        <f aca="false">IF(B38="","",IFERROR(INDEX(INV_NAME,MATCH(B38,INV_ID,0)),"CHECK: Supplier ID not found"))</f>
        <v/>
      </c>
      <c r="D38" s="63" t="str">
        <f aca="false">IF(B38="","",IFERROR(INDEX(INV_TIER,MATCH(B38,INV_ID,0)),""))</f>
        <v/>
      </c>
      <c r="E38" s="50"/>
      <c r="F38" s="59" t="str">
        <f aca="false">IF(E38="","",IFERROR(INDEX(QB_Q,MATCH(E38,QB_ID,0)),"CHECK: Question ID not found"))</f>
        <v/>
      </c>
      <c r="G38" s="59" t="str">
        <f aca="false">IF(E38="","",IFERROR(INDEX(QB_DOMAIN,MATCH(E38,QB_ID,0)),""))</f>
        <v/>
      </c>
      <c r="H38" s="54" t="str">
        <f aca="false">IF(OR(A38="",E38=""),"",IFERROR(IF(ISNUMBER(MATCH(D38,{"Low","Medium","High"},0)),IF(MATCH(D38,{"Low","Medium","High"},0)&gt;=MATCH(INDEX(QB_MINTIER,MATCH(E38,QB_ID,0)),{"Low","Medium","High"},0),"Recommended for tier","Optional for tier"),"Tier not determined"),"Check question"))</f>
        <v/>
      </c>
      <c r="I38" s="34"/>
      <c r="J38" s="50"/>
      <c r="K38" s="34"/>
      <c r="L38" s="34"/>
      <c r="M38" s="62" t="str">
        <f aca="false">IF(L38="","",SUMPRODUCT(ISNUMBER(SEARCH(","&amp;EV_ID&amp;",",","&amp;SUBSTITUTE(L38," ","")&amp;","))*(EV_ID&lt;&gt;"")))</f>
        <v/>
      </c>
      <c r="N38" s="54" t="str">
        <f aca="false">IF(A38="","",IF(I38&lt;&gt;"Applicable",IF(I38="","Applicability not set","Not in scope ("&amp;I38&amp;")"),IF(OR(J38="",J38="Not answered"),"Awaiting supplier response",IF(J38="Not applicable","Supplier states not applicable - analyst to confirm",IF(L38="","Evidence insufficient - none referenced",IF(M38=0,"Evidence insufficient - referenced ID not found",IF(SUMPRODUCT(ISNUMBER(SEARCH(","&amp;EV_ID&amp;",",","&amp;SUBSTITUTE(L38," ","")&amp;","))*(EV_ID&lt;&gt;"")*(EV_SUFF="Sufficient"))&gt;0,"Evidence reviewed - sufficient",IF(SUMPRODUCT(ISNUMBER(SEARCH(","&amp;EV_ID&amp;",",","&amp;SUBSTITUTE(L38," ","")&amp;","))*(EV_ID&lt;&gt;"")*(EV_SUFF="Partially sufficient"))&gt;0,"Evidence partially sufficient","Evidence insufficient - referenced evidence not sufficient"))))))))</f>
        <v/>
      </c>
      <c r="O38" s="50"/>
      <c r="P38" s="34"/>
      <c r="Q38" s="34"/>
      <c r="R38" s="50"/>
      <c r="S38" s="51"/>
      <c r="T38" s="51"/>
      <c r="U38" s="52" t="str">
        <f aca="false">IF(OR(A38="",Q38=""),"",IF(AND(ISNUMBER(S38),S38&lt;AsOf,O38&lt;&gt;"Reviewed"),"Overdue",""))</f>
        <v/>
      </c>
      <c r="V38" s="54" t="str">
        <f aca="false">IF(A38="","",IF(COUNTIF(QA_ID,A38)&gt;1,"CHECK: duplicate ID",IF(B38="","CHECK: Supplier ID missing",IF(COUNTIF(INV_ID,B38)=0,"CHECK: Supplier ID not in inventory",IF(E38="","CHECK: Question ID missing",IF(COUNTIF(QB_ID,E38)=0,"CHECK: Question ID not in bank","OK"))))))</f>
        <v/>
      </c>
    </row>
    <row r="39" customFormat="false" ht="15" hidden="false" customHeight="false" outlineLevel="0" collapsed="false">
      <c r="A39" s="50"/>
      <c r="B39" s="50"/>
      <c r="C39" s="59" t="str">
        <f aca="false">IF(B39="","",IFERROR(INDEX(INV_NAME,MATCH(B39,INV_ID,0)),"CHECK: Supplier ID not found"))</f>
        <v/>
      </c>
      <c r="D39" s="63" t="str">
        <f aca="false">IF(B39="","",IFERROR(INDEX(INV_TIER,MATCH(B39,INV_ID,0)),""))</f>
        <v/>
      </c>
      <c r="E39" s="50"/>
      <c r="F39" s="59" t="str">
        <f aca="false">IF(E39="","",IFERROR(INDEX(QB_Q,MATCH(E39,QB_ID,0)),"CHECK: Question ID not found"))</f>
        <v/>
      </c>
      <c r="G39" s="59" t="str">
        <f aca="false">IF(E39="","",IFERROR(INDEX(QB_DOMAIN,MATCH(E39,QB_ID,0)),""))</f>
        <v/>
      </c>
      <c r="H39" s="54" t="str">
        <f aca="false">IF(OR(A39="",E39=""),"",IFERROR(IF(ISNUMBER(MATCH(D39,{"Low","Medium","High"},0)),IF(MATCH(D39,{"Low","Medium","High"},0)&gt;=MATCH(INDEX(QB_MINTIER,MATCH(E39,QB_ID,0)),{"Low","Medium","High"},0),"Recommended for tier","Optional for tier"),"Tier not determined"),"Check question"))</f>
        <v/>
      </c>
      <c r="I39" s="34"/>
      <c r="J39" s="50"/>
      <c r="K39" s="34"/>
      <c r="L39" s="34"/>
      <c r="M39" s="62" t="str">
        <f aca="false">IF(L39="","",SUMPRODUCT(ISNUMBER(SEARCH(","&amp;EV_ID&amp;",",","&amp;SUBSTITUTE(L39," ","")&amp;","))*(EV_ID&lt;&gt;"")))</f>
        <v/>
      </c>
      <c r="N39" s="54" t="str">
        <f aca="false">IF(A39="","",IF(I39&lt;&gt;"Applicable",IF(I39="","Applicability not set","Not in scope ("&amp;I39&amp;")"),IF(OR(J39="",J39="Not answered"),"Awaiting supplier response",IF(J39="Not applicable","Supplier states not applicable - analyst to confirm",IF(L39="","Evidence insufficient - none referenced",IF(M39=0,"Evidence insufficient - referenced ID not found",IF(SUMPRODUCT(ISNUMBER(SEARCH(","&amp;EV_ID&amp;",",","&amp;SUBSTITUTE(L39," ","")&amp;","))*(EV_ID&lt;&gt;"")*(EV_SUFF="Sufficient"))&gt;0,"Evidence reviewed - sufficient",IF(SUMPRODUCT(ISNUMBER(SEARCH(","&amp;EV_ID&amp;",",","&amp;SUBSTITUTE(L39," ","")&amp;","))*(EV_ID&lt;&gt;"")*(EV_SUFF="Partially sufficient"))&gt;0,"Evidence partially sufficient","Evidence insufficient - referenced evidence not sufficient"))))))))</f>
        <v/>
      </c>
      <c r="O39" s="50"/>
      <c r="P39" s="34"/>
      <c r="Q39" s="34"/>
      <c r="R39" s="50"/>
      <c r="S39" s="51"/>
      <c r="T39" s="51"/>
      <c r="U39" s="52" t="str">
        <f aca="false">IF(OR(A39="",Q39=""),"",IF(AND(ISNUMBER(S39),S39&lt;AsOf,O39&lt;&gt;"Reviewed"),"Overdue",""))</f>
        <v/>
      </c>
      <c r="V39" s="54" t="str">
        <f aca="false">IF(A39="","",IF(COUNTIF(QA_ID,A39)&gt;1,"CHECK: duplicate ID",IF(B39="","CHECK: Supplier ID missing",IF(COUNTIF(INV_ID,B39)=0,"CHECK: Supplier ID not in inventory",IF(E39="","CHECK: Question ID missing",IF(COUNTIF(QB_ID,E39)=0,"CHECK: Question ID not in bank","OK"))))))</f>
        <v/>
      </c>
    </row>
    <row r="40" customFormat="false" ht="15" hidden="false" customHeight="false" outlineLevel="0" collapsed="false">
      <c r="A40" s="50"/>
      <c r="B40" s="50"/>
      <c r="C40" s="59" t="str">
        <f aca="false">IF(B40="","",IFERROR(INDEX(INV_NAME,MATCH(B40,INV_ID,0)),"CHECK: Supplier ID not found"))</f>
        <v/>
      </c>
      <c r="D40" s="63" t="str">
        <f aca="false">IF(B40="","",IFERROR(INDEX(INV_TIER,MATCH(B40,INV_ID,0)),""))</f>
        <v/>
      </c>
      <c r="E40" s="50"/>
      <c r="F40" s="59" t="str">
        <f aca="false">IF(E40="","",IFERROR(INDEX(QB_Q,MATCH(E40,QB_ID,0)),"CHECK: Question ID not found"))</f>
        <v/>
      </c>
      <c r="G40" s="59" t="str">
        <f aca="false">IF(E40="","",IFERROR(INDEX(QB_DOMAIN,MATCH(E40,QB_ID,0)),""))</f>
        <v/>
      </c>
      <c r="H40" s="54" t="str">
        <f aca="false">IF(OR(A40="",E40=""),"",IFERROR(IF(ISNUMBER(MATCH(D40,{"Low","Medium","High"},0)),IF(MATCH(D40,{"Low","Medium","High"},0)&gt;=MATCH(INDEX(QB_MINTIER,MATCH(E40,QB_ID,0)),{"Low","Medium","High"},0),"Recommended for tier","Optional for tier"),"Tier not determined"),"Check question"))</f>
        <v/>
      </c>
      <c r="I40" s="34"/>
      <c r="J40" s="50"/>
      <c r="K40" s="34"/>
      <c r="L40" s="34"/>
      <c r="M40" s="62" t="str">
        <f aca="false">IF(L40="","",SUMPRODUCT(ISNUMBER(SEARCH(","&amp;EV_ID&amp;",",","&amp;SUBSTITUTE(L40," ","")&amp;","))*(EV_ID&lt;&gt;"")))</f>
        <v/>
      </c>
      <c r="N40" s="54" t="str">
        <f aca="false">IF(A40="","",IF(I40&lt;&gt;"Applicable",IF(I40="","Applicability not set","Not in scope ("&amp;I40&amp;")"),IF(OR(J40="",J40="Not answered"),"Awaiting supplier response",IF(J40="Not applicable","Supplier states not applicable - analyst to confirm",IF(L40="","Evidence insufficient - none referenced",IF(M40=0,"Evidence insufficient - referenced ID not found",IF(SUMPRODUCT(ISNUMBER(SEARCH(","&amp;EV_ID&amp;",",","&amp;SUBSTITUTE(L40," ","")&amp;","))*(EV_ID&lt;&gt;"")*(EV_SUFF="Sufficient"))&gt;0,"Evidence reviewed - sufficient",IF(SUMPRODUCT(ISNUMBER(SEARCH(","&amp;EV_ID&amp;",",","&amp;SUBSTITUTE(L40," ","")&amp;","))*(EV_ID&lt;&gt;"")*(EV_SUFF="Partially sufficient"))&gt;0,"Evidence partially sufficient","Evidence insufficient - referenced evidence not sufficient"))))))))</f>
        <v/>
      </c>
      <c r="O40" s="50"/>
      <c r="P40" s="34"/>
      <c r="Q40" s="34"/>
      <c r="R40" s="50"/>
      <c r="S40" s="51"/>
      <c r="T40" s="51"/>
      <c r="U40" s="52" t="str">
        <f aca="false">IF(OR(A40="",Q40=""),"",IF(AND(ISNUMBER(S40),S40&lt;AsOf,O40&lt;&gt;"Reviewed"),"Overdue",""))</f>
        <v/>
      </c>
      <c r="V40" s="54" t="str">
        <f aca="false">IF(A40="","",IF(COUNTIF(QA_ID,A40)&gt;1,"CHECK: duplicate ID",IF(B40="","CHECK: Supplier ID missing",IF(COUNTIF(INV_ID,B40)=0,"CHECK: Supplier ID not in inventory",IF(E40="","CHECK: Question ID missing",IF(COUNTIF(QB_ID,E40)=0,"CHECK: Question ID not in bank","OK"))))))</f>
        <v/>
      </c>
    </row>
    <row r="41" customFormat="false" ht="15" hidden="false" customHeight="false" outlineLevel="0" collapsed="false">
      <c r="A41" s="50"/>
      <c r="B41" s="50"/>
      <c r="C41" s="59" t="str">
        <f aca="false">IF(B41="","",IFERROR(INDEX(INV_NAME,MATCH(B41,INV_ID,0)),"CHECK: Supplier ID not found"))</f>
        <v/>
      </c>
      <c r="D41" s="63" t="str">
        <f aca="false">IF(B41="","",IFERROR(INDEX(INV_TIER,MATCH(B41,INV_ID,0)),""))</f>
        <v/>
      </c>
      <c r="E41" s="50"/>
      <c r="F41" s="59" t="str">
        <f aca="false">IF(E41="","",IFERROR(INDEX(QB_Q,MATCH(E41,QB_ID,0)),"CHECK: Question ID not found"))</f>
        <v/>
      </c>
      <c r="G41" s="59" t="str">
        <f aca="false">IF(E41="","",IFERROR(INDEX(QB_DOMAIN,MATCH(E41,QB_ID,0)),""))</f>
        <v/>
      </c>
      <c r="H41" s="54" t="str">
        <f aca="false">IF(OR(A41="",E41=""),"",IFERROR(IF(ISNUMBER(MATCH(D41,{"Low","Medium","High"},0)),IF(MATCH(D41,{"Low","Medium","High"},0)&gt;=MATCH(INDEX(QB_MINTIER,MATCH(E41,QB_ID,0)),{"Low","Medium","High"},0),"Recommended for tier","Optional for tier"),"Tier not determined"),"Check question"))</f>
        <v/>
      </c>
      <c r="I41" s="34"/>
      <c r="J41" s="50"/>
      <c r="K41" s="34"/>
      <c r="L41" s="34"/>
      <c r="M41" s="62" t="str">
        <f aca="false">IF(L41="","",SUMPRODUCT(ISNUMBER(SEARCH(","&amp;EV_ID&amp;",",","&amp;SUBSTITUTE(L41," ","")&amp;","))*(EV_ID&lt;&gt;"")))</f>
        <v/>
      </c>
      <c r="N41" s="54" t="str">
        <f aca="false">IF(A41="","",IF(I41&lt;&gt;"Applicable",IF(I41="","Applicability not set","Not in scope ("&amp;I41&amp;")"),IF(OR(J41="",J41="Not answered"),"Awaiting supplier response",IF(J41="Not applicable","Supplier states not applicable - analyst to confirm",IF(L41="","Evidence insufficient - none referenced",IF(M41=0,"Evidence insufficient - referenced ID not found",IF(SUMPRODUCT(ISNUMBER(SEARCH(","&amp;EV_ID&amp;",",","&amp;SUBSTITUTE(L41," ","")&amp;","))*(EV_ID&lt;&gt;"")*(EV_SUFF="Sufficient"))&gt;0,"Evidence reviewed - sufficient",IF(SUMPRODUCT(ISNUMBER(SEARCH(","&amp;EV_ID&amp;",",","&amp;SUBSTITUTE(L41," ","")&amp;","))*(EV_ID&lt;&gt;"")*(EV_SUFF="Partially sufficient"))&gt;0,"Evidence partially sufficient","Evidence insufficient - referenced evidence not sufficient"))))))))</f>
        <v/>
      </c>
      <c r="O41" s="50"/>
      <c r="P41" s="34"/>
      <c r="Q41" s="34"/>
      <c r="R41" s="50"/>
      <c r="S41" s="51"/>
      <c r="T41" s="51"/>
      <c r="U41" s="52" t="str">
        <f aca="false">IF(OR(A41="",Q41=""),"",IF(AND(ISNUMBER(S41),S41&lt;AsOf,O41&lt;&gt;"Reviewed"),"Overdue",""))</f>
        <v/>
      </c>
      <c r="V41" s="54" t="str">
        <f aca="false">IF(A41="","",IF(COUNTIF(QA_ID,A41)&gt;1,"CHECK: duplicate ID",IF(B41="","CHECK: Supplier ID missing",IF(COUNTIF(INV_ID,B41)=0,"CHECK: Supplier ID not in inventory",IF(E41="","CHECK: Question ID missing",IF(COUNTIF(QB_ID,E41)=0,"CHECK: Question ID not in bank","OK"))))))</f>
        <v/>
      </c>
    </row>
    <row r="42" customFormat="false" ht="15" hidden="false" customHeight="false" outlineLevel="0" collapsed="false">
      <c r="A42" s="50"/>
      <c r="B42" s="50"/>
      <c r="C42" s="59" t="str">
        <f aca="false">IF(B42="","",IFERROR(INDEX(INV_NAME,MATCH(B42,INV_ID,0)),"CHECK: Supplier ID not found"))</f>
        <v/>
      </c>
      <c r="D42" s="63" t="str">
        <f aca="false">IF(B42="","",IFERROR(INDEX(INV_TIER,MATCH(B42,INV_ID,0)),""))</f>
        <v/>
      </c>
      <c r="E42" s="50"/>
      <c r="F42" s="59" t="str">
        <f aca="false">IF(E42="","",IFERROR(INDEX(QB_Q,MATCH(E42,QB_ID,0)),"CHECK: Question ID not found"))</f>
        <v/>
      </c>
      <c r="G42" s="59" t="str">
        <f aca="false">IF(E42="","",IFERROR(INDEX(QB_DOMAIN,MATCH(E42,QB_ID,0)),""))</f>
        <v/>
      </c>
      <c r="H42" s="54" t="str">
        <f aca="false">IF(OR(A42="",E42=""),"",IFERROR(IF(ISNUMBER(MATCH(D42,{"Low","Medium","High"},0)),IF(MATCH(D42,{"Low","Medium","High"},0)&gt;=MATCH(INDEX(QB_MINTIER,MATCH(E42,QB_ID,0)),{"Low","Medium","High"},0),"Recommended for tier","Optional for tier"),"Tier not determined"),"Check question"))</f>
        <v/>
      </c>
      <c r="I42" s="34"/>
      <c r="J42" s="50"/>
      <c r="K42" s="34"/>
      <c r="L42" s="34"/>
      <c r="M42" s="62" t="str">
        <f aca="false">IF(L42="","",SUMPRODUCT(ISNUMBER(SEARCH(","&amp;EV_ID&amp;",",","&amp;SUBSTITUTE(L42," ","")&amp;","))*(EV_ID&lt;&gt;"")))</f>
        <v/>
      </c>
      <c r="N42" s="54" t="str">
        <f aca="false">IF(A42="","",IF(I42&lt;&gt;"Applicable",IF(I42="","Applicability not set","Not in scope ("&amp;I42&amp;")"),IF(OR(J42="",J42="Not answered"),"Awaiting supplier response",IF(J42="Not applicable","Supplier states not applicable - analyst to confirm",IF(L42="","Evidence insufficient - none referenced",IF(M42=0,"Evidence insufficient - referenced ID not found",IF(SUMPRODUCT(ISNUMBER(SEARCH(","&amp;EV_ID&amp;",",","&amp;SUBSTITUTE(L42," ","")&amp;","))*(EV_ID&lt;&gt;"")*(EV_SUFF="Sufficient"))&gt;0,"Evidence reviewed - sufficient",IF(SUMPRODUCT(ISNUMBER(SEARCH(","&amp;EV_ID&amp;",",","&amp;SUBSTITUTE(L42," ","")&amp;","))*(EV_ID&lt;&gt;"")*(EV_SUFF="Partially sufficient"))&gt;0,"Evidence partially sufficient","Evidence insufficient - referenced evidence not sufficient"))))))))</f>
        <v/>
      </c>
      <c r="O42" s="50"/>
      <c r="P42" s="34"/>
      <c r="Q42" s="34"/>
      <c r="R42" s="50"/>
      <c r="S42" s="51"/>
      <c r="T42" s="51"/>
      <c r="U42" s="52" t="str">
        <f aca="false">IF(OR(A42="",Q42=""),"",IF(AND(ISNUMBER(S42),S42&lt;AsOf,O42&lt;&gt;"Reviewed"),"Overdue",""))</f>
        <v/>
      </c>
      <c r="V42" s="54" t="str">
        <f aca="false">IF(A42="","",IF(COUNTIF(QA_ID,A42)&gt;1,"CHECK: duplicate ID",IF(B42="","CHECK: Supplier ID missing",IF(COUNTIF(INV_ID,B42)=0,"CHECK: Supplier ID not in inventory",IF(E42="","CHECK: Question ID missing",IF(COUNTIF(QB_ID,E42)=0,"CHECK: Question ID not in bank","OK"))))))</f>
        <v/>
      </c>
    </row>
    <row r="43" customFormat="false" ht="15" hidden="false" customHeight="false" outlineLevel="0" collapsed="false">
      <c r="A43" s="50"/>
      <c r="B43" s="50"/>
      <c r="C43" s="59" t="str">
        <f aca="false">IF(B43="","",IFERROR(INDEX(INV_NAME,MATCH(B43,INV_ID,0)),"CHECK: Supplier ID not found"))</f>
        <v/>
      </c>
      <c r="D43" s="63" t="str">
        <f aca="false">IF(B43="","",IFERROR(INDEX(INV_TIER,MATCH(B43,INV_ID,0)),""))</f>
        <v/>
      </c>
      <c r="E43" s="50"/>
      <c r="F43" s="59" t="str">
        <f aca="false">IF(E43="","",IFERROR(INDEX(QB_Q,MATCH(E43,QB_ID,0)),"CHECK: Question ID not found"))</f>
        <v/>
      </c>
      <c r="G43" s="59" t="str">
        <f aca="false">IF(E43="","",IFERROR(INDEX(QB_DOMAIN,MATCH(E43,QB_ID,0)),""))</f>
        <v/>
      </c>
      <c r="H43" s="54" t="str">
        <f aca="false">IF(OR(A43="",E43=""),"",IFERROR(IF(ISNUMBER(MATCH(D43,{"Low","Medium","High"},0)),IF(MATCH(D43,{"Low","Medium","High"},0)&gt;=MATCH(INDEX(QB_MINTIER,MATCH(E43,QB_ID,0)),{"Low","Medium","High"},0),"Recommended for tier","Optional for tier"),"Tier not determined"),"Check question"))</f>
        <v/>
      </c>
      <c r="I43" s="34"/>
      <c r="J43" s="50"/>
      <c r="K43" s="34"/>
      <c r="L43" s="34"/>
      <c r="M43" s="62" t="str">
        <f aca="false">IF(L43="","",SUMPRODUCT(ISNUMBER(SEARCH(","&amp;EV_ID&amp;",",","&amp;SUBSTITUTE(L43," ","")&amp;","))*(EV_ID&lt;&gt;"")))</f>
        <v/>
      </c>
      <c r="N43" s="54" t="str">
        <f aca="false">IF(A43="","",IF(I43&lt;&gt;"Applicable",IF(I43="","Applicability not set","Not in scope ("&amp;I43&amp;")"),IF(OR(J43="",J43="Not answered"),"Awaiting supplier response",IF(J43="Not applicable","Supplier states not applicable - analyst to confirm",IF(L43="","Evidence insufficient - none referenced",IF(M43=0,"Evidence insufficient - referenced ID not found",IF(SUMPRODUCT(ISNUMBER(SEARCH(","&amp;EV_ID&amp;",",","&amp;SUBSTITUTE(L43," ","")&amp;","))*(EV_ID&lt;&gt;"")*(EV_SUFF="Sufficient"))&gt;0,"Evidence reviewed - sufficient",IF(SUMPRODUCT(ISNUMBER(SEARCH(","&amp;EV_ID&amp;",",","&amp;SUBSTITUTE(L43," ","")&amp;","))*(EV_ID&lt;&gt;"")*(EV_SUFF="Partially sufficient"))&gt;0,"Evidence partially sufficient","Evidence insufficient - referenced evidence not sufficient"))))))))</f>
        <v/>
      </c>
      <c r="O43" s="50"/>
      <c r="P43" s="34"/>
      <c r="Q43" s="34"/>
      <c r="R43" s="50"/>
      <c r="S43" s="51"/>
      <c r="T43" s="51"/>
      <c r="U43" s="52" t="str">
        <f aca="false">IF(OR(A43="",Q43=""),"",IF(AND(ISNUMBER(S43),S43&lt;AsOf,O43&lt;&gt;"Reviewed"),"Overdue",""))</f>
        <v/>
      </c>
      <c r="V43" s="54" t="str">
        <f aca="false">IF(A43="","",IF(COUNTIF(QA_ID,A43)&gt;1,"CHECK: duplicate ID",IF(B43="","CHECK: Supplier ID missing",IF(COUNTIF(INV_ID,B43)=0,"CHECK: Supplier ID not in inventory",IF(E43="","CHECK: Question ID missing",IF(COUNTIF(QB_ID,E43)=0,"CHECK: Question ID not in bank","OK"))))))</f>
        <v/>
      </c>
    </row>
    <row r="44" customFormat="false" ht="15" hidden="false" customHeight="false" outlineLevel="0" collapsed="false">
      <c r="A44" s="50"/>
      <c r="B44" s="50"/>
      <c r="C44" s="59" t="str">
        <f aca="false">IF(B44="","",IFERROR(INDEX(INV_NAME,MATCH(B44,INV_ID,0)),"CHECK: Supplier ID not found"))</f>
        <v/>
      </c>
      <c r="D44" s="63" t="str">
        <f aca="false">IF(B44="","",IFERROR(INDEX(INV_TIER,MATCH(B44,INV_ID,0)),""))</f>
        <v/>
      </c>
      <c r="E44" s="50"/>
      <c r="F44" s="59" t="str">
        <f aca="false">IF(E44="","",IFERROR(INDEX(QB_Q,MATCH(E44,QB_ID,0)),"CHECK: Question ID not found"))</f>
        <v/>
      </c>
      <c r="G44" s="59" t="str">
        <f aca="false">IF(E44="","",IFERROR(INDEX(QB_DOMAIN,MATCH(E44,QB_ID,0)),""))</f>
        <v/>
      </c>
      <c r="H44" s="54" t="str">
        <f aca="false">IF(OR(A44="",E44=""),"",IFERROR(IF(ISNUMBER(MATCH(D44,{"Low","Medium","High"},0)),IF(MATCH(D44,{"Low","Medium","High"},0)&gt;=MATCH(INDEX(QB_MINTIER,MATCH(E44,QB_ID,0)),{"Low","Medium","High"},0),"Recommended for tier","Optional for tier"),"Tier not determined"),"Check question"))</f>
        <v/>
      </c>
      <c r="I44" s="34"/>
      <c r="J44" s="50"/>
      <c r="K44" s="34"/>
      <c r="L44" s="34"/>
      <c r="M44" s="62" t="str">
        <f aca="false">IF(L44="","",SUMPRODUCT(ISNUMBER(SEARCH(","&amp;EV_ID&amp;",",","&amp;SUBSTITUTE(L44," ","")&amp;","))*(EV_ID&lt;&gt;"")))</f>
        <v/>
      </c>
      <c r="N44" s="54" t="str">
        <f aca="false">IF(A44="","",IF(I44&lt;&gt;"Applicable",IF(I44="","Applicability not set","Not in scope ("&amp;I44&amp;")"),IF(OR(J44="",J44="Not answered"),"Awaiting supplier response",IF(J44="Not applicable","Supplier states not applicable - analyst to confirm",IF(L44="","Evidence insufficient - none referenced",IF(M44=0,"Evidence insufficient - referenced ID not found",IF(SUMPRODUCT(ISNUMBER(SEARCH(","&amp;EV_ID&amp;",",","&amp;SUBSTITUTE(L44," ","")&amp;","))*(EV_ID&lt;&gt;"")*(EV_SUFF="Sufficient"))&gt;0,"Evidence reviewed - sufficient",IF(SUMPRODUCT(ISNUMBER(SEARCH(","&amp;EV_ID&amp;",",","&amp;SUBSTITUTE(L44," ","")&amp;","))*(EV_ID&lt;&gt;"")*(EV_SUFF="Partially sufficient"))&gt;0,"Evidence partially sufficient","Evidence insufficient - referenced evidence not sufficient"))))))))</f>
        <v/>
      </c>
      <c r="O44" s="50"/>
      <c r="P44" s="34"/>
      <c r="Q44" s="34"/>
      <c r="R44" s="50"/>
      <c r="S44" s="51"/>
      <c r="T44" s="51"/>
      <c r="U44" s="52" t="str">
        <f aca="false">IF(OR(A44="",Q44=""),"",IF(AND(ISNUMBER(S44),S44&lt;AsOf,O44&lt;&gt;"Reviewed"),"Overdue",""))</f>
        <v/>
      </c>
      <c r="V44" s="54" t="str">
        <f aca="false">IF(A44="","",IF(COUNTIF(QA_ID,A44)&gt;1,"CHECK: duplicate ID",IF(B44="","CHECK: Supplier ID missing",IF(COUNTIF(INV_ID,B44)=0,"CHECK: Supplier ID not in inventory",IF(E44="","CHECK: Question ID missing",IF(COUNTIF(QB_ID,E44)=0,"CHECK: Question ID not in bank","OK"))))))</f>
        <v/>
      </c>
    </row>
    <row r="45" customFormat="false" ht="15" hidden="false" customHeight="false" outlineLevel="0" collapsed="false">
      <c r="A45" s="50"/>
      <c r="B45" s="50"/>
      <c r="C45" s="59" t="str">
        <f aca="false">IF(B45="","",IFERROR(INDEX(INV_NAME,MATCH(B45,INV_ID,0)),"CHECK: Supplier ID not found"))</f>
        <v/>
      </c>
      <c r="D45" s="63" t="str">
        <f aca="false">IF(B45="","",IFERROR(INDEX(INV_TIER,MATCH(B45,INV_ID,0)),""))</f>
        <v/>
      </c>
      <c r="E45" s="50"/>
      <c r="F45" s="59" t="str">
        <f aca="false">IF(E45="","",IFERROR(INDEX(QB_Q,MATCH(E45,QB_ID,0)),"CHECK: Question ID not found"))</f>
        <v/>
      </c>
      <c r="G45" s="59" t="str">
        <f aca="false">IF(E45="","",IFERROR(INDEX(QB_DOMAIN,MATCH(E45,QB_ID,0)),""))</f>
        <v/>
      </c>
      <c r="H45" s="54" t="str">
        <f aca="false">IF(OR(A45="",E45=""),"",IFERROR(IF(ISNUMBER(MATCH(D45,{"Low","Medium","High"},0)),IF(MATCH(D45,{"Low","Medium","High"},0)&gt;=MATCH(INDEX(QB_MINTIER,MATCH(E45,QB_ID,0)),{"Low","Medium","High"},0),"Recommended for tier","Optional for tier"),"Tier not determined"),"Check question"))</f>
        <v/>
      </c>
      <c r="I45" s="34"/>
      <c r="J45" s="50"/>
      <c r="K45" s="34"/>
      <c r="L45" s="34"/>
      <c r="M45" s="62" t="str">
        <f aca="false">IF(L45="","",SUMPRODUCT(ISNUMBER(SEARCH(","&amp;EV_ID&amp;",",","&amp;SUBSTITUTE(L45," ","")&amp;","))*(EV_ID&lt;&gt;"")))</f>
        <v/>
      </c>
      <c r="N45" s="54" t="str">
        <f aca="false">IF(A45="","",IF(I45&lt;&gt;"Applicable",IF(I45="","Applicability not set","Not in scope ("&amp;I45&amp;")"),IF(OR(J45="",J45="Not answered"),"Awaiting supplier response",IF(J45="Not applicable","Supplier states not applicable - analyst to confirm",IF(L45="","Evidence insufficient - none referenced",IF(M45=0,"Evidence insufficient - referenced ID not found",IF(SUMPRODUCT(ISNUMBER(SEARCH(","&amp;EV_ID&amp;",",","&amp;SUBSTITUTE(L45," ","")&amp;","))*(EV_ID&lt;&gt;"")*(EV_SUFF="Sufficient"))&gt;0,"Evidence reviewed - sufficient",IF(SUMPRODUCT(ISNUMBER(SEARCH(","&amp;EV_ID&amp;",",","&amp;SUBSTITUTE(L45," ","")&amp;","))*(EV_ID&lt;&gt;"")*(EV_SUFF="Partially sufficient"))&gt;0,"Evidence partially sufficient","Evidence insufficient - referenced evidence not sufficient"))))))))</f>
        <v/>
      </c>
      <c r="O45" s="50"/>
      <c r="P45" s="34"/>
      <c r="Q45" s="34"/>
      <c r="R45" s="50"/>
      <c r="S45" s="51"/>
      <c r="T45" s="51"/>
      <c r="U45" s="52" t="str">
        <f aca="false">IF(OR(A45="",Q45=""),"",IF(AND(ISNUMBER(S45),S45&lt;AsOf,O45&lt;&gt;"Reviewed"),"Overdue",""))</f>
        <v/>
      </c>
      <c r="V45" s="54" t="str">
        <f aca="false">IF(A45="","",IF(COUNTIF(QA_ID,A45)&gt;1,"CHECK: duplicate ID",IF(B45="","CHECK: Supplier ID missing",IF(COUNTIF(INV_ID,B45)=0,"CHECK: Supplier ID not in inventory",IF(E45="","CHECK: Question ID missing",IF(COUNTIF(QB_ID,E45)=0,"CHECK: Question ID not in bank","OK"))))))</f>
        <v/>
      </c>
    </row>
    <row r="46" customFormat="false" ht="15" hidden="false" customHeight="false" outlineLevel="0" collapsed="false">
      <c r="A46" s="50"/>
      <c r="B46" s="50"/>
      <c r="C46" s="59" t="str">
        <f aca="false">IF(B46="","",IFERROR(INDEX(INV_NAME,MATCH(B46,INV_ID,0)),"CHECK: Supplier ID not found"))</f>
        <v/>
      </c>
      <c r="D46" s="63" t="str">
        <f aca="false">IF(B46="","",IFERROR(INDEX(INV_TIER,MATCH(B46,INV_ID,0)),""))</f>
        <v/>
      </c>
      <c r="E46" s="50"/>
      <c r="F46" s="59" t="str">
        <f aca="false">IF(E46="","",IFERROR(INDEX(QB_Q,MATCH(E46,QB_ID,0)),"CHECK: Question ID not found"))</f>
        <v/>
      </c>
      <c r="G46" s="59" t="str">
        <f aca="false">IF(E46="","",IFERROR(INDEX(QB_DOMAIN,MATCH(E46,QB_ID,0)),""))</f>
        <v/>
      </c>
      <c r="H46" s="54" t="str">
        <f aca="false">IF(OR(A46="",E46=""),"",IFERROR(IF(ISNUMBER(MATCH(D46,{"Low","Medium","High"},0)),IF(MATCH(D46,{"Low","Medium","High"},0)&gt;=MATCH(INDEX(QB_MINTIER,MATCH(E46,QB_ID,0)),{"Low","Medium","High"},0),"Recommended for tier","Optional for tier"),"Tier not determined"),"Check question"))</f>
        <v/>
      </c>
      <c r="I46" s="34"/>
      <c r="J46" s="50"/>
      <c r="K46" s="34"/>
      <c r="L46" s="34"/>
      <c r="M46" s="62" t="str">
        <f aca="false">IF(L46="","",SUMPRODUCT(ISNUMBER(SEARCH(","&amp;EV_ID&amp;",",","&amp;SUBSTITUTE(L46," ","")&amp;","))*(EV_ID&lt;&gt;"")))</f>
        <v/>
      </c>
      <c r="N46" s="54" t="str">
        <f aca="false">IF(A46="","",IF(I46&lt;&gt;"Applicable",IF(I46="","Applicability not set","Not in scope ("&amp;I46&amp;")"),IF(OR(J46="",J46="Not answered"),"Awaiting supplier response",IF(J46="Not applicable","Supplier states not applicable - analyst to confirm",IF(L46="","Evidence insufficient - none referenced",IF(M46=0,"Evidence insufficient - referenced ID not found",IF(SUMPRODUCT(ISNUMBER(SEARCH(","&amp;EV_ID&amp;",",","&amp;SUBSTITUTE(L46," ","")&amp;","))*(EV_ID&lt;&gt;"")*(EV_SUFF="Sufficient"))&gt;0,"Evidence reviewed - sufficient",IF(SUMPRODUCT(ISNUMBER(SEARCH(","&amp;EV_ID&amp;",",","&amp;SUBSTITUTE(L46," ","")&amp;","))*(EV_ID&lt;&gt;"")*(EV_SUFF="Partially sufficient"))&gt;0,"Evidence partially sufficient","Evidence insufficient - referenced evidence not sufficient"))))))))</f>
        <v/>
      </c>
      <c r="O46" s="50"/>
      <c r="P46" s="34"/>
      <c r="Q46" s="34"/>
      <c r="R46" s="50"/>
      <c r="S46" s="51"/>
      <c r="T46" s="51"/>
      <c r="U46" s="52" t="str">
        <f aca="false">IF(OR(A46="",Q46=""),"",IF(AND(ISNUMBER(S46),S46&lt;AsOf,O46&lt;&gt;"Reviewed"),"Overdue",""))</f>
        <v/>
      </c>
      <c r="V46" s="54" t="str">
        <f aca="false">IF(A46="","",IF(COUNTIF(QA_ID,A46)&gt;1,"CHECK: duplicate ID",IF(B46="","CHECK: Supplier ID missing",IF(COUNTIF(INV_ID,B46)=0,"CHECK: Supplier ID not in inventory",IF(E46="","CHECK: Question ID missing",IF(COUNTIF(QB_ID,E46)=0,"CHECK: Question ID not in bank","OK"))))))</f>
        <v/>
      </c>
    </row>
    <row r="47" customFormat="false" ht="15" hidden="false" customHeight="false" outlineLevel="0" collapsed="false">
      <c r="A47" s="50"/>
      <c r="B47" s="50"/>
      <c r="C47" s="59" t="str">
        <f aca="false">IF(B47="","",IFERROR(INDEX(INV_NAME,MATCH(B47,INV_ID,0)),"CHECK: Supplier ID not found"))</f>
        <v/>
      </c>
      <c r="D47" s="63" t="str">
        <f aca="false">IF(B47="","",IFERROR(INDEX(INV_TIER,MATCH(B47,INV_ID,0)),""))</f>
        <v/>
      </c>
      <c r="E47" s="50"/>
      <c r="F47" s="59" t="str">
        <f aca="false">IF(E47="","",IFERROR(INDEX(QB_Q,MATCH(E47,QB_ID,0)),"CHECK: Question ID not found"))</f>
        <v/>
      </c>
      <c r="G47" s="59" t="str">
        <f aca="false">IF(E47="","",IFERROR(INDEX(QB_DOMAIN,MATCH(E47,QB_ID,0)),""))</f>
        <v/>
      </c>
      <c r="H47" s="54" t="str">
        <f aca="false">IF(OR(A47="",E47=""),"",IFERROR(IF(ISNUMBER(MATCH(D47,{"Low","Medium","High"},0)),IF(MATCH(D47,{"Low","Medium","High"},0)&gt;=MATCH(INDEX(QB_MINTIER,MATCH(E47,QB_ID,0)),{"Low","Medium","High"},0),"Recommended for tier","Optional for tier"),"Tier not determined"),"Check question"))</f>
        <v/>
      </c>
      <c r="I47" s="34"/>
      <c r="J47" s="50"/>
      <c r="K47" s="34"/>
      <c r="L47" s="34"/>
      <c r="M47" s="62" t="str">
        <f aca="false">IF(L47="","",SUMPRODUCT(ISNUMBER(SEARCH(","&amp;EV_ID&amp;",",","&amp;SUBSTITUTE(L47," ","")&amp;","))*(EV_ID&lt;&gt;"")))</f>
        <v/>
      </c>
      <c r="N47" s="54" t="str">
        <f aca="false">IF(A47="","",IF(I47&lt;&gt;"Applicable",IF(I47="","Applicability not set","Not in scope ("&amp;I47&amp;")"),IF(OR(J47="",J47="Not answered"),"Awaiting supplier response",IF(J47="Not applicable","Supplier states not applicable - analyst to confirm",IF(L47="","Evidence insufficient - none referenced",IF(M47=0,"Evidence insufficient - referenced ID not found",IF(SUMPRODUCT(ISNUMBER(SEARCH(","&amp;EV_ID&amp;",",","&amp;SUBSTITUTE(L47," ","")&amp;","))*(EV_ID&lt;&gt;"")*(EV_SUFF="Sufficient"))&gt;0,"Evidence reviewed - sufficient",IF(SUMPRODUCT(ISNUMBER(SEARCH(","&amp;EV_ID&amp;",",","&amp;SUBSTITUTE(L47," ","")&amp;","))*(EV_ID&lt;&gt;"")*(EV_SUFF="Partially sufficient"))&gt;0,"Evidence partially sufficient","Evidence insufficient - referenced evidence not sufficient"))))))))</f>
        <v/>
      </c>
      <c r="O47" s="50"/>
      <c r="P47" s="34"/>
      <c r="Q47" s="34"/>
      <c r="R47" s="50"/>
      <c r="S47" s="51"/>
      <c r="T47" s="51"/>
      <c r="U47" s="52" t="str">
        <f aca="false">IF(OR(A47="",Q47=""),"",IF(AND(ISNUMBER(S47),S47&lt;AsOf,O47&lt;&gt;"Reviewed"),"Overdue",""))</f>
        <v/>
      </c>
      <c r="V47" s="54" t="str">
        <f aca="false">IF(A47="","",IF(COUNTIF(QA_ID,A47)&gt;1,"CHECK: duplicate ID",IF(B47="","CHECK: Supplier ID missing",IF(COUNTIF(INV_ID,B47)=0,"CHECK: Supplier ID not in inventory",IF(E47="","CHECK: Question ID missing",IF(COUNTIF(QB_ID,E47)=0,"CHECK: Question ID not in bank","OK"))))))</f>
        <v/>
      </c>
    </row>
    <row r="48" customFormat="false" ht="15" hidden="false" customHeight="false" outlineLevel="0" collapsed="false">
      <c r="A48" s="50"/>
      <c r="B48" s="50"/>
      <c r="C48" s="59" t="str">
        <f aca="false">IF(B48="","",IFERROR(INDEX(INV_NAME,MATCH(B48,INV_ID,0)),"CHECK: Supplier ID not found"))</f>
        <v/>
      </c>
      <c r="D48" s="63" t="str">
        <f aca="false">IF(B48="","",IFERROR(INDEX(INV_TIER,MATCH(B48,INV_ID,0)),""))</f>
        <v/>
      </c>
      <c r="E48" s="50"/>
      <c r="F48" s="59" t="str">
        <f aca="false">IF(E48="","",IFERROR(INDEX(QB_Q,MATCH(E48,QB_ID,0)),"CHECK: Question ID not found"))</f>
        <v/>
      </c>
      <c r="G48" s="59" t="str">
        <f aca="false">IF(E48="","",IFERROR(INDEX(QB_DOMAIN,MATCH(E48,QB_ID,0)),""))</f>
        <v/>
      </c>
      <c r="H48" s="54" t="str">
        <f aca="false">IF(OR(A48="",E48=""),"",IFERROR(IF(ISNUMBER(MATCH(D48,{"Low","Medium","High"},0)),IF(MATCH(D48,{"Low","Medium","High"},0)&gt;=MATCH(INDEX(QB_MINTIER,MATCH(E48,QB_ID,0)),{"Low","Medium","High"},0),"Recommended for tier","Optional for tier"),"Tier not determined"),"Check question"))</f>
        <v/>
      </c>
      <c r="I48" s="34"/>
      <c r="J48" s="50"/>
      <c r="K48" s="34"/>
      <c r="L48" s="34"/>
      <c r="M48" s="62" t="str">
        <f aca="false">IF(L48="","",SUMPRODUCT(ISNUMBER(SEARCH(","&amp;EV_ID&amp;",",","&amp;SUBSTITUTE(L48," ","")&amp;","))*(EV_ID&lt;&gt;"")))</f>
        <v/>
      </c>
      <c r="N48" s="54" t="str">
        <f aca="false">IF(A48="","",IF(I48&lt;&gt;"Applicable",IF(I48="","Applicability not set","Not in scope ("&amp;I48&amp;")"),IF(OR(J48="",J48="Not answered"),"Awaiting supplier response",IF(J48="Not applicable","Supplier states not applicable - analyst to confirm",IF(L48="","Evidence insufficient - none referenced",IF(M48=0,"Evidence insufficient - referenced ID not found",IF(SUMPRODUCT(ISNUMBER(SEARCH(","&amp;EV_ID&amp;",",","&amp;SUBSTITUTE(L48," ","")&amp;","))*(EV_ID&lt;&gt;"")*(EV_SUFF="Sufficient"))&gt;0,"Evidence reviewed - sufficient",IF(SUMPRODUCT(ISNUMBER(SEARCH(","&amp;EV_ID&amp;",",","&amp;SUBSTITUTE(L48," ","")&amp;","))*(EV_ID&lt;&gt;"")*(EV_SUFF="Partially sufficient"))&gt;0,"Evidence partially sufficient","Evidence insufficient - referenced evidence not sufficient"))))))))</f>
        <v/>
      </c>
      <c r="O48" s="50"/>
      <c r="P48" s="34"/>
      <c r="Q48" s="34"/>
      <c r="R48" s="50"/>
      <c r="S48" s="51"/>
      <c r="T48" s="51"/>
      <c r="U48" s="52" t="str">
        <f aca="false">IF(OR(A48="",Q48=""),"",IF(AND(ISNUMBER(S48),S48&lt;AsOf,O48&lt;&gt;"Reviewed"),"Overdue",""))</f>
        <v/>
      </c>
      <c r="V48" s="54" t="str">
        <f aca="false">IF(A48="","",IF(COUNTIF(QA_ID,A48)&gt;1,"CHECK: duplicate ID",IF(B48="","CHECK: Supplier ID missing",IF(COUNTIF(INV_ID,B48)=0,"CHECK: Supplier ID not in inventory",IF(E48="","CHECK: Question ID missing",IF(COUNTIF(QB_ID,E48)=0,"CHECK: Question ID not in bank","OK"))))))</f>
        <v/>
      </c>
    </row>
    <row r="49" customFormat="false" ht="15" hidden="false" customHeight="false" outlineLevel="0" collapsed="false">
      <c r="A49" s="50"/>
      <c r="B49" s="50"/>
      <c r="C49" s="59" t="str">
        <f aca="false">IF(B49="","",IFERROR(INDEX(INV_NAME,MATCH(B49,INV_ID,0)),"CHECK: Supplier ID not found"))</f>
        <v/>
      </c>
      <c r="D49" s="63" t="str">
        <f aca="false">IF(B49="","",IFERROR(INDEX(INV_TIER,MATCH(B49,INV_ID,0)),""))</f>
        <v/>
      </c>
      <c r="E49" s="50"/>
      <c r="F49" s="59" t="str">
        <f aca="false">IF(E49="","",IFERROR(INDEX(QB_Q,MATCH(E49,QB_ID,0)),"CHECK: Question ID not found"))</f>
        <v/>
      </c>
      <c r="G49" s="59" t="str">
        <f aca="false">IF(E49="","",IFERROR(INDEX(QB_DOMAIN,MATCH(E49,QB_ID,0)),""))</f>
        <v/>
      </c>
      <c r="H49" s="54" t="str">
        <f aca="false">IF(OR(A49="",E49=""),"",IFERROR(IF(ISNUMBER(MATCH(D49,{"Low","Medium","High"},0)),IF(MATCH(D49,{"Low","Medium","High"},0)&gt;=MATCH(INDEX(QB_MINTIER,MATCH(E49,QB_ID,0)),{"Low","Medium","High"},0),"Recommended for tier","Optional for tier"),"Tier not determined"),"Check question"))</f>
        <v/>
      </c>
      <c r="I49" s="34"/>
      <c r="J49" s="50"/>
      <c r="K49" s="34"/>
      <c r="L49" s="34"/>
      <c r="M49" s="62" t="str">
        <f aca="false">IF(L49="","",SUMPRODUCT(ISNUMBER(SEARCH(","&amp;EV_ID&amp;",",","&amp;SUBSTITUTE(L49," ","")&amp;","))*(EV_ID&lt;&gt;"")))</f>
        <v/>
      </c>
      <c r="N49" s="54" t="str">
        <f aca="false">IF(A49="","",IF(I49&lt;&gt;"Applicable",IF(I49="","Applicability not set","Not in scope ("&amp;I49&amp;")"),IF(OR(J49="",J49="Not answered"),"Awaiting supplier response",IF(J49="Not applicable","Supplier states not applicable - analyst to confirm",IF(L49="","Evidence insufficient - none referenced",IF(M49=0,"Evidence insufficient - referenced ID not found",IF(SUMPRODUCT(ISNUMBER(SEARCH(","&amp;EV_ID&amp;",",","&amp;SUBSTITUTE(L49," ","")&amp;","))*(EV_ID&lt;&gt;"")*(EV_SUFF="Sufficient"))&gt;0,"Evidence reviewed - sufficient",IF(SUMPRODUCT(ISNUMBER(SEARCH(","&amp;EV_ID&amp;",",","&amp;SUBSTITUTE(L49," ","")&amp;","))*(EV_ID&lt;&gt;"")*(EV_SUFF="Partially sufficient"))&gt;0,"Evidence partially sufficient","Evidence insufficient - referenced evidence not sufficient"))))))))</f>
        <v/>
      </c>
      <c r="O49" s="50"/>
      <c r="P49" s="34"/>
      <c r="Q49" s="34"/>
      <c r="R49" s="50"/>
      <c r="S49" s="51"/>
      <c r="T49" s="51"/>
      <c r="U49" s="52" t="str">
        <f aca="false">IF(OR(A49="",Q49=""),"",IF(AND(ISNUMBER(S49),S49&lt;AsOf,O49&lt;&gt;"Reviewed"),"Overdue",""))</f>
        <v/>
      </c>
      <c r="V49" s="54" t="str">
        <f aca="false">IF(A49="","",IF(COUNTIF(QA_ID,A49)&gt;1,"CHECK: duplicate ID",IF(B49="","CHECK: Supplier ID missing",IF(COUNTIF(INV_ID,B49)=0,"CHECK: Supplier ID not in inventory",IF(E49="","CHECK: Question ID missing",IF(COUNTIF(QB_ID,E49)=0,"CHECK: Question ID not in bank","OK"))))))</f>
        <v/>
      </c>
    </row>
    <row r="50" customFormat="false" ht="15" hidden="false" customHeight="false" outlineLevel="0" collapsed="false">
      <c r="A50" s="50"/>
      <c r="B50" s="50"/>
      <c r="C50" s="59" t="str">
        <f aca="false">IF(B50="","",IFERROR(INDEX(INV_NAME,MATCH(B50,INV_ID,0)),"CHECK: Supplier ID not found"))</f>
        <v/>
      </c>
      <c r="D50" s="63" t="str">
        <f aca="false">IF(B50="","",IFERROR(INDEX(INV_TIER,MATCH(B50,INV_ID,0)),""))</f>
        <v/>
      </c>
      <c r="E50" s="50"/>
      <c r="F50" s="59" t="str">
        <f aca="false">IF(E50="","",IFERROR(INDEX(QB_Q,MATCH(E50,QB_ID,0)),"CHECK: Question ID not found"))</f>
        <v/>
      </c>
      <c r="G50" s="59" t="str">
        <f aca="false">IF(E50="","",IFERROR(INDEX(QB_DOMAIN,MATCH(E50,QB_ID,0)),""))</f>
        <v/>
      </c>
      <c r="H50" s="54" t="str">
        <f aca="false">IF(OR(A50="",E50=""),"",IFERROR(IF(ISNUMBER(MATCH(D50,{"Low","Medium","High"},0)),IF(MATCH(D50,{"Low","Medium","High"},0)&gt;=MATCH(INDEX(QB_MINTIER,MATCH(E50,QB_ID,0)),{"Low","Medium","High"},0),"Recommended for tier","Optional for tier"),"Tier not determined"),"Check question"))</f>
        <v/>
      </c>
      <c r="I50" s="34"/>
      <c r="J50" s="50"/>
      <c r="K50" s="34"/>
      <c r="L50" s="34"/>
      <c r="M50" s="62" t="str">
        <f aca="false">IF(L50="","",SUMPRODUCT(ISNUMBER(SEARCH(","&amp;EV_ID&amp;",",","&amp;SUBSTITUTE(L50," ","")&amp;","))*(EV_ID&lt;&gt;"")))</f>
        <v/>
      </c>
      <c r="N50" s="54" t="str">
        <f aca="false">IF(A50="","",IF(I50&lt;&gt;"Applicable",IF(I50="","Applicability not set","Not in scope ("&amp;I50&amp;")"),IF(OR(J50="",J50="Not answered"),"Awaiting supplier response",IF(J50="Not applicable","Supplier states not applicable - analyst to confirm",IF(L50="","Evidence insufficient - none referenced",IF(M50=0,"Evidence insufficient - referenced ID not found",IF(SUMPRODUCT(ISNUMBER(SEARCH(","&amp;EV_ID&amp;",",","&amp;SUBSTITUTE(L50," ","")&amp;","))*(EV_ID&lt;&gt;"")*(EV_SUFF="Sufficient"))&gt;0,"Evidence reviewed - sufficient",IF(SUMPRODUCT(ISNUMBER(SEARCH(","&amp;EV_ID&amp;",",","&amp;SUBSTITUTE(L50," ","")&amp;","))*(EV_ID&lt;&gt;"")*(EV_SUFF="Partially sufficient"))&gt;0,"Evidence partially sufficient","Evidence insufficient - referenced evidence not sufficient"))))))))</f>
        <v/>
      </c>
      <c r="O50" s="50"/>
      <c r="P50" s="34"/>
      <c r="Q50" s="34"/>
      <c r="R50" s="50"/>
      <c r="S50" s="51"/>
      <c r="T50" s="51"/>
      <c r="U50" s="52" t="str">
        <f aca="false">IF(OR(A50="",Q50=""),"",IF(AND(ISNUMBER(S50),S50&lt;AsOf,O50&lt;&gt;"Reviewed"),"Overdue",""))</f>
        <v/>
      </c>
      <c r="V50" s="54" t="str">
        <f aca="false">IF(A50="","",IF(COUNTIF(QA_ID,A50)&gt;1,"CHECK: duplicate ID",IF(B50="","CHECK: Supplier ID missing",IF(COUNTIF(INV_ID,B50)=0,"CHECK: Supplier ID not in inventory",IF(E50="","CHECK: Question ID missing",IF(COUNTIF(QB_ID,E50)=0,"CHECK: Question ID not in bank","OK"))))))</f>
        <v/>
      </c>
    </row>
    <row r="51" customFormat="false" ht="15" hidden="false" customHeight="false" outlineLevel="0" collapsed="false">
      <c r="A51" s="50"/>
      <c r="B51" s="50"/>
      <c r="C51" s="59" t="str">
        <f aca="false">IF(B51="","",IFERROR(INDEX(INV_NAME,MATCH(B51,INV_ID,0)),"CHECK: Supplier ID not found"))</f>
        <v/>
      </c>
      <c r="D51" s="63" t="str">
        <f aca="false">IF(B51="","",IFERROR(INDEX(INV_TIER,MATCH(B51,INV_ID,0)),""))</f>
        <v/>
      </c>
      <c r="E51" s="50"/>
      <c r="F51" s="59" t="str">
        <f aca="false">IF(E51="","",IFERROR(INDEX(QB_Q,MATCH(E51,QB_ID,0)),"CHECK: Question ID not found"))</f>
        <v/>
      </c>
      <c r="G51" s="59" t="str">
        <f aca="false">IF(E51="","",IFERROR(INDEX(QB_DOMAIN,MATCH(E51,QB_ID,0)),""))</f>
        <v/>
      </c>
      <c r="H51" s="54" t="str">
        <f aca="false">IF(OR(A51="",E51=""),"",IFERROR(IF(ISNUMBER(MATCH(D51,{"Low","Medium","High"},0)),IF(MATCH(D51,{"Low","Medium","High"},0)&gt;=MATCH(INDEX(QB_MINTIER,MATCH(E51,QB_ID,0)),{"Low","Medium","High"},0),"Recommended for tier","Optional for tier"),"Tier not determined"),"Check question"))</f>
        <v/>
      </c>
      <c r="I51" s="34"/>
      <c r="J51" s="50"/>
      <c r="K51" s="34"/>
      <c r="L51" s="34"/>
      <c r="M51" s="62" t="str">
        <f aca="false">IF(L51="","",SUMPRODUCT(ISNUMBER(SEARCH(","&amp;EV_ID&amp;",",","&amp;SUBSTITUTE(L51," ","")&amp;","))*(EV_ID&lt;&gt;"")))</f>
        <v/>
      </c>
      <c r="N51" s="54" t="str">
        <f aca="false">IF(A51="","",IF(I51&lt;&gt;"Applicable",IF(I51="","Applicability not set","Not in scope ("&amp;I51&amp;")"),IF(OR(J51="",J51="Not answered"),"Awaiting supplier response",IF(J51="Not applicable","Supplier states not applicable - analyst to confirm",IF(L51="","Evidence insufficient - none referenced",IF(M51=0,"Evidence insufficient - referenced ID not found",IF(SUMPRODUCT(ISNUMBER(SEARCH(","&amp;EV_ID&amp;",",","&amp;SUBSTITUTE(L51," ","")&amp;","))*(EV_ID&lt;&gt;"")*(EV_SUFF="Sufficient"))&gt;0,"Evidence reviewed - sufficient",IF(SUMPRODUCT(ISNUMBER(SEARCH(","&amp;EV_ID&amp;",",","&amp;SUBSTITUTE(L51," ","")&amp;","))*(EV_ID&lt;&gt;"")*(EV_SUFF="Partially sufficient"))&gt;0,"Evidence partially sufficient","Evidence insufficient - referenced evidence not sufficient"))))))))</f>
        <v/>
      </c>
      <c r="O51" s="50"/>
      <c r="P51" s="34"/>
      <c r="Q51" s="34"/>
      <c r="R51" s="50"/>
      <c r="S51" s="51"/>
      <c r="T51" s="51"/>
      <c r="U51" s="52" t="str">
        <f aca="false">IF(OR(A51="",Q51=""),"",IF(AND(ISNUMBER(S51),S51&lt;AsOf,O51&lt;&gt;"Reviewed"),"Overdue",""))</f>
        <v/>
      </c>
      <c r="V51" s="54" t="str">
        <f aca="false">IF(A51="","",IF(COUNTIF(QA_ID,A51)&gt;1,"CHECK: duplicate ID",IF(B51="","CHECK: Supplier ID missing",IF(COUNTIF(INV_ID,B51)=0,"CHECK: Supplier ID not in inventory",IF(E51="","CHECK: Question ID missing",IF(COUNTIF(QB_ID,E51)=0,"CHECK: Question ID not in bank","OK"))))))</f>
        <v/>
      </c>
    </row>
    <row r="52" customFormat="false" ht="15" hidden="false" customHeight="false" outlineLevel="0" collapsed="false">
      <c r="A52" s="50"/>
      <c r="B52" s="50"/>
      <c r="C52" s="59" t="str">
        <f aca="false">IF(B52="","",IFERROR(INDEX(INV_NAME,MATCH(B52,INV_ID,0)),"CHECK: Supplier ID not found"))</f>
        <v/>
      </c>
      <c r="D52" s="63" t="str">
        <f aca="false">IF(B52="","",IFERROR(INDEX(INV_TIER,MATCH(B52,INV_ID,0)),""))</f>
        <v/>
      </c>
      <c r="E52" s="50"/>
      <c r="F52" s="59" t="str">
        <f aca="false">IF(E52="","",IFERROR(INDEX(QB_Q,MATCH(E52,QB_ID,0)),"CHECK: Question ID not found"))</f>
        <v/>
      </c>
      <c r="G52" s="59" t="str">
        <f aca="false">IF(E52="","",IFERROR(INDEX(QB_DOMAIN,MATCH(E52,QB_ID,0)),""))</f>
        <v/>
      </c>
      <c r="H52" s="54" t="str">
        <f aca="false">IF(OR(A52="",E52=""),"",IFERROR(IF(ISNUMBER(MATCH(D52,{"Low","Medium","High"},0)),IF(MATCH(D52,{"Low","Medium","High"},0)&gt;=MATCH(INDEX(QB_MINTIER,MATCH(E52,QB_ID,0)),{"Low","Medium","High"},0),"Recommended for tier","Optional for tier"),"Tier not determined"),"Check question"))</f>
        <v/>
      </c>
      <c r="I52" s="34"/>
      <c r="J52" s="50"/>
      <c r="K52" s="34"/>
      <c r="L52" s="34"/>
      <c r="M52" s="62" t="str">
        <f aca="false">IF(L52="","",SUMPRODUCT(ISNUMBER(SEARCH(","&amp;EV_ID&amp;",",","&amp;SUBSTITUTE(L52," ","")&amp;","))*(EV_ID&lt;&gt;"")))</f>
        <v/>
      </c>
      <c r="N52" s="54" t="str">
        <f aca="false">IF(A52="","",IF(I52&lt;&gt;"Applicable",IF(I52="","Applicability not set","Not in scope ("&amp;I52&amp;")"),IF(OR(J52="",J52="Not answered"),"Awaiting supplier response",IF(J52="Not applicable","Supplier states not applicable - analyst to confirm",IF(L52="","Evidence insufficient - none referenced",IF(M52=0,"Evidence insufficient - referenced ID not found",IF(SUMPRODUCT(ISNUMBER(SEARCH(","&amp;EV_ID&amp;",",","&amp;SUBSTITUTE(L52," ","")&amp;","))*(EV_ID&lt;&gt;"")*(EV_SUFF="Sufficient"))&gt;0,"Evidence reviewed - sufficient",IF(SUMPRODUCT(ISNUMBER(SEARCH(","&amp;EV_ID&amp;",",","&amp;SUBSTITUTE(L52," ","")&amp;","))*(EV_ID&lt;&gt;"")*(EV_SUFF="Partially sufficient"))&gt;0,"Evidence partially sufficient","Evidence insufficient - referenced evidence not sufficient"))))))))</f>
        <v/>
      </c>
      <c r="O52" s="50"/>
      <c r="P52" s="34"/>
      <c r="Q52" s="34"/>
      <c r="R52" s="50"/>
      <c r="S52" s="51"/>
      <c r="T52" s="51"/>
      <c r="U52" s="52" t="str">
        <f aca="false">IF(OR(A52="",Q52=""),"",IF(AND(ISNUMBER(S52),S52&lt;AsOf,O52&lt;&gt;"Reviewed"),"Overdue",""))</f>
        <v/>
      </c>
      <c r="V52" s="54" t="str">
        <f aca="false">IF(A52="","",IF(COUNTIF(QA_ID,A52)&gt;1,"CHECK: duplicate ID",IF(B52="","CHECK: Supplier ID missing",IF(COUNTIF(INV_ID,B52)=0,"CHECK: Supplier ID not in inventory",IF(E52="","CHECK: Question ID missing",IF(COUNTIF(QB_ID,E52)=0,"CHECK: Question ID not in bank","OK"))))))</f>
        <v/>
      </c>
    </row>
    <row r="53" customFormat="false" ht="15" hidden="false" customHeight="false" outlineLevel="0" collapsed="false">
      <c r="A53" s="50"/>
      <c r="B53" s="50"/>
      <c r="C53" s="59" t="str">
        <f aca="false">IF(B53="","",IFERROR(INDEX(INV_NAME,MATCH(B53,INV_ID,0)),"CHECK: Supplier ID not found"))</f>
        <v/>
      </c>
      <c r="D53" s="63" t="str">
        <f aca="false">IF(B53="","",IFERROR(INDEX(INV_TIER,MATCH(B53,INV_ID,0)),""))</f>
        <v/>
      </c>
      <c r="E53" s="50"/>
      <c r="F53" s="59" t="str">
        <f aca="false">IF(E53="","",IFERROR(INDEX(QB_Q,MATCH(E53,QB_ID,0)),"CHECK: Question ID not found"))</f>
        <v/>
      </c>
      <c r="G53" s="59" t="str">
        <f aca="false">IF(E53="","",IFERROR(INDEX(QB_DOMAIN,MATCH(E53,QB_ID,0)),""))</f>
        <v/>
      </c>
      <c r="H53" s="54" t="str">
        <f aca="false">IF(OR(A53="",E53=""),"",IFERROR(IF(ISNUMBER(MATCH(D53,{"Low","Medium","High"},0)),IF(MATCH(D53,{"Low","Medium","High"},0)&gt;=MATCH(INDEX(QB_MINTIER,MATCH(E53,QB_ID,0)),{"Low","Medium","High"},0),"Recommended for tier","Optional for tier"),"Tier not determined"),"Check question"))</f>
        <v/>
      </c>
      <c r="I53" s="34"/>
      <c r="J53" s="50"/>
      <c r="K53" s="34"/>
      <c r="L53" s="34"/>
      <c r="M53" s="62" t="str">
        <f aca="false">IF(L53="","",SUMPRODUCT(ISNUMBER(SEARCH(","&amp;EV_ID&amp;",",","&amp;SUBSTITUTE(L53," ","")&amp;","))*(EV_ID&lt;&gt;"")))</f>
        <v/>
      </c>
      <c r="N53" s="54" t="str">
        <f aca="false">IF(A53="","",IF(I53&lt;&gt;"Applicable",IF(I53="","Applicability not set","Not in scope ("&amp;I53&amp;")"),IF(OR(J53="",J53="Not answered"),"Awaiting supplier response",IF(J53="Not applicable","Supplier states not applicable - analyst to confirm",IF(L53="","Evidence insufficient - none referenced",IF(M53=0,"Evidence insufficient - referenced ID not found",IF(SUMPRODUCT(ISNUMBER(SEARCH(","&amp;EV_ID&amp;",",","&amp;SUBSTITUTE(L53," ","")&amp;","))*(EV_ID&lt;&gt;"")*(EV_SUFF="Sufficient"))&gt;0,"Evidence reviewed - sufficient",IF(SUMPRODUCT(ISNUMBER(SEARCH(","&amp;EV_ID&amp;",",","&amp;SUBSTITUTE(L53," ","")&amp;","))*(EV_ID&lt;&gt;"")*(EV_SUFF="Partially sufficient"))&gt;0,"Evidence partially sufficient","Evidence insufficient - referenced evidence not sufficient"))))))))</f>
        <v/>
      </c>
      <c r="O53" s="50"/>
      <c r="P53" s="34"/>
      <c r="Q53" s="34"/>
      <c r="R53" s="50"/>
      <c r="S53" s="51"/>
      <c r="T53" s="51"/>
      <c r="U53" s="52" t="str">
        <f aca="false">IF(OR(A53="",Q53=""),"",IF(AND(ISNUMBER(S53),S53&lt;AsOf,O53&lt;&gt;"Reviewed"),"Overdue",""))</f>
        <v/>
      </c>
      <c r="V53" s="54" t="str">
        <f aca="false">IF(A53="","",IF(COUNTIF(QA_ID,A53)&gt;1,"CHECK: duplicate ID",IF(B53="","CHECK: Supplier ID missing",IF(COUNTIF(INV_ID,B53)=0,"CHECK: Supplier ID not in inventory",IF(E53="","CHECK: Question ID missing",IF(COUNTIF(QB_ID,E53)=0,"CHECK: Question ID not in bank","OK"))))))</f>
        <v/>
      </c>
    </row>
    <row r="54" customFormat="false" ht="15" hidden="false" customHeight="false" outlineLevel="0" collapsed="false">
      <c r="A54" s="50"/>
      <c r="B54" s="50"/>
      <c r="C54" s="59" t="str">
        <f aca="false">IF(B54="","",IFERROR(INDEX(INV_NAME,MATCH(B54,INV_ID,0)),"CHECK: Supplier ID not found"))</f>
        <v/>
      </c>
      <c r="D54" s="63" t="str">
        <f aca="false">IF(B54="","",IFERROR(INDEX(INV_TIER,MATCH(B54,INV_ID,0)),""))</f>
        <v/>
      </c>
      <c r="E54" s="50"/>
      <c r="F54" s="59" t="str">
        <f aca="false">IF(E54="","",IFERROR(INDEX(QB_Q,MATCH(E54,QB_ID,0)),"CHECK: Question ID not found"))</f>
        <v/>
      </c>
      <c r="G54" s="59" t="str">
        <f aca="false">IF(E54="","",IFERROR(INDEX(QB_DOMAIN,MATCH(E54,QB_ID,0)),""))</f>
        <v/>
      </c>
      <c r="H54" s="54" t="str">
        <f aca="false">IF(OR(A54="",E54=""),"",IFERROR(IF(ISNUMBER(MATCH(D54,{"Low","Medium","High"},0)),IF(MATCH(D54,{"Low","Medium","High"},0)&gt;=MATCH(INDEX(QB_MINTIER,MATCH(E54,QB_ID,0)),{"Low","Medium","High"},0),"Recommended for tier","Optional for tier"),"Tier not determined"),"Check question"))</f>
        <v/>
      </c>
      <c r="I54" s="34"/>
      <c r="J54" s="50"/>
      <c r="K54" s="34"/>
      <c r="L54" s="34"/>
      <c r="M54" s="62" t="str">
        <f aca="false">IF(L54="","",SUMPRODUCT(ISNUMBER(SEARCH(","&amp;EV_ID&amp;",",","&amp;SUBSTITUTE(L54," ","")&amp;","))*(EV_ID&lt;&gt;"")))</f>
        <v/>
      </c>
      <c r="N54" s="54" t="str">
        <f aca="false">IF(A54="","",IF(I54&lt;&gt;"Applicable",IF(I54="","Applicability not set","Not in scope ("&amp;I54&amp;")"),IF(OR(J54="",J54="Not answered"),"Awaiting supplier response",IF(J54="Not applicable","Supplier states not applicable - analyst to confirm",IF(L54="","Evidence insufficient - none referenced",IF(M54=0,"Evidence insufficient - referenced ID not found",IF(SUMPRODUCT(ISNUMBER(SEARCH(","&amp;EV_ID&amp;",",","&amp;SUBSTITUTE(L54," ","")&amp;","))*(EV_ID&lt;&gt;"")*(EV_SUFF="Sufficient"))&gt;0,"Evidence reviewed - sufficient",IF(SUMPRODUCT(ISNUMBER(SEARCH(","&amp;EV_ID&amp;",",","&amp;SUBSTITUTE(L54," ","")&amp;","))*(EV_ID&lt;&gt;"")*(EV_SUFF="Partially sufficient"))&gt;0,"Evidence partially sufficient","Evidence insufficient - referenced evidence not sufficient"))))))))</f>
        <v/>
      </c>
      <c r="O54" s="50"/>
      <c r="P54" s="34"/>
      <c r="Q54" s="34"/>
      <c r="R54" s="50"/>
      <c r="S54" s="51"/>
      <c r="T54" s="51"/>
      <c r="U54" s="52" t="str">
        <f aca="false">IF(OR(A54="",Q54=""),"",IF(AND(ISNUMBER(S54),S54&lt;AsOf,O54&lt;&gt;"Reviewed"),"Overdue",""))</f>
        <v/>
      </c>
      <c r="V54" s="54" t="str">
        <f aca="false">IF(A54="","",IF(COUNTIF(QA_ID,A54)&gt;1,"CHECK: duplicate ID",IF(B54="","CHECK: Supplier ID missing",IF(COUNTIF(INV_ID,B54)=0,"CHECK: Supplier ID not in inventory",IF(E54="","CHECK: Question ID missing",IF(COUNTIF(QB_ID,E54)=0,"CHECK: Question ID not in bank","OK"))))))</f>
        <v/>
      </c>
    </row>
    <row r="55" customFormat="false" ht="15" hidden="false" customHeight="false" outlineLevel="0" collapsed="false">
      <c r="A55" s="50"/>
      <c r="B55" s="50"/>
      <c r="C55" s="59" t="str">
        <f aca="false">IF(B55="","",IFERROR(INDEX(INV_NAME,MATCH(B55,INV_ID,0)),"CHECK: Supplier ID not found"))</f>
        <v/>
      </c>
      <c r="D55" s="63" t="str">
        <f aca="false">IF(B55="","",IFERROR(INDEX(INV_TIER,MATCH(B55,INV_ID,0)),""))</f>
        <v/>
      </c>
      <c r="E55" s="50"/>
      <c r="F55" s="59" t="str">
        <f aca="false">IF(E55="","",IFERROR(INDEX(QB_Q,MATCH(E55,QB_ID,0)),"CHECK: Question ID not found"))</f>
        <v/>
      </c>
      <c r="G55" s="59" t="str">
        <f aca="false">IF(E55="","",IFERROR(INDEX(QB_DOMAIN,MATCH(E55,QB_ID,0)),""))</f>
        <v/>
      </c>
      <c r="H55" s="54" t="str">
        <f aca="false">IF(OR(A55="",E55=""),"",IFERROR(IF(ISNUMBER(MATCH(D55,{"Low","Medium","High"},0)),IF(MATCH(D55,{"Low","Medium","High"},0)&gt;=MATCH(INDEX(QB_MINTIER,MATCH(E55,QB_ID,0)),{"Low","Medium","High"},0),"Recommended for tier","Optional for tier"),"Tier not determined"),"Check question"))</f>
        <v/>
      </c>
      <c r="I55" s="34"/>
      <c r="J55" s="50"/>
      <c r="K55" s="34"/>
      <c r="L55" s="34"/>
      <c r="M55" s="62" t="str">
        <f aca="false">IF(L55="","",SUMPRODUCT(ISNUMBER(SEARCH(","&amp;EV_ID&amp;",",","&amp;SUBSTITUTE(L55," ","")&amp;","))*(EV_ID&lt;&gt;"")))</f>
        <v/>
      </c>
      <c r="N55" s="54" t="str">
        <f aca="false">IF(A55="","",IF(I55&lt;&gt;"Applicable",IF(I55="","Applicability not set","Not in scope ("&amp;I55&amp;")"),IF(OR(J55="",J55="Not answered"),"Awaiting supplier response",IF(J55="Not applicable","Supplier states not applicable - analyst to confirm",IF(L55="","Evidence insufficient - none referenced",IF(M55=0,"Evidence insufficient - referenced ID not found",IF(SUMPRODUCT(ISNUMBER(SEARCH(","&amp;EV_ID&amp;",",","&amp;SUBSTITUTE(L55," ","")&amp;","))*(EV_ID&lt;&gt;"")*(EV_SUFF="Sufficient"))&gt;0,"Evidence reviewed - sufficient",IF(SUMPRODUCT(ISNUMBER(SEARCH(","&amp;EV_ID&amp;",",","&amp;SUBSTITUTE(L55," ","")&amp;","))*(EV_ID&lt;&gt;"")*(EV_SUFF="Partially sufficient"))&gt;0,"Evidence partially sufficient","Evidence insufficient - referenced evidence not sufficient"))))))))</f>
        <v/>
      </c>
      <c r="O55" s="50"/>
      <c r="P55" s="34"/>
      <c r="Q55" s="34"/>
      <c r="R55" s="50"/>
      <c r="S55" s="51"/>
      <c r="T55" s="51"/>
      <c r="U55" s="52" t="str">
        <f aca="false">IF(OR(A55="",Q55=""),"",IF(AND(ISNUMBER(S55),S55&lt;AsOf,O55&lt;&gt;"Reviewed"),"Overdue",""))</f>
        <v/>
      </c>
      <c r="V55" s="54" t="str">
        <f aca="false">IF(A55="","",IF(COUNTIF(QA_ID,A55)&gt;1,"CHECK: duplicate ID",IF(B55="","CHECK: Supplier ID missing",IF(COUNTIF(INV_ID,B55)=0,"CHECK: Supplier ID not in inventory",IF(E55="","CHECK: Question ID missing",IF(COUNTIF(QB_ID,E55)=0,"CHECK: Question ID not in bank","OK"))))))</f>
        <v/>
      </c>
    </row>
    <row r="56" customFormat="false" ht="15" hidden="false" customHeight="false" outlineLevel="0" collapsed="false">
      <c r="A56" s="50"/>
      <c r="B56" s="50"/>
      <c r="C56" s="59" t="str">
        <f aca="false">IF(B56="","",IFERROR(INDEX(INV_NAME,MATCH(B56,INV_ID,0)),"CHECK: Supplier ID not found"))</f>
        <v/>
      </c>
      <c r="D56" s="63" t="str">
        <f aca="false">IF(B56="","",IFERROR(INDEX(INV_TIER,MATCH(B56,INV_ID,0)),""))</f>
        <v/>
      </c>
      <c r="E56" s="50"/>
      <c r="F56" s="59" t="str">
        <f aca="false">IF(E56="","",IFERROR(INDEX(QB_Q,MATCH(E56,QB_ID,0)),"CHECK: Question ID not found"))</f>
        <v/>
      </c>
      <c r="G56" s="59" t="str">
        <f aca="false">IF(E56="","",IFERROR(INDEX(QB_DOMAIN,MATCH(E56,QB_ID,0)),""))</f>
        <v/>
      </c>
      <c r="H56" s="54" t="str">
        <f aca="false">IF(OR(A56="",E56=""),"",IFERROR(IF(ISNUMBER(MATCH(D56,{"Low","Medium","High"},0)),IF(MATCH(D56,{"Low","Medium","High"},0)&gt;=MATCH(INDEX(QB_MINTIER,MATCH(E56,QB_ID,0)),{"Low","Medium","High"},0),"Recommended for tier","Optional for tier"),"Tier not determined"),"Check question"))</f>
        <v/>
      </c>
      <c r="I56" s="34"/>
      <c r="J56" s="50"/>
      <c r="K56" s="34"/>
      <c r="L56" s="34"/>
      <c r="M56" s="62" t="str">
        <f aca="false">IF(L56="","",SUMPRODUCT(ISNUMBER(SEARCH(","&amp;EV_ID&amp;",",","&amp;SUBSTITUTE(L56," ","")&amp;","))*(EV_ID&lt;&gt;"")))</f>
        <v/>
      </c>
      <c r="N56" s="54" t="str">
        <f aca="false">IF(A56="","",IF(I56&lt;&gt;"Applicable",IF(I56="","Applicability not set","Not in scope ("&amp;I56&amp;")"),IF(OR(J56="",J56="Not answered"),"Awaiting supplier response",IF(J56="Not applicable","Supplier states not applicable - analyst to confirm",IF(L56="","Evidence insufficient - none referenced",IF(M56=0,"Evidence insufficient - referenced ID not found",IF(SUMPRODUCT(ISNUMBER(SEARCH(","&amp;EV_ID&amp;",",","&amp;SUBSTITUTE(L56," ","")&amp;","))*(EV_ID&lt;&gt;"")*(EV_SUFF="Sufficient"))&gt;0,"Evidence reviewed - sufficient",IF(SUMPRODUCT(ISNUMBER(SEARCH(","&amp;EV_ID&amp;",",","&amp;SUBSTITUTE(L56," ","")&amp;","))*(EV_ID&lt;&gt;"")*(EV_SUFF="Partially sufficient"))&gt;0,"Evidence partially sufficient","Evidence insufficient - referenced evidence not sufficient"))))))))</f>
        <v/>
      </c>
      <c r="O56" s="50"/>
      <c r="P56" s="34"/>
      <c r="Q56" s="34"/>
      <c r="R56" s="50"/>
      <c r="S56" s="51"/>
      <c r="T56" s="51"/>
      <c r="U56" s="52" t="str">
        <f aca="false">IF(OR(A56="",Q56=""),"",IF(AND(ISNUMBER(S56),S56&lt;AsOf,O56&lt;&gt;"Reviewed"),"Overdue",""))</f>
        <v/>
      </c>
      <c r="V56" s="54" t="str">
        <f aca="false">IF(A56="","",IF(COUNTIF(QA_ID,A56)&gt;1,"CHECK: duplicate ID",IF(B56="","CHECK: Supplier ID missing",IF(COUNTIF(INV_ID,B56)=0,"CHECK: Supplier ID not in inventory",IF(E56="","CHECK: Question ID missing",IF(COUNTIF(QB_ID,E56)=0,"CHECK: Question ID not in bank","OK"))))))</f>
        <v/>
      </c>
    </row>
    <row r="57" customFormat="false" ht="15" hidden="false" customHeight="false" outlineLevel="0" collapsed="false">
      <c r="A57" s="50"/>
      <c r="B57" s="50"/>
      <c r="C57" s="59" t="str">
        <f aca="false">IF(B57="","",IFERROR(INDEX(INV_NAME,MATCH(B57,INV_ID,0)),"CHECK: Supplier ID not found"))</f>
        <v/>
      </c>
      <c r="D57" s="63" t="str">
        <f aca="false">IF(B57="","",IFERROR(INDEX(INV_TIER,MATCH(B57,INV_ID,0)),""))</f>
        <v/>
      </c>
      <c r="E57" s="50"/>
      <c r="F57" s="59" t="str">
        <f aca="false">IF(E57="","",IFERROR(INDEX(QB_Q,MATCH(E57,QB_ID,0)),"CHECK: Question ID not found"))</f>
        <v/>
      </c>
      <c r="G57" s="59" t="str">
        <f aca="false">IF(E57="","",IFERROR(INDEX(QB_DOMAIN,MATCH(E57,QB_ID,0)),""))</f>
        <v/>
      </c>
      <c r="H57" s="54" t="str">
        <f aca="false">IF(OR(A57="",E57=""),"",IFERROR(IF(ISNUMBER(MATCH(D57,{"Low","Medium","High"},0)),IF(MATCH(D57,{"Low","Medium","High"},0)&gt;=MATCH(INDEX(QB_MINTIER,MATCH(E57,QB_ID,0)),{"Low","Medium","High"},0),"Recommended for tier","Optional for tier"),"Tier not determined"),"Check question"))</f>
        <v/>
      </c>
      <c r="I57" s="34"/>
      <c r="J57" s="50"/>
      <c r="K57" s="34"/>
      <c r="L57" s="34"/>
      <c r="M57" s="62" t="str">
        <f aca="false">IF(L57="","",SUMPRODUCT(ISNUMBER(SEARCH(","&amp;EV_ID&amp;",",","&amp;SUBSTITUTE(L57," ","")&amp;","))*(EV_ID&lt;&gt;"")))</f>
        <v/>
      </c>
      <c r="N57" s="54" t="str">
        <f aca="false">IF(A57="","",IF(I57&lt;&gt;"Applicable",IF(I57="","Applicability not set","Not in scope ("&amp;I57&amp;")"),IF(OR(J57="",J57="Not answered"),"Awaiting supplier response",IF(J57="Not applicable","Supplier states not applicable - analyst to confirm",IF(L57="","Evidence insufficient - none referenced",IF(M57=0,"Evidence insufficient - referenced ID not found",IF(SUMPRODUCT(ISNUMBER(SEARCH(","&amp;EV_ID&amp;",",","&amp;SUBSTITUTE(L57," ","")&amp;","))*(EV_ID&lt;&gt;"")*(EV_SUFF="Sufficient"))&gt;0,"Evidence reviewed - sufficient",IF(SUMPRODUCT(ISNUMBER(SEARCH(","&amp;EV_ID&amp;",",","&amp;SUBSTITUTE(L57," ","")&amp;","))*(EV_ID&lt;&gt;"")*(EV_SUFF="Partially sufficient"))&gt;0,"Evidence partially sufficient","Evidence insufficient - referenced evidence not sufficient"))))))))</f>
        <v/>
      </c>
      <c r="O57" s="50"/>
      <c r="P57" s="34"/>
      <c r="Q57" s="34"/>
      <c r="R57" s="50"/>
      <c r="S57" s="51"/>
      <c r="T57" s="51"/>
      <c r="U57" s="52" t="str">
        <f aca="false">IF(OR(A57="",Q57=""),"",IF(AND(ISNUMBER(S57),S57&lt;AsOf,O57&lt;&gt;"Reviewed"),"Overdue",""))</f>
        <v/>
      </c>
      <c r="V57" s="54" t="str">
        <f aca="false">IF(A57="","",IF(COUNTIF(QA_ID,A57)&gt;1,"CHECK: duplicate ID",IF(B57="","CHECK: Supplier ID missing",IF(COUNTIF(INV_ID,B57)=0,"CHECK: Supplier ID not in inventory",IF(E57="","CHECK: Question ID missing",IF(COUNTIF(QB_ID,E57)=0,"CHECK: Question ID not in bank","OK"))))))</f>
        <v/>
      </c>
    </row>
    <row r="58" customFormat="false" ht="15" hidden="false" customHeight="false" outlineLevel="0" collapsed="false">
      <c r="A58" s="50"/>
      <c r="B58" s="50"/>
      <c r="C58" s="59" t="str">
        <f aca="false">IF(B58="","",IFERROR(INDEX(INV_NAME,MATCH(B58,INV_ID,0)),"CHECK: Supplier ID not found"))</f>
        <v/>
      </c>
      <c r="D58" s="63" t="str">
        <f aca="false">IF(B58="","",IFERROR(INDEX(INV_TIER,MATCH(B58,INV_ID,0)),""))</f>
        <v/>
      </c>
      <c r="E58" s="50"/>
      <c r="F58" s="59" t="str">
        <f aca="false">IF(E58="","",IFERROR(INDEX(QB_Q,MATCH(E58,QB_ID,0)),"CHECK: Question ID not found"))</f>
        <v/>
      </c>
      <c r="G58" s="59" t="str">
        <f aca="false">IF(E58="","",IFERROR(INDEX(QB_DOMAIN,MATCH(E58,QB_ID,0)),""))</f>
        <v/>
      </c>
      <c r="H58" s="54" t="str">
        <f aca="false">IF(OR(A58="",E58=""),"",IFERROR(IF(ISNUMBER(MATCH(D58,{"Low","Medium","High"},0)),IF(MATCH(D58,{"Low","Medium","High"},0)&gt;=MATCH(INDEX(QB_MINTIER,MATCH(E58,QB_ID,0)),{"Low","Medium","High"},0),"Recommended for tier","Optional for tier"),"Tier not determined"),"Check question"))</f>
        <v/>
      </c>
      <c r="I58" s="34"/>
      <c r="J58" s="50"/>
      <c r="K58" s="34"/>
      <c r="L58" s="34"/>
      <c r="M58" s="62" t="str">
        <f aca="false">IF(L58="","",SUMPRODUCT(ISNUMBER(SEARCH(","&amp;EV_ID&amp;",",","&amp;SUBSTITUTE(L58," ","")&amp;","))*(EV_ID&lt;&gt;"")))</f>
        <v/>
      </c>
      <c r="N58" s="54" t="str">
        <f aca="false">IF(A58="","",IF(I58&lt;&gt;"Applicable",IF(I58="","Applicability not set","Not in scope ("&amp;I58&amp;")"),IF(OR(J58="",J58="Not answered"),"Awaiting supplier response",IF(J58="Not applicable","Supplier states not applicable - analyst to confirm",IF(L58="","Evidence insufficient - none referenced",IF(M58=0,"Evidence insufficient - referenced ID not found",IF(SUMPRODUCT(ISNUMBER(SEARCH(","&amp;EV_ID&amp;",",","&amp;SUBSTITUTE(L58," ","")&amp;","))*(EV_ID&lt;&gt;"")*(EV_SUFF="Sufficient"))&gt;0,"Evidence reviewed - sufficient",IF(SUMPRODUCT(ISNUMBER(SEARCH(","&amp;EV_ID&amp;",",","&amp;SUBSTITUTE(L58," ","")&amp;","))*(EV_ID&lt;&gt;"")*(EV_SUFF="Partially sufficient"))&gt;0,"Evidence partially sufficient","Evidence insufficient - referenced evidence not sufficient"))))))))</f>
        <v/>
      </c>
      <c r="O58" s="50"/>
      <c r="P58" s="34"/>
      <c r="Q58" s="34"/>
      <c r="R58" s="50"/>
      <c r="S58" s="51"/>
      <c r="T58" s="51"/>
      <c r="U58" s="52" t="str">
        <f aca="false">IF(OR(A58="",Q58=""),"",IF(AND(ISNUMBER(S58),S58&lt;AsOf,O58&lt;&gt;"Reviewed"),"Overdue",""))</f>
        <v/>
      </c>
      <c r="V58" s="54" t="str">
        <f aca="false">IF(A58="","",IF(COUNTIF(QA_ID,A58)&gt;1,"CHECK: duplicate ID",IF(B58="","CHECK: Supplier ID missing",IF(COUNTIF(INV_ID,B58)=0,"CHECK: Supplier ID not in inventory",IF(E58="","CHECK: Question ID missing",IF(COUNTIF(QB_ID,E58)=0,"CHECK: Question ID not in bank","OK"))))))</f>
        <v/>
      </c>
    </row>
    <row r="59" customFormat="false" ht="15" hidden="false" customHeight="false" outlineLevel="0" collapsed="false">
      <c r="A59" s="50"/>
      <c r="B59" s="50"/>
      <c r="C59" s="59" t="str">
        <f aca="false">IF(B59="","",IFERROR(INDEX(INV_NAME,MATCH(B59,INV_ID,0)),"CHECK: Supplier ID not found"))</f>
        <v/>
      </c>
      <c r="D59" s="63" t="str">
        <f aca="false">IF(B59="","",IFERROR(INDEX(INV_TIER,MATCH(B59,INV_ID,0)),""))</f>
        <v/>
      </c>
      <c r="E59" s="50"/>
      <c r="F59" s="59" t="str">
        <f aca="false">IF(E59="","",IFERROR(INDEX(QB_Q,MATCH(E59,QB_ID,0)),"CHECK: Question ID not found"))</f>
        <v/>
      </c>
      <c r="G59" s="59" t="str">
        <f aca="false">IF(E59="","",IFERROR(INDEX(QB_DOMAIN,MATCH(E59,QB_ID,0)),""))</f>
        <v/>
      </c>
      <c r="H59" s="54" t="str">
        <f aca="false">IF(OR(A59="",E59=""),"",IFERROR(IF(ISNUMBER(MATCH(D59,{"Low","Medium","High"},0)),IF(MATCH(D59,{"Low","Medium","High"},0)&gt;=MATCH(INDEX(QB_MINTIER,MATCH(E59,QB_ID,0)),{"Low","Medium","High"},0),"Recommended for tier","Optional for tier"),"Tier not determined"),"Check question"))</f>
        <v/>
      </c>
      <c r="I59" s="34"/>
      <c r="J59" s="50"/>
      <c r="K59" s="34"/>
      <c r="L59" s="34"/>
      <c r="M59" s="62" t="str">
        <f aca="false">IF(L59="","",SUMPRODUCT(ISNUMBER(SEARCH(","&amp;EV_ID&amp;",",","&amp;SUBSTITUTE(L59," ","")&amp;","))*(EV_ID&lt;&gt;"")))</f>
        <v/>
      </c>
      <c r="N59" s="54" t="str">
        <f aca="false">IF(A59="","",IF(I59&lt;&gt;"Applicable",IF(I59="","Applicability not set","Not in scope ("&amp;I59&amp;")"),IF(OR(J59="",J59="Not answered"),"Awaiting supplier response",IF(J59="Not applicable","Supplier states not applicable - analyst to confirm",IF(L59="","Evidence insufficient - none referenced",IF(M59=0,"Evidence insufficient - referenced ID not found",IF(SUMPRODUCT(ISNUMBER(SEARCH(","&amp;EV_ID&amp;",",","&amp;SUBSTITUTE(L59," ","")&amp;","))*(EV_ID&lt;&gt;"")*(EV_SUFF="Sufficient"))&gt;0,"Evidence reviewed - sufficient",IF(SUMPRODUCT(ISNUMBER(SEARCH(","&amp;EV_ID&amp;",",","&amp;SUBSTITUTE(L59," ","")&amp;","))*(EV_ID&lt;&gt;"")*(EV_SUFF="Partially sufficient"))&gt;0,"Evidence partially sufficient","Evidence insufficient - referenced evidence not sufficient"))))))))</f>
        <v/>
      </c>
      <c r="O59" s="50"/>
      <c r="P59" s="34"/>
      <c r="Q59" s="34"/>
      <c r="R59" s="50"/>
      <c r="S59" s="51"/>
      <c r="T59" s="51"/>
      <c r="U59" s="52" t="str">
        <f aca="false">IF(OR(A59="",Q59=""),"",IF(AND(ISNUMBER(S59),S59&lt;AsOf,O59&lt;&gt;"Reviewed"),"Overdue",""))</f>
        <v/>
      </c>
      <c r="V59" s="54" t="str">
        <f aca="false">IF(A59="","",IF(COUNTIF(QA_ID,A59)&gt;1,"CHECK: duplicate ID",IF(B59="","CHECK: Supplier ID missing",IF(COUNTIF(INV_ID,B59)=0,"CHECK: Supplier ID not in inventory",IF(E59="","CHECK: Question ID missing",IF(COUNTIF(QB_ID,E59)=0,"CHECK: Question ID not in bank","OK"))))))</f>
        <v/>
      </c>
    </row>
    <row r="60" customFormat="false" ht="15" hidden="false" customHeight="false" outlineLevel="0" collapsed="false">
      <c r="A60" s="50"/>
      <c r="B60" s="50"/>
      <c r="C60" s="59" t="str">
        <f aca="false">IF(B60="","",IFERROR(INDEX(INV_NAME,MATCH(B60,INV_ID,0)),"CHECK: Supplier ID not found"))</f>
        <v/>
      </c>
      <c r="D60" s="63" t="str">
        <f aca="false">IF(B60="","",IFERROR(INDEX(INV_TIER,MATCH(B60,INV_ID,0)),""))</f>
        <v/>
      </c>
      <c r="E60" s="50"/>
      <c r="F60" s="59" t="str">
        <f aca="false">IF(E60="","",IFERROR(INDEX(QB_Q,MATCH(E60,QB_ID,0)),"CHECK: Question ID not found"))</f>
        <v/>
      </c>
      <c r="G60" s="59" t="str">
        <f aca="false">IF(E60="","",IFERROR(INDEX(QB_DOMAIN,MATCH(E60,QB_ID,0)),""))</f>
        <v/>
      </c>
      <c r="H60" s="54" t="str">
        <f aca="false">IF(OR(A60="",E60=""),"",IFERROR(IF(ISNUMBER(MATCH(D60,{"Low","Medium","High"},0)),IF(MATCH(D60,{"Low","Medium","High"},0)&gt;=MATCH(INDEX(QB_MINTIER,MATCH(E60,QB_ID,0)),{"Low","Medium","High"},0),"Recommended for tier","Optional for tier"),"Tier not determined"),"Check question"))</f>
        <v/>
      </c>
      <c r="I60" s="34"/>
      <c r="J60" s="50"/>
      <c r="K60" s="34"/>
      <c r="L60" s="34"/>
      <c r="M60" s="62" t="str">
        <f aca="false">IF(L60="","",SUMPRODUCT(ISNUMBER(SEARCH(","&amp;EV_ID&amp;",",","&amp;SUBSTITUTE(L60," ","")&amp;","))*(EV_ID&lt;&gt;"")))</f>
        <v/>
      </c>
      <c r="N60" s="54" t="str">
        <f aca="false">IF(A60="","",IF(I60&lt;&gt;"Applicable",IF(I60="","Applicability not set","Not in scope ("&amp;I60&amp;")"),IF(OR(J60="",J60="Not answered"),"Awaiting supplier response",IF(J60="Not applicable","Supplier states not applicable - analyst to confirm",IF(L60="","Evidence insufficient - none referenced",IF(M60=0,"Evidence insufficient - referenced ID not found",IF(SUMPRODUCT(ISNUMBER(SEARCH(","&amp;EV_ID&amp;",",","&amp;SUBSTITUTE(L60," ","")&amp;","))*(EV_ID&lt;&gt;"")*(EV_SUFF="Sufficient"))&gt;0,"Evidence reviewed - sufficient",IF(SUMPRODUCT(ISNUMBER(SEARCH(","&amp;EV_ID&amp;",",","&amp;SUBSTITUTE(L60," ","")&amp;","))*(EV_ID&lt;&gt;"")*(EV_SUFF="Partially sufficient"))&gt;0,"Evidence partially sufficient","Evidence insufficient - referenced evidence not sufficient"))))))))</f>
        <v/>
      </c>
      <c r="O60" s="50"/>
      <c r="P60" s="34"/>
      <c r="Q60" s="34"/>
      <c r="R60" s="50"/>
      <c r="S60" s="51"/>
      <c r="T60" s="51"/>
      <c r="U60" s="52" t="str">
        <f aca="false">IF(OR(A60="",Q60=""),"",IF(AND(ISNUMBER(S60),S60&lt;AsOf,O60&lt;&gt;"Reviewed"),"Overdue",""))</f>
        <v/>
      </c>
      <c r="V60" s="54" t="str">
        <f aca="false">IF(A60="","",IF(COUNTIF(QA_ID,A60)&gt;1,"CHECK: duplicate ID",IF(B60="","CHECK: Supplier ID missing",IF(COUNTIF(INV_ID,B60)=0,"CHECK: Supplier ID not in inventory",IF(E60="","CHECK: Question ID missing",IF(COUNTIF(QB_ID,E60)=0,"CHECK: Question ID not in bank","OK"))))))</f>
        <v/>
      </c>
    </row>
    <row r="61" customFormat="false" ht="15" hidden="false" customHeight="false" outlineLevel="0" collapsed="false">
      <c r="A61" s="50"/>
      <c r="B61" s="50"/>
      <c r="C61" s="59" t="str">
        <f aca="false">IF(B61="","",IFERROR(INDEX(INV_NAME,MATCH(B61,INV_ID,0)),"CHECK: Supplier ID not found"))</f>
        <v/>
      </c>
      <c r="D61" s="63" t="str">
        <f aca="false">IF(B61="","",IFERROR(INDEX(INV_TIER,MATCH(B61,INV_ID,0)),""))</f>
        <v/>
      </c>
      <c r="E61" s="50"/>
      <c r="F61" s="59" t="str">
        <f aca="false">IF(E61="","",IFERROR(INDEX(QB_Q,MATCH(E61,QB_ID,0)),"CHECK: Question ID not found"))</f>
        <v/>
      </c>
      <c r="G61" s="59" t="str">
        <f aca="false">IF(E61="","",IFERROR(INDEX(QB_DOMAIN,MATCH(E61,QB_ID,0)),""))</f>
        <v/>
      </c>
      <c r="H61" s="54" t="str">
        <f aca="false">IF(OR(A61="",E61=""),"",IFERROR(IF(ISNUMBER(MATCH(D61,{"Low","Medium","High"},0)),IF(MATCH(D61,{"Low","Medium","High"},0)&gt;=MATCH(INDEX(QB_MINTIER,MATCH(E61,QB_ID,0)),{"Low","Medium","High"},0),"Recommended for tier","Optional for tier"),"Tier not determined"),"Check question"))</f>
        <v/>
      </c>
      <c r="I61" s="34"/>
      <c r="J61" s="50"/>
      <c r="K61" s="34"/>
      <c r="L61" s="34"/>
      <c r="M61" s="62" t="str">
        <f aca="false">IF(L61="","",SUMPRODUCT(ISNUMBER(SEARCH(","&amp;EV_ID&amp;",",","&amp;SUBSTITUTE(L61," ","")&amp;","))*(EV_ID&lt;&gt;"")))</f>
        <v/>
      </c>
      <c r="N61" s="54" t="str">
        <f aca="false">IF(A61="","",IF(I61&lt;&gt;"Applicable",IF(I61="","Applicability not set","Not in scope ("&amp;I61&amp;")"),IF(OR(J61="",J61="Not answered"),"Awaiting supplier response",IF(J61="Not applicable","Supplier states not applicable - analyst to confirm",IF(L61="","Evidence insufficient - none referenced",IF(M61=0,"Evidence insufficient - referenced ID not found",IF(SUMPRODUCT(ISNUMBER(SEARCH(","&amp;EV_ID&amp;",",","&amp;SUBSTITUTE(L61," ","")&amp;","))*(EV_ID&lt;&gt;"")*(EV_SUFF="Sufficient"))&gt;0,"Evidence reviewed - sufficient",IF(SUMPRODUCT(ISNUMBER(SEARCH(","&amp;EV_ID&amp;",",","&amp;SUBSTITUTE(L61," ","")&amp;","))*(EV_ID&lt;&gt;"")*(EV_SUFF="Partially sufficient"))&gt;0,"Evidence partially sufficient","Evidence insufficient - referenced evidence not sufficient"))))))))</f>
        <v/>
      </c>
      <c r="O61" s="50"/>
      <c r="P61" s="34"/>
      <c r="Q61" s="34"/>
      <c r="R61" s="50"/>
      <c r="S61" s="51"/>
      <c r="T61" s="51"/>
      <c r="U61" s="52" t="str">
        <f aca="false">IF(OR(A61="",Q61=""),"",IF(AND(ISNUMBER(S61),S61&lt;AsOf,O61&lt;&gt;"Reviewed"),"Overdue",""))</f>
        <v/>
      </c>
      <c r="V61" s="54" t="str">
        <f aca="false">IF(A61="","",IF(COUNTIF(QA_ID,A61)&gt;1,"CHECK: duplicate ID",IF(B61="","CHECK: Supplier ID missing",IF(COUNTIF(INV_ID,B61)=0,"CHECK: Supplier ID not in inventory",IF(E61="","CHECK: Question ID missing",IF(COUNTIF(QB_ID,E61)=0,"CHECK: Question ID not in bank","OK"))))))</f>
        <v/>
      </c>
    </row>
    <row r="62" customFormat="false" ht="15" hidden="false" customHeight="false" outlineLevel="0" collapsed="false">
      <c r="A62" s="50"/>
      <c r="B62" s="50"/>
      <c r="C62" s="59" t="str">
        <f aca="false">IF(B62="","",IFERROR(INDEX(INV_NAME,MATCH(B62,INV_ID,0)),"CHECK: Supplier ID not found"))</f>
        <v/>
      </c>
      <c r="D62" s="63" t="str">
        <f aca="false">IF(B62="","",IFERROR(INDEX(INV_TIER,MATCH(B62,INV_ID,0)),""))</f>
        <v/>
      </c>
      <c r="E62" s="50"/>
      <c r="F62" s="59" t="str">
        <f aca="false">IF(E62="","",IFERROR(INDEX(QB_Q,MATCH(E62,QB_ID,0)),"CHECK: Question ID not found"))</f>
        <v/>
      </c>
      <c r="G62" s="59" t="str">
        <f aca="false">IF(E62="","",IFERROR(INDEX(QB_DOMAIN,MATCH(E62,QB_ID,0)),""))</f>
        <v/>
      </c>
      <c r="H62" s="54" t="str">
        <f aca="false">IF(OR(A62="",E62=""),"",IFERROR(IF(ISNUMBER(MATCH(D62,{"Low","Medium","High"},0)),IF(MATCH(D62,{"Low","Medium","High"},0)&gt;=MATCH(INDEX(QB_MINTIER,MATCH(E62,QB_ID,0)),{"Low","Medium","High"},0),"Recommended for tier","Optional for tier"),"Tier not determined"),"Check question"))</f>
        <v/>
      </c>
      <c r="I62" s="34"/>
      <c r="J62" s="50"/>
      <c r="K62" s="34"/>
      <c r="L62" s="34"/>
      <c r="M62" s="62" t="str">
        <f aca="false">IF(L62="","",SUMPRODUCT(ISNUMBER(SEARCH(","&amp;EV_ID&amp;",",","&amp;SUBSTITUTE(L62," ","")&amp;","))*(EV_ID&lt;&gt;"")))</f>
        <v/>
      </c>
      <c r="N62" s="54" t="str">
        <f aca="false">IF(A62="","",IF(I62&lt;&gt;"Applicable",IF(I62="","Applicability not set","Not in scope ("&amp;I62&amp;")"),IF(OR(J62="",J62="Not answered"),"Awaiting supplier response",IF(J62="Not applicable","Supplier states not applicable - analyst to confirm",IF(L62="","Evidence insufficient - none referenced",IF(M62=0,"Evidence insufficient - referenced ID not found",IF(SUMPRODUCT(ISNUMBER(SEARCH(","&amp;EV_ID&amp;",",","&amp;SUBSTITUTE(L62," ","")&amp;","))*(EV_ID&lt;&gt;"")*(EV_SUFF="Sufficient"))&gt;0,"Evidence reviewed - sufficient",IF(SUMPRODUCT(ISNUMBER(SEARCH(","&amp;EV_ID&amp;",",","&amp;SUBSTITUTE(L62," ","")&amp;","))*(EV_ID&lt;&gt;"")*(EV_SUFF="Partially sufficient"))&gt;0,"Evidence partially sufficient","Evidence insufficient - referenced evidence not sufficient"))))))))</f>
        <v/>
      </c>
      <c r="O62" s="50"/>
      <c r="P62" s="34"/>
      <c r="Q62" s="34"/>
      <c r="R62" s="50"/>
      <c r="S62" s="51"/>
      <c r="T62" s="51"/>
      <c r="U62" s="52" t="str">
        <f aca="false">IF(OR(A62="",Q62=""),"",IF(AND(ISNUMBER(S62),S62&lt;AsOf,O62&lt;&gt;"Reviewed"),"Overdue",""))</f>
        <v/>
      </c>
      <c r="V62" s="54" t="str">
        <f aca="false">IF(A62="","",IF(COUNTIF(QA_ID,A62)&gt;1,"CHECK: duplicate ID",IF(B62="","CHECK: Supplier ID missing",IF(COUNTIF(INV_ID,B62)=0,"CHECK: Supplier ID not in inventory",IF(E62="","CHECK: Question ID missing",IF(COUNTIF(QB_ID,E62)=0,"CHECK: Question ID not in bank","OK"))))))</f>
        <v/>
      </c>
    </row>
    <row r="63" customFormat="false" ht="15" hidden="false" customHeight="false" outlineLevel="0" collapsed="false">
      <c r="A63" s="50"/>
      <c r="B63" s="50"/>
      <c r="C63" s="59" t="str">
        <f aca="false">IF(B63="","",IFERROR(INDEX(INV_NAME,MATCH(B63,INV_ID,0)),"CHECK: Supplier ID not found"))</f>
        <v/>
      </c>
      <c r="D63" s="63" t="str">
        <f aca="false">IF(B63="","",IFERROR(INDEX(INV_TIER,MATCH(B63,INV_ID,0)),""))</f>
        <v/>
      </c>
      <c r="E63" s="50"/>
      <c r="F63" s="59" t="str">
        <f aca="false">IF(E63="","",IFERROR(INDEX(QB_Q,MATCH(E63,QB_ID,0)),"CHECK: Question ID not found"))</f>
        <v/>
      </c>
      <c r="G63" s="59" t="str">
        <f aca="false">IF(E63="","",IFERROR(INDEX(QB_DOMAIN,MATCH(E63,QB_ID,0)),""))</f>
        <v/>
      </c>
      <c r="H63" s="54" t="str">
        <f aca="false">IF(OR(A63="",E63=""),"",IFERROR(IF(ISNUMBER(MATCH(D63,{"Low","Medium","High"},0)),IF(MATCH(D63,{"Low","Medium","High"},0)&gt;=MATCH(INDEX(QB_MINTIER,MATCH(E63,QB_ID,0)),{"Low","Medium","High"},0),"Recommended for tier","Optional for tier"),"Tier not determined"),"Check question"))</f>
        <v/>
      </c>
      <c r="I63" s="34"/>
      <c r="J63" s="50"/>
      <c r="K63" s="34"/>
      <c r="L63" s="34"/>
      <c r="M63" s="62" t="str">
        <f aca="false">IF(L63="","",SUMPRODUCT(ISNUMBER(SEARCH(","&amp;EV_ID&amp;",",","&amp;SUBSTITUTE(L63," ","")&amp;","))*(EV_ID&lt;&gt;"")))</f>
        <v/>
      </c>
      <c r="N63" s="54" t="str">
        <f aca="false">IF(A63="","",IF(I63&lt;&gt;"Applicable",IF(I63="","Applicability not set","Not in scope ("&amp;I63&amp;")"),IF(OR(J63="",J63="Not answered"),"Awaiting supplier response",IF(J63="Not applicable","Supplier states not applicable - analyst to confirm",IF(L63="","Evidence insufficient - none referenced",IF(M63=0,"Evidence insufficient - referenced ID not found",IF(SUMPRODUCT(ISNUMBER(SEARCH(","&amp;EV_ID&amp;",",","&amp;SUBSTITUTE(L63," ","")&amp;","))*(EV_ID&lt;&gt;"")*(EV_SUFF="Sufficient"))&gt;0,"Evidence reviewed - sufficient",IF(SUMPRODUCT(ISNUMBER(SEARCH(","&amp;EV_ID&amp;",",","&amp;SUBSTITUTE(L63," ","")&amp;","))*(EV_ID&lt;&gt;"")*(EV_SUFF="Partially sufficient"))&gt;0,"Evidence partially sufficient","Evidence insufficient - referenced evidence not sufficient"))))))))</f>
        <v/>
      </c>
      <c r="O63" s="50"/>
      <c r="P63" s="34"/>
      <c r="Q63" s="34"/>
      <c r="R63" s="50"/>
      <c r="S63" s="51"/>
      <c r="T63" s="51"/>
      <c r="U63" s="52" t="str">
        <f aca="false">IF(OR(A63="",Q63=""),"",IF(AND(ISNUMBER(S63),S63&lt;AsOf,O63&lt;&gt;"Reviewed"),"Overdue",""))</f>
        <v/>
      </c>
      <c r="V63" s="54" t="str">
        <f aca="false">IF(A63="","",IF(COUNTIF(QA_ID,A63)&gt;1,"CHECK: duplicate ID",IF(B63="","CHECK: Supplier ID missing",IF(COUNTIF(INV_ID,B63)=0,"CHECK: Supplier ID not in inventory",IF(E63="","CHECK: Question ID missing",IF(COUNTIF(QB_ID,E63)=0,"CHECK: Question ID not in bank","OK"))))))</f>
        <v/>
      </c>
    </row>
    <row r="64" customFormat="false" ht="15" hidden="false" customHeight="false" outlineLevel="0" collapsed="false">
      <c r="A64" s="50"/>
      <c r="B64" s="50"/>
      <c r="C64" s="59" t="str">
        <f aca="false">IF(B64="","",IFERROR(INDEX(INV_NAME,MATCH(B64,INV_ID,0)),"CHECK: Supplier ID not found"))</f>
        <v/>
      </c>
      <c r="D64" s="63" t="str">
        <f aca="false">IF(B64="","",IFERROR(INDEX(INV_TIER,MATCH(B64,INV_ID,0)),""))</f>
        <v/>
      </c>
      <c r="E64" s="50"/>
      <c r="F64" s="59" t="str">
        <f aca="false">IF(E64="","",IFERROR(INDEX(QB_Q,MATCH(E64,QB_ID,0)),"CHECK: Question ID not found"))</f>
        <v/>
      </c>
      <c r="G64" s="59" t="str">
        <f aca="false">IF(E64="","",IFERROR(INDEX(QB_DOMAIN,MATCH(E64,QB_ID,0)),""))</f>
        <v/>
      </c>
      <c r="H64" s="54" t="str">
        <f aca="false">IF(OR(A64="",E64=""),"",IFERROR(IF(ISNUMBER(MATCH(D64,{"Low","Medium","High"},0)),IF(MATCH(D64,{"Low","Medium","High"},0)&gt;=MATCH(INDEX(QB_MINTIER,MATCH(E64,QB_ID,0)),{"Low","Medium","High"},0),"Recommended for tier","Optional for tier"),"Tier not determined"),"Check question"))</f>
        <v/>
      </c>
      <c r="I64" s="34"/>
      <c r="J64" s="50"/>
      <c r="K64" s="34"/>
      <c r="L64" s="34"/>
      <c r="M64" s="62" t="str">
        <f aca="false">IF(L64="","",SUMPRODUCT(ISNUMBER(SEARCH(","&amp;EV_ID&amp;",",","&amp;SUBSTITUTE(L64," ","")&amp;","))*(EV_ID&lt;&gt;"")))</f>
        <v/>
      </c>
      <c r="N64" s="54" t="str">
        <f aca="false">IF(A64="","",IF(I64&lt;&gt;"Applicable",IF(I64="","Applicability not set","Not in scope ("&amp;I64&amp;")"),IF(OR(J64="",J64="Not answered"),"Awaiting supplier response",IF(J64="Not applicable","Supplier states not applicable - analyst to confirm",IF(L64="","Evidence insufficient - none referenced",IF(M64=0,"Evidence insufficient - referenced ID not found",IF(SUMPRODUCT(ISNUMBER(SEARCH(","&amp;EV_ID&amp;",",","&amp;SUBSTITUTE(L64," ","")&amp;","))*(EV_ID&lt;&gt;"")*(EV_SUFF="Sufficient"))&gt;0,"Evidence reviewed - sufficient",IF(SUMPRODUCT(ISNUMBER(SEARCH(","&amp;EV_ID&amp;",",","&amp;SUBSTITUTE(L64," ","")&amp;","))*(EV_ID&lt;&gt;"")*(EV_SUFF="Partially sufficient"))&gt;0,"Evidence partially sufficient","Evidence insufficient - referenced evidence not sufficient"))))))))</f>
        <v/>
      </c>
      <c r="O64" s="50"/>
      <c r="P64" s="34"/>
      <c r="Q64" s="34"/>
      <c r="R64" s="50"/>
      <c r="S64" s="51"/>
      <c r="T64" s="51"/>
      <c r="U64" s="52" t="str">
        <f aca="false">IF(OR(A64="",Q64=""),"",IF(AND(ISNUMBER(S64),S64&lt;AsOf,O64&lt;&gt;"Reviewed"),"Overdue",""))</f>
        <v/>
      </c>
      <c r="V64" s="54" t="str">
        <f aca="false">IF(A64="","",IF(COUNTIF(QA_ID,A64)&gt;1,"CHECK: duplicate ID",IF(B64="","CHECK: Supplier ID missing",IF(COUNTIF(INV_ID,B64)=0,"CHECK: Supplier ID not in inventory",IF(E64="","CHECK: Question ID missing",IF(COUNTIF(QB_ID,E64)=0,"CHECK: Question ID not in bank","OK"))))))</f>
        <v/>
      </c>
    </row>
    <row r="65" customFormat="false" ht="15" hidden="false" customHeight="false" outlineLevel="0" collapsed="false">
      <c r="A65" s="50"/>
      <c r="B65" s="50"/>
      <c r="C65" s="59" t="str">
        <f aca="false">IF(B65="","",IFERROR(INDEX(INV_NAME,MATCH(B65,INV_ID,0)),"CHECK: Supplier ID not found"))</f>
        <v/>
      </c>
      <c r="D65" s="63" t="str">
        <f aca="false">IF(B65="","",IFERROR(INDEX(INV_TIER,MATCH(B65,INV_ID,0)),""))</f>
        <v/>
      </c>
      <c r="E65" s="50"/>
      <c r="F65" s="59" t="str">
        <f aca="false">IF(E65="","",IFERROR(INDEX(QB_Q,MATCH(E65,QB_ID,0)),"CHECK: Question ID not found"))</f>
        <v/>
      </c>
      <c r="G65" s="59" t="str">
        <f aca="false">IF(E65="","",IFERROR(INDEX(QB_DOMAIN,MATCH(E65,QB_ID,0)),""))</f>
        <v/>
      </c>
      <c r="H65" s="54" t="str">
        <f aca="false">IF(OR(A65="",E65=""),"",IFERROR(IF(ISNUMBER(MATCH(D65,{"Low","Medium","High"},0)),IF(MATCH(D65,{"Low","Medium","High"},0)&gt;=MATCH(INDEX(QB_MINTIER,MATCH(E65,QB_ID,0)),{"Low","Medium","High"},0),"Recommended for tier","Optional for tier"),"Tier not determined"),"Check question"))</f>
        <v/>
      </c>
      <c r="I65" s="34"/>
      <c r="J65" s="50"/>
      <c r="K65" s="34"/>
      <c r="L65" s="34"/>
      <c r="M65" s="62" t="str">
        <f aca="false">IF(L65="","",SUMPRODUCT(ISNUMBER(SEARCH(","&amp;EV_ID&amp;",",","&amp;SUBSTITUTE(L65," ","")&amp;","))*(EV_ID&lt;&gt;"")))</f>
        <v/>
      </c>
      <c r="N65" s="54" t="str">
        <f aca="false">IF(A65="","",IF(I65&lt;&gt;"Applicable",IF(I65="","Applicability not set","Not in scope ("&amp;I65&amp;")"),IF(OR(J65="",J65="Not answered"),"Awaiting supplier response",IF(J65="Not applicable","Supplier states not applicable - analyst to confirm",IF(L65="","Evidence insufficient - none referenced",IF(M65=0,"Evidence insufficient - referenced ID not found",IF(SUMPRODUCT(ISNUMBER(SEARCH(","&amp;EV_ID&amp;",",","&amp;SUBSTITUTE(L65," ","")&amp;","))*(EV_ID&lt;&gt;"")*(EV_SUFF="Sufficient"))&gt;0,"Evidence reviewed - sufficient",IF(SUMPRODUCT(ISNUMBER(SEARCH(","&amp;EV_ID&amp;",",","&amp;SUBSTITUTE(L65," ","")&amp;","))*(EV_ID&lt;&gt;"")*(EV_SUFF="Partially sufficient"))&gt;0,"Evidence partially sufficient","Evidence insufficient - referenced evidence not sufficient"))))))))</f>
        <v/>
      </c>
      <c r="O65" s="50"/>
      <c r="P65" s="34"/>
      <c r="Q65" s="34"/>
      <c r="R65" s="50"/>
      <c r="S65" s="51"/>
      <c r="T65" s="51"/>
      <c r="U65" s="52" t="str">
        <f aca="false">IF(OR(A65="",Q65=""),"",IF(AND(ISNUMBER(S65),S65&lt;AsOf,O65&lt;&gt;"Reviewed"),"Overdue",""))</f>
        <v/>
      </c>
      <c r="V65" s="54" t="str">
        <f aca="false">IF(A65="","",IF(COUNTIF(QA_ID,A65)&gt;1,"CHECK: duplicate ID",IF(B65="","CHECK: Supplier ID missing",IF(COUNTIF(INV_ID,B65)=0,"CHECK: Supplier ID not in inventory",IF(E65="","CHECK: Question ID missing",IF(COUNTIF(QB_ID,E65)=0,"CHECK: Question ID not in bank","OK"))))))</f>
        <v/>
      </c>
    </row>
    <row r="66" customFormat="false" ht="15" hidden="false" customHeight="false" outlineLevel="0" collapsed="false">
      <c r="A66" s="50"/>
      <c r="B66" s="50"/>
      <c r="C66" s="59" t="str">
        <f aca="false">IF(B66="","",IFERROR(INDEX(INV_NAME,MATCH(B66,INV_ID,0)),"CHECK: Supplier ID not found"))</f>
        <v/>
      </c>
      <c r="D66" s="63" t="str">
        <f aca="false">IF(B66="","",IFERROR(INDEX(INV_TIER,MATCH(B66,INV_ID,0)),""))</f>
        <v/>
      </c>
      <c r="E66" s="50"/>
      <c r="F66" s="59" t="str">
        <f aca="false">IF(E66="","",IFERROR(INDEX(QB_Q,MATCH(E66,QB_ID,0)),"CHECK: Question ID not found"))</f>
        <v/>
      </c>
      <c r="G66" s="59" t="str">
        <f aca="false">IF(E66="","",IFERROR(INDEX(QB_DOMAIN,MATCH(E66,QB_ID,0)),""))</f>
        <v/>
      </c>
      <c r="H66" s="54" t="str">
        <f aca="false">IF(OR(A66="",E66=""),"",IFERROR(IF(ISNUMBER(MATCH(D66,{"Low","Medium","High"},0)),IF(MATCH(D66,{"Low","Medium","High"},0)&gt;=MATCH(INDEX(QB_MINTIER,MATCH(E66,QB_ID,0)),{"Low","Medium","High"},0),"Recommended for tier","Optional for tier"),"Tier not determined"),"Check question"))</f>
        <v/>
      </c>
      <c r="I66" s="34"/>
      <c r="J66" s="50"/>
      <c r="K66" s="34"/>
      <c r="L66" s="34"/>
      <c r="M66" s="62" t="str">
        <f aca="false">IF(L66="","",SUMPRODUCT(ISNUMBER(SEARCH(","&amp;EV_ID&amp;",",","&amp;SUBSTITUTE(L66," ","")&amp;","))*(EV_ID&lt;&gt;"")))</f>
        <v/>
      </c>
      <c r="N66" s="54" t="str">
        <f aca="false">IF(A66="","",IF(I66&lt;&gt;"Applicable",IF(I66="","Applicability not set","Not in scope ("&amp;I66&amp;")"),IF(OR(J66="",J66="Not answered"),"Awaiting supplier response",IF(J66="Not applicable","Supplier states not applicable - analyst to confirm",IF(L66="","Evidence insufficient - none referenced",IF(M66=0,"Evidence insufficient - referenced ID not found",IF(SUMPRODUCT(ISNUMBER(SEARCH(","&amp;EV_ID&amp;",",","&amp;SUBSTITUTE(L66," ","")&amp;","))*(EV_ID&lt;&gt;"")*(EV_SUFF="Sufficient"))&gt;0,"Evidence reviewed - sufficient",IF(SUMPRODUCT(ISNUMBER(SEARCH(","&amp;EV_ID&amp;",",","&amp;SUBSTITUTE(L66," ","")&amp;","))*(EV_ID&lt;&gt;"")*(EV_SUFF="Partially sufficient"))&gt;0,"Evidence partially sufficient","Evidence insufficient - referenced evidence not sufficient"))))))))</f>
        <v/>
      </c>
      <c r="O66" s="50"/>
      <c r="P66" s="34"/>
      <c r="Q66" s="34"/>
      <c r="R66" s="50"/>
      <c r="S66" s="51"/>
      <c r="T66" s="51"/>
      <c r="U66" s="52" t="str">
        <f aca="false">IF(OR(A66="",Q66=""),"",IF(AND(ISNUMBER(S66),S66&lt;AsOf,O66&lt;&gt;"Reviewed"),"Overdue",""))</f>
        <v/>
      </c>
      <c r="V66" s="54" t="str">
        <f aca="false">IF(A66="","",IF(COUNTIF(QA_ID,A66)&gt;1,"CHECK: duplicate ID",IF(B66="","CHECK: Supplier ID missing",IF(COUNTIF(INV_ID,B66)=0,"CHECK: Supplier ID not in inventory",IF(E66="","CHECK: Question ID missing",IF(COUNTIF(QB_ID,E66)=0,"CHECK: Question ID not in bank","OK"))))))</f>
        <v/>
      </c>
    </row>
    <row r="67" customFormat="false" ht="15" hidden="false" customHeight="false" outlineLevel="0" collapsed="false">
      <c r="A67" s="50"/>
      <c r="B67" s="50"/>
      <c r="C67" s="59" t="str">
        <f aca="false">IF(B67="","",IFERROR(INDEX(INV_NAME,MATCH(B67,INV_ID,0)),"CHECK: Supplier ID not found"))</f>
        <v/>
      </c>
      <c r="D67" s="63" t="str">
        <f aca="false">IF(B67="","",IFERROR(INDEX(INV_TIER,MATCH(B67,INV_ID,0)),""))</f>
        <v/>
      </c>
      <c r="E67" s="50"/>
      <c r="F67" s="59" t="str">
        <f aca="false">IF(E67="","",IFERROR(INDEX(QB_Q,MATCH(E67,QB_ID,0)),"CHECK: Question ID not found"))</f>
        <v/>
      </c>
      <c r="G67" s="59" t="str">
        <f aca="false">IF(E67="","",IFERROR(INDEX(QB_DOMAIN,MATCH(E67,QB_ID,0)),""))</f>
        <v/>
      </c>
      <c r="H67" s="54" t="str">
        <f aca="false">IF(OR(A67="",E67=""),"",IFERROR(IF(ISNUMBER(MATCH(D67,{"Low","Medium","High"},0)),IF(MATCH(D67,{"Low","Medium","High"},0)&gt;=MATCH(INDEX(QB_MINTIER,MATCH(E67,QB_ID,0)),{"Low","Medium","High"},0),"Recommended for tier","Optional for tier"),"Tier not determined"),"Check question"))</f>
        <v/>
      </c>
      <c r="I67" s="34"/>
      <c r="J67" s="50"/>
      <c r="K67" s="34"/>
      <c r="L67" s="34"/>
      <c r="M67" s="62" t="str">
        <f aca="false">IF(L67="","",SUMPRODUCT(ISNUMBER(SEARCH(","&amp;EV_ID&amp;",",","&amp;SUBSTITUTE(L67," ","")&amp;","))*(EV_ID&lt;&gt;"")))</f>
        <v/>
      </c>
      <c r="N67" s="54" t="str">
        <f aca="false">IF(A67="","",IF(I67&lt;&gt;"Applicable",IF(I67="","Applicability not set","Not in scope ("&amp;I67&amp;")"),IF(OR(J67="",J67="Not answered"),"Awaiting supplier response",IF(J67="Not applicable","Supplier states not applicable - analyst to confirm",IF(L67="","Evidence insufficient - none referenced",IF(M67=0,"Evidence insufficient - referenced ID not found",IF(SUMPRODUCT(ISNUMBER(SEARCH(","&amp;EV_ID&amp;",",","&amp;SUBSTITUTE(L67," ","")&amp;","))*(EV_ID&lt;&gt;"")*(EV_SUFF="Sufficient"))&gt;0,"Evidence reviewed - sufficient",IF(SUMPRODUCT(ISNUMBER(SEARCH(","&amp;EV_ID&amp;",",","&amp;SUBSTITUTE(L67," ","")&amp;","))*(EV_ID&lt;&gt;"")*(EV_SUFF="Partially sufficient"))&gt;0,"Evidence partially sufficient","Evidence insufficient - referenced evidence not sufficient"))))))))</f>
        <v/>
      </c>
      <c r="O67" s="50"/>
      <c r="P67" s="34"/>
      <c r="Q67" s="34"/>
      <c r="R67" s="50"/>
      <c r="S67" s="51"/>
      <c r="T67" s="51"/>
      <c r="U67" s="52" t="str">
        <f aca="false">IF(OR(A67="",Q67=""),"",IF(AND(ISNUMBER(S67),S67&lt;AsOf,O67&lt;&gt;"Reviewed"),"Overdue",""))</f>
        <v/>
      </c>
      <c r="V67" s="54" t="str">
        <f aca="false">IF(A67="","",IF(COUNTIF(QA_ID,A67)&gt;1,"CHECK: duplicate ID",IF(B67="","CHECK: Supplier ID missing",IF(COUNTIF(INV_ID,B67)=0,"CHECK: Supplier ID not in inventory",IF(E67="","CHECK: Question ID missing",IF(COUNTIF(QB_ID,E67)=0,"CHECK: Question ID not in bank","OK"))))))</f>
        <v/>
      </c>
    </row>
    <row r="68" customFormat="false" ht="15" hidden="false" customHeight="false" outlineLevel="0" collapsed="false">
      <c r="A68" s="50"/>
      <c r="B68" s="50"/>
      <c r="C68" s="59" t="str">
        <f aca="false">IF(B68="","",IFERROR(INDEX(INV_NAME,MATCH(B68,INV_ID,0)),"CHECK: Supplier ID not found"))</f>
        <v/>
      </c>
      <c r="D68" s="63" t="str">
        <f aca="false">IF(B68="","",IFERROR(INDEX(INV_TIER,MATCH(B68,INV_ID,0)),""))</f>
        <v/>
      </c>
      <c r="E68" s="50"/>
      <c r="F68" s="59" t="str">
        <f aca="false">IF(E68="","",IFERROR(INDEX(QB_Q,MATCH(E68,QB_ID,0)),"CHECK: Question ID not found"))</f>
        <v/>
      </c>
      <c r="G68" s="59" t="str">
        <f aca="false">IF(E68="","",IFERROR(INDEX(QB_DOMAIN,MATCH(E68,QB_ID,0)),""))</f>
        <v/>
      </c>
      <c r="H68" s="54" t="str">
        <f aca="false">IF(OR(A68="",E68=""),"",IFERROR(IF(ISNUMBER(MATCH(D68,{"Low","Medium","High"},0)),IF(MATCH(D68,{"Low","Medium","High"},0)&gt;=MATCH(INDEX(QB_MINTIER,MATCH(E68,QB_ID,0)),{"Low","Medium","High"},0),"Recommended for tier","Optional for tier"),"Tier not determined"),"Check question"))</f>
        <v/>
      </c>
      <c r="I68" s="34"/>
      <c r="J68" s="50"/>
      <c r="K68" s="34"/>
      <c r="L68" s="34"/>
      <c r="M68" s="62" t="str">
        <f aca="false">IF(L68="","",SUMPRODUCT(ISNUMBER(SEARCH(","&amp;EV_ID&amp;",",","&amp;SUBSTITUTE(L68," ","")&amp;","))*(EV_ID&lt;&gt;"")))</f>
        <v/>
      </c>
      <c r="N68" s="54" t="str">
        <f aca="false">IF(A68="","",IF(I68&lt;&gt;"Applicable",IF(I68="","Applicability not set","Not in scope ("&amp;I68&amp;")"),IF(OR(J68="",J68="Not answered"),"Awaiting supplier response",IF(J68="Not applicable","Supplier states not applicable - analyst to confirm",IF(L68="","Evidence insufficient - none referenced",IF(M68=0,"Evidence insufficient - referenced ID not found",IF(SUMPRODUCT(ISNUMBER(SEARCH(","&amp;EV_ID&amp;",",","&amp;SUBSTITUTE(L68," ","")&amp;","))*(EV_ID&lt;&gt;"")*(EV_SUFF="Sufficient"))&gt;0,"Evidence reviewed - sufficient",IF(SUMPRODUCT(ISNUMBER(SEARCH(","&amp;EV_ID&amp;",",","&amp;SUBSTITUTE(L68," ","")&amp;","))*(EV_ID&lt;&gt;"")*(EV_SUFF="Partially sufficient"))&gt;0,"Evidence partially sufficient","Evidence insufficient - referenced evidence not sufficient"))))))))</f>
        <v/>
      </c>
      <c r="O68" s="50"/>
      <c r="P68" s="34"/>
      <c r="Q68" s="34"/>
      <c r="R68" s="50"/>
      <c r="S68" s="51"/>
      <c r="T68" s="51"/>
      <c r="U68" s="52" t="str">
        <f aca="false">IF(OR(A68="",Q68=""),"",IF(AND(ISNUMBER(S68),S68&lt;AsOf,O68&lt;&gt;"Reviewed"),"Overdue",""))</f>
        <v/>
      </c>
      <c r="V68" s="54" t="str">
        <f aca="false">IF(A68="","",IF(COUNTIF(QA_ID,A68)&gt;1,"CHECK: duplicate ID",IF(B68="","CHECK: Supplier ID missing",IF(COUNTIF(INV_ID,B68)=0,"CHECK: Supplier ID not in inventory",IF(E68="","CHECK: Question ID missing",IF(COUNTIF(QB_ID,E68)=0,"CHECK: Question ID not in bank","OK"))))))</f>
        <v/>
      </c>
    </row>
    <row r="69" customFormat="false" ht="15" hidden="false" customHeight="false" outlineLevel="0" collapsed="false">
      <c r="A69" s="50"/>
      <c r="B69" s="50"/>
      <c r="C69" s="59" t="str">
        <f aca="false">IF(B69="","",IFERROR(INDEX(INV_NAME,MATCH(B69,INV_ID,0)),"CHECK: Supplier ID not found"))</f>
        <v/>
      </c>
      <c r="D69" s="63" t="str">
        <f aca="false">IF(B69="","",IFERROR(INDEX(INV_TIER,MATCH(B69,INV_ID,0)),""))</f>
        <v/>
      </c>
      <c r="E69" s="50"/>
      <c r="F69" s="59" t="str">
        <f aca="false">IF(E69="","",IFERROR(INDEX(QB_Q,MATCH(E69,QB_ID,0)),"CHECK: Question ID not found"))</f>
        <v/>
      </c>
      <c r="G69" s="59" t="str">
        <f aca="false">IF(E69="","",IFERROR(INDEX(QB_DOMAIN,MATCH(E69,QB_ID,0)),""))</f>
        <v/>
      </c>
      <c r="H69" s="54" t="str">
        <f aca="false">IF(OR(A69="",E69=""),"",IFERROR(IF(ISNUMBER(MATCH(D69,{"Low","Medium","High"},0)),IF(MATCH(D69,{"Low","Medium","High"},0)&gt;=MATCH(INDEX(QB_MINTIER,MATCH(E69,QB_ID,0)),{"Low","Medium","High"},0),"Recommended for tier","Optional for tier"),"Tier not determined"),"Check question"))</f>
        <v/>
      </c>
      <c r="I69" s="34"/>
      <c r="J69" s="50"/>
      <c r="K69" s="34"/>
      <c r="L69" s="34"/>
      <c r="M69" s="62" t="str">
        <f aca="false">IF(L69="","",SUMPRODUCT(ISNUMBER(SEARCH(","&amp;EV_ID&amp;",",","&amp;SUBSTITUTE(L69," ","")&amp;","))*(EV_ID&lt;&gt;"")))</f>
        <v/>
      </c>
      <c r="N69" s="54" t="str">
        <f aca="false">IF(A69="","",IF(I69&lt;&gt;"Applicable",IF(I69="","Applicability not set","Not in scope ("&amp;I69&amp;")"),IF(OR(J69="",J69="Not answered"),"Awaiting supplier response",IF(J69="Not applicable","Supplier states not applicable - analyst to confirm",IF(L69="","Evidence insufficient - none referenced",IF(M69=0,"Evidence insufficient - referenced ID not found",IF(SUMPRODUCT(ISNUMBER(SEARCH(","&amp;EV_ID&amp;",",","&amp;SUBSTITUTE(L69," ","")&amp;","))*(EV_ID&lt;&gt;"")*(EV_SUFF="Sufficient"))&gt;0,"Evidence reviewed - sufficient",IF(SUMPRODUCT(ISNUMBER(SEARCH(","&amp;EV_ID&amp;",",","&amp;SUBSTITUTE(L69," ","")&amp;","))*(EV_ID&lt;&gt;"")*(EV_SUFF="Partially sufficient"))&gt;0,"Evidence partially sufficient","Evidence insufficient - referenced evidence not sufficient"))))))))</f>
        <v/>
      </c>
      <c r="O69" s="50"/>
      <c r="P69" s="34"/>
      <c r="Q69" s="34"/>
      <c r="R69" s="50"/>
      <c r="S69" s="51"/>
      <c r="T69" s="51"/>
      <c r="U69" s="52" t="str">
        <f aca="false">IF(OR(A69="",Q69=""),"",IF(AND(ISNUMBER(S69),S69&lt;AsOf,O69&lt;&gt;"Reviewed"),"Overdue",""))</f>
        <v/>
      </c>
      <c r="V69" s="54" t="str">
        <f aca="false">IF(A69="","",IF(COUNTIF(QA_ID,A69)&gt;1,"CHECK: duplicate ID",IF(B69="","CHECK: Supplier ID missing",IF(COUNTIF(INV_ID,B69)=0,"CHECK: Supplier ID not in inventory",IF(E69="","CHECK: Question ID missing",IF(COUNTIF(QB_ID,E69)=0,"CHECK: Question ID not in bank","OK"))))))</f>
        <v/>
      </c>
    </row>
    <row r="70" customFormat="false" ht="15" hidden="false" customHeight="false" outlineLevel="0" collapsed="false">
      <c r="A70" s="50"/>
      <c r="B70" s="50"/>
      <c r="C70" s="59" t="str">
        <f aca="false">IF(B70="","",IFERROR(INDEX(INV_NAME,MATCH(B70,INV_ID,0)),"CHECK: Supplier ID not found"))</f>
        <v/>
      </c>
      <c r="D70" s="63" t="str">
        <f aca="false">IF(B70="","",IFERROR(INDEX(INV_TIER,MATCH(B70,INV_ID,0)),""))</f>
        <v/>
      </c>
      <c r="E70" s="50"/>
      <c r="F70" s="59" t="str">
        <f aca="false">IF(E70="","",IFERROR(INDEX(QB_Q,MATCH(E70,QB_ID,0)),"CHECK: Question ID not found"))</f>
        <v/>
      </c>
      <c r="G70" s="59" t="str">
        <f aca="false">IF(E70="","",IFERROR(INDEX(QB_DOMAIN,MATCH(E70,QB_ID,0)),""))</f>
        <v/>
      </c>
      <c r="H70" s="54" t="str">
        <f aca="false">IF(OR(A70="",E70=""),"",IFERROR(IF(ISNUMBER(MATCH(D70,{"Low","Medium","High"},0)),IF(MATCH(D70,{"Low","Medium","High"},0)&gt;=MATCH(INDEX(QB_MINTIER,MATCH(E70,QB_ID,0)),{"Low","Medium","High"},0),"Recommended for tier","Optional for tier"),"Tier not determined"),"Check question"))</f>
        <v/>
      </c>
      <c r="I70" s="34"/>
      <c r="J70" s="50"/>
      <c r="K70" s="34"/>
      <c r="L70" s="34"/>
      <c r="M70" s="62" t="str">
        <f aca="false">IF(L70="","",SUMPRODUCT(ISNUMBER(SEARCH(","&amp;EV_ID&amp;",",","&amp;SUBSTITUTE(L70," ","")&amp;","))*(EV_ID&lt;&gt;"")))</f>
        <v/>
      </c>
      <c r="N70" s="54" t="str">
        <f aca="false">IF(A70="","",IF(I70&lt;&gt;"Applicable",IF(I70="","Applicability not set","Not in scope ("&amp;I70&amp;")"),IF(OR(J70="",J70="Not answered"),"Awaiting supplier response",IF(J70="Not applicable","Supplier states not applicable - analyst to confirm",IF(L70="","Evidence insufficient - none referenced",IF(M70=0,"Evidence insufficient - referenced ID not found",IF(SUMPRODUCT(ISNUMBER(SEARCH(","&amp;EV_ID&amp;",",","&amp;SUBSTITUTE(L70," ","")&amp;","))*(EV_ID&lt;&gt;"")*(EV_SUFF="Sufficient"))&gt;0,"Evidence reviewed - sufficient",IF(SUMPRODUCT(ISNUMBER(SEARCH(","&amp;EV_ID&amp;",",","&amp;SUBSTITUTE(L70," ","")&amp;","))*(EV_ID&lt;&gt;"")*(EV_SUFF="Partially sufficient"))&gt;0,"Evidence partially sufficient","Evidence insufficient - referenced evidence not sufficient"))))))))</f>
        <v/>
      </c>
      <c r="O70" s="50"/>
      <c r="P70" s="34"/>
      <c r="Q70" s="34"/>
      <c r="R70" s="50"/>
      <c r="S70" s="51"/>
      <c r="T70" s="51"/>
      <c r="U70" s="52" t="str">
        <f aca="false">IF(OR(A70="",Q70=""),"",IF(AND(ISNUMBER(S70),S70&lt;AsOf,O70&lt;&gt;"Reviewed"),"Overdue",""))</f>
        <v/>
      </c>
      <c r="V70" s="54" t="str">
        <f aca="false">IF(A70="","",IF(COUNTIF(QA_ID,A70)&gt;1,"CHECK: duplicate ID",IF(B70="","CHECK: Supplier ID missing",IF(COUNTIF(INV_ID,B70)=0,"CHECK: Supplier ID not in inventory",IF(E70="","CHECK: Question ID missing",IF(COUNTIF(QB_ID,E70)=0,"CHECK: Question ID not in bank","OK"))))))</f>
        <v/>
      </c>
    </row>
    <row r="71" customFormat="false" ht="15" hidden="false" customHeight="false" outlineLevel="0" collapsed="false">
      <c r="A71" s="50"/>
      <c r="B71" s="50"/>
      <c r="C71" s="59" t="str">
        <f aca="false">IF(B71="","",IFERROR(INDEX(INV_NAME,MATCH(B71,INV_ID,0)),"CHECK: Supplier ID not found"))</f>
        <v/>
      </c>
      <c r="D71" s="63" t="str">
        <f aca="false">IF(B71="","",IFERROR(INDEX(INV_TIER,MATCH(B71,INV_ID,0)),""))</f>
        <v/>
      </c>
      <c r="E71" s="50"/>
      <c r="F71" s="59" t="str">
        <f aca="false">IF(E71="","",IFERROR(INDEX(QB_Q,MATCH(E71,QB_ID,0)),"CHECK: Question ID not found"))</f>
        <v/>
      </c>
      <c r="G71" s="59" t="str">
        <f aca="false">IF(E71="","",IFERROR(INDEX(QB_DOMAIN,MATCH(E71,QB_ID,0)),""))</f>
        <v/>
      </c>
      <c r="H71" s="54" t="str">
        <f aca="false">IF(OR(A71="",E71=""),"",IFERROR(IF(ISNUMBER(MATCH(D71,{"Low","Medium","High"},0)),IF(MATCH(D71,{"Low","Medium","High"},0)&gt;=MATCH(INDEX(QB_MINTIER,MATCH(E71,QB_ID,0)),{"Low","Medium","High"},0),"Recommended for tier","Optional for tier"),"Tier not determined"),"Check question"))</f>
        <v/>
      </c>
      <c r="I71" s="34"/>
      <c r="J71" s="50"/>
      <c r="K71" s="34"/>
      <c r="L71" s="34"/>
      <c r="M71" s="62" t="str">
        <f aca="false">IF(L71="","",SUMPRODUCT(ISNUMBER(SEARCH(","&amp;EV_ID&amp;",",","&amp;SUBSTITUTE(L71," ","")&amp;","))*(EV_ID&lt;&gt;"")))</f>
        <v/>
      </c>
      <c r="N71" s="54" t="str">
        <f aca="false">IF(A71="","",IF(I71&lt;&gt;"Applicable",IF(I71="","Applicability not set","Not in scope ("&amp;I71&amp;")"),IF(OR(J71="",J71="Not answered"),"Awaiting supplier response",IF(J71="Not applicable","Supplier states not applicable - analyst to confirm",IF(L71="","Evidence insufficient - none referenced",IF(M71=0,"Evidence insufficient - referenced ID not found",IF(SUMPRODUCT(ISNUMBER(SEARCH(","&amp;EV_ID&amp;",",","&amp;SUBSTITUTE(L71," ","")&amp;","))*(EV_ID&lt;&gt;"")*(EV_SUFF="Sufficient"))&gt;0,"Evidence reviewed - sufficient",IF(SUMPRODUCT(ISNUMBER(SEARCH(","&amp;EV_ID&amp;",",","&amp;SUBSTITUTE(L71," ","")&amp;","))*(EV_ID&lt;&gt;"")*(EV_SUFF="Partially sufficient"))&gt;0,"Evidence partially sufficient","Evidence insufficient - referenced evidence not sufficient"))))))))</f>
        <v/>
      </c>
      <c r="O71" s="50"/>
      <c r="P71" s="34"/>
      <c r="Q71" s="34"/>
      <c r="R71" s="50"/>
      <c r="S71" s="51"/>
      <c r="T71" s="51"/>
      <c r="U71" s="52" t="str">
        <f aca="false">IF(OR(A71="",Q71=""),"",IF(AND(ISNUMBER(S71),S71&lt;AsOf,O71&lt;&gt;"Reviewed"),"Overdue",""))</f>
        <v/>
      </c>
      <c r="V71" s="54" t="str">
        <f aca="false">IF(A71="","",IF(COUNTIF(QA_ID,A71)&gt;1,"CHECK: duplicate ID",IF(B71="","CHECK: Supplier ID missing",IF(COUNTIF(INV_ID,B71)=0,"CHECK: Supplier ID not in inventory",IF(E71="","CHECK: Question ID missing",IF(COUNTIF(QB_ID,E71)=0,"CHECK: Question ID not in bank","OK"))))))</f>
        <v/>
      </c>
    </row>
    <row r="72" customFormat="false" ht="15" hidden="false" customHeight="false" outlineLevel="0" collapsed="false">
      <c r="A72" s="50"/>
      <c r="B72" s="50"/>
      <c r="C72" s="59" t="str">
        <f aca="false">IF(B72="","",IFERROR(INDEX(INV_NAME,MATCH(B72,INV_ID,0)),"CHECK: Supplier ID not found"))</f>
        <v/>
      </c>
      <c r="D72" s="63" t="str">
        <f aca="false">IF(B72="","",IFERROR(INDEX(INV_TIER,MATCH(B72,INV_ID,0)),""))</f>
        <v/>
      </c>
      <c r="E72" s="50"/>
      <c r="F72" s="59" t="str">
        <f aca="false">IF(E72="","",IFERROR(INDEX(QB_Q,MATCH(E72,QB_ID,0)),"CHECK: Question ID not found"))</f>
        <v/>
      </c>
      <c r="G72" s="59" t="str">
        <f aca="false">IF(E72="","",IFERROR(INDEX(QB_DOMAIN,MATCH(E72,QB_ID,0)),""))</f>
        <v/>
      </c>
      <c r="H72" s="54" t="str">
        <f aca="false">IF(OR(A72="",E72=""),"",IFERROR(IF(ISNUMBER(MATCH(D72,{"Low","Medium","High"},0)),IF(MATCH(D72,{"Low","Medium","High"},0)&gt;=MATCH(INDEX(QB_MINTIER,MATCH(E72,QB_ID,0)),{"Low","Medium","High"},0),"Recommended for tier","Optional for tier"),"Tier not determined"),"Check question"))</f>
        <v/>
      </c>
      <c r="I72" s="34"/>
      <c r="J72" s="50"/>
      <c r="K72" s="34"/>
      <c r="L72" s="34"/>
      <c r="M72" s="62" t="str">
        <f aca="false">IF(L72="","",SUMPRODUCT(ISNUMBER(SEARCH(","&amp;EV_ID&amp;",",","&amp;SUBSTITUTE(L72," ","")&amp;","))*(EV_ID&lt;&gt;"")))</f>
        <v/>
      </c>
      <c r="N72" s="54" t="str">
        <f aca="false">IF(A72="","",IF(I72&lt;&gt;"Applicable",IF(I72="","Applicability not set","Not in scope ("&amp;I72&amp;")"),IF(OR(J72="",J72="Not answered"),"Awaiting supplier response",IF(J72="Not applicable","Supplier states not applicable - analyst to confirm",IF(L72="","Evidence insufficient - none referenced",IF(M72=0,"Evidence insufficient - referenced ID not found",IF(SUMPRODUCT(ISNUMBER(SEARCH(","&amp;EV_ID&amp;",",","&amp;SUBSTITUTE(L72," ","")&amp;","))*(EV_ID&lt;&gt;"")*(EV_SUFF="Sufficient"))&gt;0,"Evidence reviewed - sufficient",IF(SUMPRODUCT(ISNUMBER(SEARCH(","&amp;EV_ID&amp;",",","&amp;SUBSTITUTE(L72," ","")&amp;","))*(EV_ID&lt;&gt;"")*(EV_SUFF="Partially sufficient"))&gt;0,"Evidence partially sufficient","Evidence insufficient - referenced evidence not sufficient"))))))))</f>
        <v/>
      </c>
      <c r="O72" s="50"/>
      <c r="P72" s="34"/>
      <c r="Q72" s="34"/>
      <c r="R72" s="50"/>
      <c r="S72" s="51"/>
      <c r="T72" s="51"/>
      <c r="U72" s="52" t="str">
        <f aca="false">IF(OR(A72="",Q72=""),"",IF(AND(ISNUMBER(S72),S72&lt;AsOf,O72&lt;&gt;"Reviewed"),"Overdue",""))</f>
        <v/>
      </c>
      <c r="V72" s="54" t="str">
        <f aca="false">IF(A72="","",IF(COUNTIF(QA_ID,A72)&gt;1,"CHECK: duplicate ID",IF(B72="","CHECK: Supplier ID missing",IF(COUNTIF(INV_ID,B72)=0,"CHECK: Supplier ID not in inventory",IF(E72="","CHECK: Question ID missing",IF(COUNTIF(QB_ID,E72)=0,"CHECK: Question ID not in bank","OK"))))))</f>
        <v/>
      </c>
    </row>
    <row r="73" customFormat="false" ht="15" hidden="false" customHeight="false" outlineLevel="0" collapsed="false">
      <c r="A73" s="50"/>
      <c r="B73" s="50"/>
      <c r="C73" s="59" t="str">
        <f aca="false">IF(B73="","",IFERROR(INDEX(INV_NAME,MATCH(B73,INV_ID,0)),"CHECK: Supplier ID not found"))</f>
        <v/>
      </c>
      <c r="D73" s="63" t="str">
        <f aca="false">IF(B73="","",IFERROR(INDEX(INV_TIER,MATCH(B73,INV_ID,0)),""))</f>
        <v/>
      </c>
      <c r="E73" s="50"/>
      <c r="F73" s="59" t="str">
        <f aca="false">IF(E73="","",IFERROR(INDEX(QB_Q,MATCH(E73,QB_ID,0)),"CHECK: Question ID not found"))</f>
        <v/>
      </c>
      <c r="G73" s="59" t="str">
        <f aca="false">IF(E73="","",IFERROR(INDEX(QB_DOMAIN,MATCH(E73,QB_ID,0)),""))</f>
        <v/>
      </c>
      <c r="H73" s="54" t="str">
        <f aca="false">IF(OR(A73="",E73=""),"",IFERROR(IF(ISNUMBER(MATCH(D73,{"Low","Medium","High"},0)),IF(MATCH(D73,{"Low","Medium","High"},0)&gt;=MATCH(INDEX(QB_MINTIER,MATCH(E73,QB_ID,0)),{"Low","Medium","High"},0),"Recommended for tier","Optional for tier"),"Tier not determined"),"Check question"))</f>
        <v/>
      </c>
      <c r="I73" s="34"/>
      <c r="J73" s="50"/>
      <c r="K73" s="34"/>
      <c r="L73" s="34"/>
      <c r="M73" s="62" t="str">
        <f aca="false">IF(L73="","",SUMPRODUCT(ISNUMBER(SEARCH(","&amp;EV_ID&amp;",",","&amp;SUBSTITUTE(L73," ","")&amp;","))*(EV_ID&lt;&gt;"")))</f>
        <v/>
      </c>
      <c r="N73" s="54" t="str">
        <f aca="false">IF(A73="","",IF(I73&lt;&gt;"Applicable",IF(I73="","Applicability not set","Not in scope ("&amp;I73&amp;")"),IF(OR(J73="",J73="Not answered"),"Awaiting supplier response",IF(J73="Not applicable","Supplier states not applicable - analyst to confirm",IF(L73="","Evidence insufficient - none referenced",IF(M73=0,"Evidence insufficient - referenced ID not found",IF(SUMPRODUCT(ISNUMBER(SEARCH(","&amp;EV_ID&amp;",",","&amp;SUBSTITUTE(L73," ","")&amp;","))*(EV_ID&lt;&gt;"")*(EV_SUFF="Sufficient"))&gt;0,"Evidence reviewed - sufficient",IF(SUMPRODUCT(ISNUMBER(SEARCH(","&amp;EV_ID&amp;",",","&amp;SUBSTITUTE(L73," ","")&amp;","))*(EV_ID&lt;&gt;"")*(EV_SUFF="Partially sufficient"))&gt;0,"Evidence partially sufficient","Evidence insufficient - referenced evidence not sufficient"))))))))</f>
        <v/>
      </c>
      <c r="O73" s="50"/>
      <c r="P73" s="34"/>
      <c r="Q73" s="34"/>
      <c r="R73" s="50"/>
      <c r="S73" s="51"/>
      <c r="T73" s="51"/>
      <c r="U73" s="52" t="str">
        <f aca="false">IF(OR(A73="",Q73=""),"",IF(AND(ISNUMBER(S73),S73&lt;AsOf,O73&lt;&gt;"Reviewed"),"Overdue",""))</f>
        <v/>
      </c>
      <c r="V73" s="54" t="str">
        <f aca="false">IF(A73="","",IF(COUNTIF(QA_ID,A73)&gt;1,"CHECK: duplicate ID",IF(B73="","CHECK: Supplier ID missing",IF(COUNTIF(INV_ID,B73)=0,"CHECK: Supplier ID not in inventory",IF(E73="","CHECK: Question ID missing",IF(COUNTIF(QB_ID,E73)=0,"CHECK: Question ID not in bank","OK"))))))</f>
        <v/>
      </c>
    </row>
    <row r="74" customFormat="false" ht="15" hidden="false" customHeight="false" outlineLevel="0" collapsed="false">
      <c r="A74" s="50"/>
      <c r="B74" s="50"/>
      <c r="C74" s="59" t="str">
        <f aca="false">IF(B74="","",IFERROR(INDEX(INV_NAME,MATCH(B74,INV_ID,0)),"CHECK: Supplier ID not found"))</f>
        <v/>
      </c>
      <c r="D74" s="63" t="str">
        <f aca="false">IF(B74="","",IFERROR(INDEX(INV_TIER,MATCH(B74,INV_ID,0)),""))</f>
        <v/>
      </c>
      <c r="E74" s="50"/>
      <c r="F74" s="59" t="str">
        <f aca="false">IF(E74="","",IFERROR(INDEX(QB_Q,MATCH(E74,QB_ID,0)),"CHECK: Question ID not found"))</f>
        <v/>
      </c>
      <c r="G74" s="59" t="str">
        <f aca="false">IF(E74="","",IFERROR(INDEX(QB_DOMAIN,MATCH(E74,QB_ID,0)),""))</f>
        <v/>
      </c>
      <c r="H74" s="54" t="str">
        <f aca="false">IF(OR(A74="",E74=""),"",IFERROR(IF(ISNUMBER(MATCH(D74,{"Low","Medium","High"},0)),IF(MATCH(D74,{"Low","Medium","High"},0)&gt;=MATCH(INDEX(QB_MINTIER,MATCH(E74,QB_ID,0)),{"Low","Medium","High"},0),"Recommended for tier","Optional for tier"),"Tier not determined"),"Check question"))</f>
        <v/>
      </c>
      <c r="I74" s="34"/>
      <c r="J74" s="50"/>
      <c r="K74" s="34"/>
      <c r="L74" s="34"/>
      <c r="M74" s="62" t="str">
        <f aca="false">IF(L74="","",SUMPRODUCT(ISNUMBER(SEARCH(","&amp;EV_ID&amp;",",","&amp;SUBSTITUTE(L74," ","")&amp;","))*(EV_ID&lt;&gt;"")))</f>
        <v/>
      </c>
      <c r="N74" s="54" t="str">
        <f aca="false">IF(A74="","",IF(I74&lt;&gt;"Applicable",IF(I74="","Applicability not set","Not in scope ("&amp;I74&amp;")"),IF(OR(J74="",J74="Not answered"),"Awaiting supplier response",IF(J74="Not applicable","Supplier states not applicable - analyst to confirm",IF(L74="","Evidence insufficient - none referenced",IF(M74=0,"Evidence insufficient - referenced ID not found",IF(SUMPRODUCT(ISNUMBER(SEARCH(","&amp;EV_ID&amp;",",","&amp;SUBSTITUTE(L74," ","")&amp;","))*(EV_ID&lt;&gt;"")*(EV_SUFF="Sufficient"))&gt;0,"Evidence reviewed - sufficient",IF(SUMPRODUCT(ISNUMBER(SEARCH(","&amp;EV_ID&amp;",",","&amp;SUBSTITUTE(L74," ","")&amp;","))*(EV_ID&lt;&gt;"")*(EV_SUFF="Partially sufficient"))&gt;0,"Evidence partially sufficient","Evidence insufficient - referenced evidence not sufficient"))))))))</f>
        <v/>
      </c>
      <c r="O74" s="50"/>
      <c r="P74" s="34"/>
      <c r="Q74" s="34"/>
      <c r="R74" s="50"/>
      <c r="S74" s="51"/>
      <c r="T74" s="51"/>
      <c r="U74" s="52" t="str">
        <f aca="false">IF(OR(A74="",Q74=""),"",IF(AND(ISNUMBER(S74),S74&lt;AsOf,O74&lt;&gt;"Reviewed"),"Overdue",""))</f>
        <v/>
      </c>
      <c r="V74" s="54" t="str">
        <f aca="false">IF(A74="","",IF(COUNTIF(QA_ID,A74)&gt;1,"CHECK: duplicate ID",IF(B74="","CHECK: Supplier ID missing",IF(COUNTIF(INV_ID,B74)=0,"CHECK: Supplier ID not in inventory",IF(E74="","CHECK: Question ID missing",IF(COUNTIF(QB_ID,E74)=0,"CHECK: Question ID not in bank","OK"))))))</f>
        <v/>
      </c>
    </row>
    <row r="75" customFormat="false" ht="15" hidden="false" customHeight="false" outlineLevel="0" collapsed="false">
      <c r="A75" s="50"/>
      <c r="B75" s="50"/>
      <c r="C75" s="59" t="str">
        <f aca="false">IF(B75="","",IFERROR(INDEX(INV_NAME,MATCH(B75,INV_ID,0)),"CHECK: Supplier ID not found"))</f>
        <v/>
      </c>
      <c r="D75" s="63" t="str">
        <f aca="false">IF(B75="","",IFERROR(INDEX(INV_TIER,MATCH(B75,INV_ID,0)),""))</f>
        <v/>
      </c>
      <c r="E75" s="50"/>
      <c r="F75" s="59" t="str">
        <f aca="false">IF(E75="","",IFERROR(INDEX(QB_Q,MATCH(E75,QB_ID,0)),"CHECK: Question ID not found"))</f>
        <v/>
      </c>
      <c r="G75" s="59" t="str">
        <f aca="false">IF(E75="","",IFERROR(INDEX(QB_DOMAIN,MATCH(E75,QB_ID,0)),""))</f>
        <v/>
      </c>
      <c r="H75" s="54" t="str">
        <f aca="false">IF(OR(A75="",E75=""),"",IFERROR(IF(ISNUMBER(MATCH(D75,{"Low","Medium","High"},0)),IF(MATCH(D75,{"Low","Medium","High"},0)&gt;=MATCH(INDEX(QB_MINTIER,MATCH(E75,QB_ID,0)),{"Low","Medium","High"},0),"Recommended for tier","Optional for tier"),"Tier not determined"),"Check question"))</f>
        <v/>
      </c>
      <c r="I75" s="34"/>
      <c r="J75" s="50"/>
      <c r="K75" s="34"/>
      <c r="L75" s="34"/>
      <c r="M75" s="62" t="str">
        <f aca="false">IF(L75="","",SUMPRODUCT(ISNUMBER(SEARCH(","&amp;EV_ID&amp;",",","&amp;SUBSTITUTE(L75," ","")&amp;","))*(EV_ID&lt;&gt;"")))</f>
        <v/>
      </c>
      <c r="N75" s="54" t="str">
        <f aca="false">IF(A75="","",IF(I75&lt;&gt;"Applicable",IF(I75="","Applicability not set","Not in scope ("&amp;I75&amp;")"),IF(OR(J75="",J75="Not answered"),"Awaiting supplier response",IF(J75="Not applicable","Supplier states not applicable - analyst to confirm",IF(L75="","Evidence insufficient - none referenced",IF(M75=0,"Evidence insufficient - referenced ID not found",IF(SUMPRODUCT(ISNUMBER(SEARCH(","&amp;EV_ID&amp;",",","&amp;SUBSTITUTE(L75," ","")&amp;","))*(EV_ID&lt;&gt;"")*(EV_SUFF="Sufficient"))&gt;0,"Evidence reviewed - sufficient",IF(SUMPRODUCT(ISNUMBER(SEARCH(","&amp;EV_ID&amp;",",","&amp;SUBSTITUTE(L75," ","")&amp;","))*(EV_ID&lt;&gt;"")*(EV_SUFF="Partially sufficient"))&gt;0,"Evidence partially sufficient","Evidence insufficient - referenced evidence not sufficient"))))))))</f>
        <v/>
      </c>
      <c r="O75" s="50"/>
      <c r="P75" s="34"/>
      <c r="Q75" s="34"/>
      <c r="R75" s="50"/>
      <c r="S75" s="51"/>
      <c r="T75" s="51"/>
      <c r="U75" s="52" t="str">
        <f aca="false">IF(OR(A75="",Q75=""),"",IF(AND(ISNUMBER(S75),S75&lt;AsOf,O75&lt;&gt;"Reviewed"),"Overdue",""))</f>
        <v/>
      </c>
      <c r="V75" s="54" t="str">
        <f aca="false">IF(A75="","",IF(COUNTIF(QA_ID,A75)&gt;1,"CHECK: duplicate ID",IF(B75="","CHECK: Supplier ID missing",IF(COUNTIF(INV_ID,B75)=0,"CHECK: Supplier ID not in inventory",IF(E75="","CHECK: Question ID missing",IF(COUNTIF(QB_ID,E75)=0,"CHECK: Question ID not in bank","OK"))))))</f>
        <v/>
      </c>
    </row>
    <row r="76" customFormat="false" ht="15" hidden="false" customHeight="false" outlineLevel="0" collapsed="false">
      <c r="A76" s="50"/>
      <c r="B76" s="50"/>
      <c r="C76" s="59" t="str">
        <f aca="false">IF(B76="","",IFERROR(INDEX(INV_NAME,MATCH(B76,INV_ID,0)),"CHECK: Supplier ID not found"))</f>
        <v/>
      </c>
      <c r="D76" s="63" t="str">
        <f aca="false">IF(B76="","",IFERROR(INDEX(INV_TIER,MATCH(B76,INV_ID,0)),""))</f>
        <v/>
      </c>
      <c r="E76" s="50"/>
      <c r="F76" s="59" t="str">
        <f aca="false">IF(E76="","",IFERROR(INDEX(QB_Q,MATCH(E76,QB_ID,0)),"CHECK: Question ID not found"))</f>
        <v/>
      </c>
      <c r="G76" s="59" t="str">
        <f aca="false">IF(E76="","",IFERROR(INDEX(QB_DOMAIN,MATCH(E76,QB_ID,0)),""))</f>
        <v/>
      </c>
      <c r="H76" s="54" t="str">
        <f aca="false">IF(OR(A76="",E76=""),"",IFERROR(IF(ISNUMBER(MATCH(D76,{"Low","Medium","High"},0)),IF(MATCH(D76,{"Low","Medium","High"},0)&gt;=MATCH(INDEX(QB_MINTIER,MATCH(E76,QB_ID,0)),{"Low","Medium","High"},0),"Recommended for tier","Optional for tier"),"Tier not determined"),"Check question"))</f>
        <v/>
      </c>
      <c r="I76" s="34"/>
      <c r="J76" s="50"/>
      <c r="K76" s="34"/>
      <c r="L76" s="34"/>
      <c r="M76" s="62" t="str">
        <f aca="false">IF(L76="","",SUMPRODUCT(ISNUMBER(SEARCH(","&amp;EV_ID&amp;",",","&amp;SUBSTITUTE(L76," ","")&amp;","))*(EV_ID&lt;&gt;"")))</f>
        <v/>
      </c>
      <c r="N76" s="54" t="str">
        <f aca="false">IF(A76="","",IF(I76&lt;&gt;"Applicable",IF(I76="","Applicability not set","Not in scope ("&amp;I76&amp;")"),IF(OR(J76="",J76="Not answered"),"Awaiting supplier response",IF(J76="Not applicable","Supplier states not applicable - analyst to confirm",IF(L76="","Evidence insufficient - none referenced",IF(M76=0,"Evidence insufficient - referenced ID not found",IF(SUMPRODUCT(ISNUMBER(SEARCH(","&amp;EV_ID&amp;",",","&amp;SUBSTITUTE(L76," ","")&amp;","))*(EV_ID&lt;&gt;"")*(EV_SUFF="Sufficient"))&gt;0,"Evidence reviewed - sufficient",IF(SUMPRODUCT(ISNUMBER(SEARCH(","&amp;EV_ID&amp;",",","&amp;SUBSTITUTE(L76," ","")&amp;","))*(EV_ID&lt;&gt;"")*(EV_SUFF="Partially sufficient"))&gt;0,"Evidence partially sufficient","Evidence insufficient - referenced evidence not sufficient"))))))))</f>
        <v/>
      </c>
      <c r="O76" s="50"/>
      <c r="P76" s="34"/>
      <c r="Q76" s="34"/>
      <c r="R76" s="50"/>
      <c r="S76" s="51"/>
      <c r="T76" s="51"/>
      <c r="U76" s="52" t="str">
        <f aca="false">IF(OR(A76="",Q76=""),"",IF(AND(ISNUMBER(S76),S76&lt;AsOf,O76&lt;&gt;"Reviewed"),"Overdue",""))</f>
        <v/>
      </c>
      <c r="V76" s="54" t="str">
        <f aca="false">IF(A76="","",IF(COUNTIF(QA_ID,A76)&gt;1,"CHECK: duplicate ID",IF(B76="","CHECK: Supplier ID missing",IF(COUNTIF(INV_ID,B76)=0,"CHECK: Supplier ID not in inventory",IF(E76="","CHECK: Question ID missing",IF(COUNTIF(QB_ID,E76)=0,"CHECK: Question ID not in bank","OK"))))))</f>
        <v/>
      </c>
    </row>
    <row r="77" customFormat="false" ht="15" hidden="false" customHeight="false" outlineLevel="0" collapsed="false">
      <c r="A77" s="50"/>
      <c r="B77" s="50"/>
      <c r="C77" s="59" t="str">
        <f aca="false">IF(B77="","",IFERROR(INDEX(INV_NAME,MATCH(B77,INV_ID,0)),"CHECK: Supplier ID not found"))</f>
        <v/>
      </c>
      <c r="D77" s="63" t="str">
        <f aca="false">IF(B77="","",IFERROR(INDEX(INV_TIER,MATCH(B77,INV_ID,0)),""))</f>
        <v/>
      </c>
      <c r="E77" s="50"/>
      <c r="F77" s="59" t="str">
        <f aca="false">IF(E77="","",IFERROR(INDEX(QB_Q,MATCH(E77,QB_ID,0)),"CHECK: Question ID not found"))</f>
        <v/>
      </c>
      <c r="G77" s="59" t="str">
        <f aca="false">IF(E77="","",IFERROR(INDEX(QB_DOMAIN,MATCH(E77,QB_ID,0)),""))</f>
        <v/>
      </c>
      <c r="H77" s="54" t="str">
        <f aca="false">IF(OR(A77="",E77=""),"",IFERROR(IF(ISNUMBER(MATCH(D77,{"Low","Medium","High"},0)),IF(MATCH(D77,{"Low","Medium","High"},0)&gt;=MATCH(INDEX(QB_MINTIER,MATCH(E77,QB_ID,0)),{"Low","Medium","High"},0),"Recommended for tier","Optional for tier"),"Tier not determined"),"Check question"))</f>
        <v/>
      </c>
      <c r="I77" s="34"/>
      <c r="J77" s="50"/>
      <c r="K77" s="34"/>
      <c r="L77" s="34"/>
      <c r="M77" s="62" t="str">
        <f aca="false">IF(L77="","",SUMPRODUCT(ISNUMBER(SEARCH(","&amp;EV_ID&amp;",",","&amp;SUBSTITUTE(L77," ","")&amp;","))*(EV_ID&lt;&gt;"")))</f>
        <v/>
      </c>
      <c r="N77" s="54" t="str">
        <f aca="false">IF(A77="","",IF(I77&lt;&gt;"Applicable",IF(I77="","Applicability not set","Not in scope ("&amp;I77&amp;")"),IF(OR(J77="",J77="Not answered"),"Awaiting supplier response",IF(J77="Not applicable","Supplier states not applicable - analyst to confirm",IF(L77="","Evidence insufficient - none referenced",IF(M77=0,"Evidence insufficient - referenced ID not found",IF(SUMPRODUCT(ISNUMBER(SEARCH(","&amp;EV_ID&amp;",",","&amp;SUBSTITUTE(L77," ","")&amp;","))*(EV_ID&lt;&gt;"")*(EV_SUFF="Sufficient"))&gt;0,"Evidence reviewed - sufficient",IF(SUMPRODUCT(ISNUMBER(SEARCH(","&amp;EV_ID&amp;",",","&amp;SUBSTITUTE(L77," ","")&amp;","))*(EV_ID&lt;&gt;"")*(EV_SUFF="Partially sufficient"))&gt;0,"Evidence partially sufficient","Evidence insufficient - referenced evidence not sufficient"))))))))</f>
        <v/>
      </c>
      <c r="O77" s="50"/>
      <c r="P77" s="34"/>
      <c r="Q77" s="34"/>
      <c r="R77" s="50"/>
      <c r="S77" s="51"/>
      <c r="T77" s="51"/>
      <c r="U77" s="52" t="str">
        <f aca="false">IF(OR(A77="",Q77=""),"",IF(AND(ISNUMBER(S77),S77&lt;AsOf,O77&lt;&gt;"Reviewed"),"Overdue",""))</f>
        <v/>
      </c>
      <c r="V77" s="54" t="str">
        <f aca="false">IF(A77="","",IF(COUNTIF(QA_ID,A77)&gt;1,"CHECK: duplicate ID",IF(B77="","CHECK: Supplier ID missing",IF(COUNTIF(INV_ID,B77)=0,"CHECK: Supplier ID not in inventory",IF(E77="","CHECK: Question ID missing",IF(COUNTIF(QB_ID,E77)=0,"CHECK: Question ID not in bank","OK"))))))</f>
        <v/>
      </c>
    </row>
    <row r="78" customFormat="false" ht="15" hidden="false" customHeight="false" outlineLevel="0" collapsed="false">
      <c r="A78" s="50"/>
      <c r="B78" s="50"/>
      <c r="C78" s="59" t="str">
        <f aca="false">IF(B78="","",IFERROR(INDEX(INV_NAME,MATCH(B78,INV_ID,0)),"CHECK: Supplier ID not found"))</f>
        <v/>
      </c>
      <c r="D78" s="63" t="str">
        <f aca="false">IF(B78="","",IFERROR(INDEX(INV_TIER,MATCH(B78,INV_ID,0)),""))</f>
        <v/>
      </c>
      <c r="E78" s="50"/>
      <c r="F78" s="59" t="str">
        <f aca="false">IF(E78="","",IFERROR(INDEX(QB_Q,MATCH(E78,QB_ID,0)),"CHECK: Question ID not found"))</f>
        <v/>
      </c>
      <c r="G78" s="59" t="str">
        <f aca="false">IF(E78="","",IFERROR(INDEX(QB_DOMAIN,MATCH(E78,QB_ID,0)),""))</f>
        <v/>
      </c>
      <c r="H78" s="54" t="str">
        <f aca="false">IF(OR(A78="",E78=""),"",IFERROR(IF(ISNUMBER(MATCH(D78,{"Low","Medium","High"},0)),IF(MATCH(D78,{"Low","Medium","High"},0)&gt;=MATCH(INDEX(QB_MINTIER,MATCH(E78,QB_ID,0)),{"Low","Medium","High"},0),"Recommended for tier","Optional for tier"),"Tier not determined"),"Check question"))</f>
        <v/>
      </c>
      <c r="I78" s="34"/>
      <c r="J78" s="50"/>
      <c r="K78" s="34"/>
      <c r="L78" s="34"/>
      <c r="M78" s="62" t="str">
        <f aca="false">IF(L78="","",SUMPRODUCT(ISNUMBER(SEARCH(","&amp;EV_ID&amp;",",","&amp;SUBSTITUTE(L78," ","")&amp;","))*(EV_ID&lt;&gt;"")))</f>
        <v/>
      </c>
      <c r="N78" s="54" t="str">
        <f aca="false">IF(A78="","",IF(I78&lt;&gt;"Applicable",IF(I78="","Applicability not set","Not in scope ("&amp;I78&amp;")"),IF(OR(J78="",J78="Not answered"),"Awaiting supplier response",IF(J78="Not applicable","Supplier states not applicable - analyst to confirm",IF(L78="","Evidence insufficient - none referenced",IF(M78=0,"Evidence insufficient - referenced ID not found",IF(SUMPRODUCT(ISNUMBER(SEARCH(","&amp;EV_ID&amp;",",","&amp;SUBSTITUTE(L78," ","")&amp;","))*(EV_ID&lt;&gt;"")*(EV_SUFF="Sufficient"))&gt;0,"Evidence reviewed - sufficient",IF(SUMPRODUCT(ISNUMBER(SEARCH(","&amp;EV_ID&amp;",",","&amp;SUBSTITUTE(L78," ","")&amp;","))*(EV_ID&lt;&gt;"")*(EV_SUFF="Partially sufficient"))&gt;0,"Evidence partially sufficient","Evidence insufficient - referenced evidence not sufficient"))))))))</f>
        <v/>
      </c>
      <c r="O78" s="50"/>
      <c r="P78" s="34"/>
      <c r="Q78" s="34"/>
      <c r="R78" s="50"/>
      <c r="S78" s="51"/>
      <c r="T78" s="51"/>
      <c r="U78" s="52" t="str">
        <f aca="false">IF(OR(A78="",Q78=""),"",IF(AND(ISNUMBER(S78),S78&lt;AsOf,O78&lt;&gt;"Reviewed"),"Overdue",""))</f>
        <v/>
      </c>
      <c r="V78" s="54" t="str">
        <f aca="false">IF(A78="","",IF(COUNTIF(QA_ID,A78)&gt;1,"CHECK: duplicate ID",IF(B78="","CHECK: Supplier ID missing",IF(COUNTIF(INV_ID,B78)=0,"CHECK: Supplier ID not in inventory",IF(E78="","CHECK: Question ID missing",IF(COUNTIF(QB_ID,E78)=0,"CHECK: Question ID not in bank","OK"))))))</f>
        <v/>
      </c>
    </row>
    <row r="79" customFormat="false" ht="15" hidden="false" customHeight="false" outlineLevel="0" collapsed="false">
      <c r="A79" s="50"/>
      <c r="B79" s="50"/>
      <c r="C79" s="59" t="str">
        <f aca="false">IF(B79="","",IFERROR(INDEX(INV_NAME,MATCH(B79,INV_ID,0)),"CHECK: Supplier ID not found"))</f>
        <v/>
      </c>
      <c r="D79" s="63" t="str">
        <f aca="false">IF(B79="","",IFERROR(INDEX(INV_TIER,MATCH(B79,INV_ID,0)),""))</f>
        <v/>
      </c>
      <c r="E79" s="50"/>
      <c r="F79" s="59" t="str">
        <f aca="false">IF(E79="","",IFERROR(INDEX(QB_Q,MATCH(E79,QB_ID,0)),"CHECK: Question ID not found"))</f>
        <v/>
      </c>
      <c r="G79" s="59" t="str">
        <f aca="false">IF(E79="","",IFERROR(INDEX(QB_DOMAIN,MATCH(E79,QB_ID,0)),""))</f>
        <v/>
      </c>
      <c r="H79" s="54" t="str">
        <f aca="false">IF(OR(A79="",E79=""),"",IFERROR(IF(ISNUMBER(MATCH(D79,{"Low","Medium","High"},0)),IF(MATCH(D79,{"Low","Medium","High"},0)&gt;=MATCH(INDEX(QB_MINTIER,MATCH(E79,QB_ID,0)),{"Low","Medium","High"},0),"Recommended for tier","Optional for tier"),"Tier not determined"),"Check question"))</f>
        <v/>
      </c>
      <c r="I79" s="34"/>
      <c r="J79" s="50"/>
      <c r="K79" s="34"/>
      <c r="L79" s="34"/>
      <c r="M79" s="62" t="str">
        <f aca="false">IF(L79="","",SUMPRODUCT(ISNUMBER(SEARCH(","&amp;EV_ID&amp;",",","&amp;SUBSTITUTE(L79," ","")&amp;","))*(EV_ID&lt;&gt;"")))</f>
        <v/>
      </c>
      <c r="N79" s="54" t="str">
        <f aca="false">IF(A79="","",IF(I79&lt;&gt;"Applicable",IF(I79="","Applicability not set","Not in scope ("&amp;I79&amp;")"),IF(OR(J79="",J79="Not answered"),"Awaiting supplier response",IF(J79="Not applicable","Supplier states not applicable - analyst to confirm",IF(L79="","Evidence insufficient - none referenced",IF(M79=0,"Evidence insufficient - referenced ID not found",IF(SUMPRODUCT(ISNUMBER(SEARCH(","&amp;EV_ID&amp;",",","&amp;SUBSTITUTE(L79," ","")&amp;","))*(EV_ID&lt;&gt;"")*(EV_SUFF="Sufficient"))&gt;0,"Evidence reviewed - sufficient",IF(SUMPRODUCT(ISNUMBER(SEARCH(","&amp;EV_ID&amp;",",","&amp;SUBSTITUTE(L79," ","")&amp;","))*(EV_ID&lt;&gt;"")*(EV_SUFF="Partially sufficient"))&gt;0,"Evidence partially sufficient","Evidence insufficient - referenced evidence not sufficient"))))))))</f>
        <v/>
      </c>
      <c r="O79" s="50"/>
      <c r="P79" s="34"/>
      <c r="Q79" s="34"/>
      <c r="R79" s="50"/>
      <c r="S79" s="51"/>
      <c r="T79" s="51"/>
      <c r="U79" s="52" t="str">
        <f aca="false">IF(OR(A79="",Q79=""),"",IF(AND(ISNUMBER(S79),S79&lt;AsOf,O79&lt;&gt;"Reviewed"),"Overdue",""))</f>
        <v/>
      </c>
      <c r="V79" s="54" t="str">
        <f aca="false">IF(A79="","",IF(COUNTIF(QA_ID,A79)&gt;1,"CHECK: duplicate ID",IF(B79="","CHECK: Supplier ID missing",IF(COUNTIF(INV_ID,B79)=0,"CHECK: Supplier ID not in inventory",IF(E79="","CHECK: Question ID missing",IF(COUNTIF(QB_ID,E79)=0,"CHECK: Question ID not in bank","OK"))))))</f>
        <v/>
      </c>
    </row>
    <row r="80" customFormat="false" ht="15" hidden="false" customHeight="false" outlineLevel="0" collapsed="false">
      <c r="A80" s="50"/>
      <c r="B80" s="50"/>
      <c r="C80" s="59" t="str">
        <f aca="false">IF(B80="","",IFERROR(INDEX(INV_NAME,MATCH(B80,INV_ID,0)),"CHECK: Supplier ID not found"))</f>
        <v/>
      </c>
      <c r="D80" s="63" t="str">
        <f aca="false">IF(B80="","",IFERROR(INDEX(INV_TIER,MATCH(B80,INV_ID,0)),""))</f>
        <v/>
      </c>
      <c r="E80" s="50"/>
      <c r="F80" s="59" t="str">
        <f aca="false">IF(E80="","",IFERROR(INDEX(QB_Q,MATCH(E80,QB_ID,0)),"CHECK: Question ID not found"))</f>
        <v/>
      </c>
      <c r="G80" s="59" t="str">
        <f aca="false">IF(E80="","",IFERROR(INDEX(QB_DOMAIN,MATCH(E80,QB_ID,0)),""))</f>
        <v/>
      </c>
      <c r="H80" s="54" t="str">
        <f aca="false">IF(OR(A80="",E80=""),"",IFERROR(IF(ISNUMBER(MATCH(D80,{"Low","Medium","High"},0)),IF(MATCH(D80,{"Low","Medium","High"},0)&gt;=MATCH(INDEX(QB_MINTIER,MATCH(E80,QB_ID,0)),{"Low","Medium","High"},0),"Recommended for tier","Optional for tier"),"Tier not determined"),"Check question"))</f>
        <v/>
      </c>
      <c r="I80" s="34"/>
      <c r="J80" s="50"/>
      <c r="K80" s="34"/>
      <c r="L80" s="34"/>
      <c r="M80" s="62" t="str">
        <f aca="false">IF(L80="","",SUMPRODUCT(ISNUMBER(SEARCH(","&amp;EV_ID&amp;",",","&amp;SUBSTITUTE(L80," ","")&amp;","))*(EV_ID&lt;&gt;"")))</f>
        <v/>
      </c>
      <c r="N80" s="54" t="str">
        <f aca="false">IF(A80="","",IF(I80&lt;&gt;"Applicable",IF(I80="","Applicability not set","Not in scope ("&amp;I80&amp;")"),IF(OR(J80="",J80="Not answered"),"Awaiting supplier response",IF(J80="Not applicable","Supplier states not applicable - analyst to confirm",IF(L80="","Evidence insufficient - none referenced",IF(M80=0,"Evidence insufficient - referenced ID not found",IF(SUMPRODUCT(ISNUMBER(SEARCH(","&amp;EV_ID&amp;",",","&amp;SUBSTITUTE(L80," ","")&amp;","))*(EV_ID&lt;&gt;"")*(EV_SUFF="Sufficient"))&gt;0,"Evidence reviewed - sufficient",IF(SUMPRODUCT(ISNUMBER(SEARCH(","&amp;EV_ID&amp;",",","&amp;SUBSTITUTE(L80," ","")&amp;","))*(EV_ID&lt;&gt;"")*(EV_SUFF="Partially sufficient"))&gt;0,"Evidence partially sufficient","Evidence insufficient - referenced evidence not sufficient"))))))))</f>
        <v/>
      </c>
      <c r="O80" s="50"/>
      <c r="P80" s="34"/>
      <c r="Q80" s="34"/>
      <c r="R80" s="50"/>
      <c r="S80" s="51"/>
      <c r="T80" s="51"/>
      <c r="U80" s="52" t="str">
        <f aca="false">IF(OR(A80="",Q80=""),"",IF(AND(ISNUMBER(S80),S80&lt;AsOf,O80&lt;&gt;"Reviewed"),"Overdue",""))</f>
        <v/>
      </c>
      <c r="V80" s="54" t="str">
        <f aca="false">IF(A80="","",IF(COUNTIF(QA_ID,A80)&gt;1,"CHECK: duplicate ID",IF(B80="","CHECK: Supplier ID missing",IF(COUNTIF(INV_ID,B80)=0,"CHECK: Supplier ID not in inventory",IF(E80="","CHECK: Question ID missing",IF(COUNTIF(QB_ID,E80)=0,"CHECK: Question ID not in bank","OK"))))))</f>
        <v/>
      </c>
    </row>
    <row r="81" customFormat="false" ht="15" hidden="false" customHeight="false" outlineLevel="0" collapsed="false">
      <c r="A81" s="50"/>
      <c r="B81" s="50"/>
      <c r="C81" s="59" t="str">
        <f aca="false">IF(B81="","",IFERROR(INDEX(INV_NAME,MATCH(B81,INV_ID,0)),"CHECK: Supplier ID not found"))</f>
        <v/>
      </c>
      <c r="D81" s="63" t="str">
        <f aca="false">IF(B81="","",IFERROR(INDEX(INV_TIER,MATCH(B81,INV_ID,0)),""))</f>
        <v/>
      </c>
      <c r="E81" s="50"/>
      <c r="F81" s="59" t="str">
        <f aca="false">IF(E81="","",IFERROR(INDEX(QB_Q,MATCH(E81,QB_ID,0)),"CHECK: Question ID not found"))</f>
        <v/>
      </c>
      <c r="G81" s="59" t="str">
        <f aca="false">IF(E81="","",IFERROR(INDEX(QB_DOMAIN,MATCH(E81,QB_ID,0)),""))</f>
        <v/>
      </c>
      <c r="H81" s="54" t="str">
        <f aca="false">IF(OR(A81="",E81=""),"",IFERROR(IF(ISNUMBER(MATCH(D81,{"Low","Medium","High"},0)),IF(MATCH(D81,{"Low","Medium","High"},0)&gt;=MATCH(INDEX(QB_MINTIER,MATCH(E81,QB_ID,0)),{"Low","Medium","High"},0),"Recommended for tier","Optional for tier"),"Tier not determined"),"Check question"))</f>
        <v/>
      </c>
      <c r="I81" s="34"/>
      <c r="J81" s="50"/>
      <c r="K81" s="34"/>
      <c r="L81" s="34"/>
      <c r="M81" s="62" t="str">
        <f aca="false">IF(L81="","",SUMPRODUCT(ISNUMBER(SEARCH(","&amp;EV_ID&amp;",",","&amp;SUBSTITUTE(L81," ","")&amp;","))*(EV_ID&lt;&gt;"")))</f>
        <v/>
      </c>
      <c r="N81" s="54" t="str">
        <f aca="false">IF(A81="","",IF(I81&lt;&gt;"Applicable",IF(I81="","Applicability not set","Not in scope ("&amp;I81&amp;")"),IF(OR(J81="",J81="Not answered"),"Awaiting supplier response",IF(J81="Not applicable","Supplier states not applicable - analyst to confirm",IF(L81="","Evidence insufficient - none referenced",IF(M81=0,"Evidence insufficient - referenced ID not found",IF(SUMPRODUCT(ISNUMBER(SEARCH(","&amp;EV_ID&amp;",",","&amp;SUBSTITUTE(L81," ","")&amp;","))*(EV_ID&lt;&gt;"")*(EV_SUFF="Sufficient"))&gt;0,"Evidence reviewed - sufficient",IF(SUMPRODUCT(ISNUMBER(SEARCH(","&amp;EV_ID&amp;",",","&amp;SUBSTITUTE(L81," ","")&amp;","))*(EV_ID&lt;&gt;"")*(EV_SUFF="Partially sufficient"))&gt;0,"Evidence partially sufficient","Evidence insufficient - referenced evidence not sufficient"))))))))</f>
        <v/>
      </c>
      <c r="O81" s="50"/>
      <c r="P81" s="34"/>
      <c r="Q81" s="34"/>
      <c r="R81" s="50"/>
      <c r="S81" s="51"/>
      <c r="T81" s="51"/>
      <c r="U81" s="52" t="str">
        <f aca="false">IF(OR(A81="",Q81=""),"",IF(AND(ISNUMBER(S81),S81&lt;AsOf,O81&lt;&gt;"Reviewed"),"Overdue",""))</f>
        <v/>
      </c>
      <c r="V81" s="54" t="str">
        <f aca="false">IF(A81="","",IF(COUNTIF(QA_ID,A81)&gt;1,"CHECK: duplicate ID",IF(B81="","CHECK: Supplier ID missing",IF(COUNTIF(INV_ID,B81)=0,"CHECK: Supplier ID not in inventory",IF(E81="","CHECK: Question ID missing",IF(COUNTIF(QB_ID,E81)=0,"CHECK: Question ID not in bank","OK"))))))</f>
        <v/>
      </c>
    </row>
    <row r="82" customFormat="false" ht="15" hidden="false" customHeight="false" outlineLevel="0" collapsed="false">
      <c r="A82" s="50"/>
      <c r="B82" s="50"/>
      <c r="C82" s="59" t="str">
        <f aca="false">IF(B82="","",IFERROR(INDEX(INV_NAME,MATCH(B82,INV_ID,0)),"CHECK: Supplier ID not found"))</f>
        <v/>
      </c>
      <c r="D82" s="63" t="str">
        <f aca="false">IF(B82="","",IFERROR(INDEX(INV_TIER,MATCH(B82,INV_ID,0)),""))</f>
        <v/>
      </c>
      <c r="E82" s="50"/>
      <c r="F82" s="59" t="str">
        <f aca="false">IF(E82="","",IFERROR(INDEX(QB_Q,MATCH(E82,QB_ID,0)),"CHECK: Question ID not found"))</f>
        <v/>
      </c>
      <c r="G82" s="59" t="str">
        <f aca="false">IF(E82="","",IFERROR(INDEX(QB_DOMAIN,MATCH(E82,QB_ID,0)),""))</f>
        <v/>
      </c>
      <c r="H82" s="54" t="str">
        <f aca="false">IF(OR(A82="",E82=""),"",IFERROR(IF(ISNUMBER(MATCH(D82,{"Low","Medium","High"},0)),IF(MATCH(D82,{"Low","Medium","High"},0)&gt;=MATCH(INDEX(QB_MINTIER,MATCH(E82,QB_ID,0)),{"Low","Medium","High"},0),"Recommended for tier","Optional for tier"),"Tier not determined"),"Check question"))</f>
        <v/>
      </c>
      <c r="I82" s="34"/>
      <c r="J82" s="50"/>
      <c r="K82" s="34"/>
      <c r="L82" s="34"/>
      <c r="M82" s="62" t="str">
        <f aca="false">IF(L82="","",SUMPRODUCT(ISNUMBER(SEARCH(","&amp;EV_ID&amp;",",","&amp;SUBSTITUTE(L82," ","")&amp;","))*(EV_ID&lt;&gt;"")))</f>
        <v/>
      </c>
      <c r="N82" s="54" t="str">
        <f aca="false">IF(A82="","",IF(I82&lt;&gt;"Applicable",IF(I82="","Applicability not set","Not in scope ("&amp;I82&amp;")"),IF(OR(J82="",J82="Not answered"),"Awaiting supplier response",IF(J82="Not applicable","Supplier states not applicable - analyst to confirm",IF(L82="","Evidence insufficient - none referenced",IF(M82=0,"Evidence insufficient - referenced ID not found",IF(SUMPRODUCT(ISNUMBER(SEARCH(","&amp;EV_ID&amp;",",","&amp;SUBSTITUTE(L82," ","")&amp;","))*(EV_ID&lt;&gt;"")*(EV_SUFF="Sufficient"))&gt;0,"Evidence reviewed - sufficient",IF(SUMPRODUCT(ISNUMBER(SEARCH(","&amp;EV_ID&amp;",",","&amp;SUBSTITUTE(L82," ","")&amp;","))*(EV_ID&lt;&gt;"")*(EV_SUFF="Partially sufficient"))&gt;0,"Evidence partially sufficient","Evidence insufficient - referenced evidence not sufficient"))))))))</f>
        <v/>
      </c>
      <c r="O82" s="50"/>
      <c r="P82" s="34"/>
      <c r="Q82" s="34"/>
      <c r="R82" s="50"/>
      <c r="S82" s="51"/>
      <c r="T82" s="51"/>
      <c r="U82" s="52" t="str">
        <f aca="false">IF(OR(A82="",Q82=""),"",IF(AND(ISNUMBER(S82),S82&lt;AsOf,O82&lt;&gt;"Reviewed"),"Overdue",""))</f>
        <v/>
      </c>
      <c r="V82" s="54" t="str">
        <f aca="false">IF(A82="","",IF(COUNTIF(QA_ID,A82)&gt;1,"CHECK: duplicate ID",IF(B82="","CHECK: Supplier ID missing",IF(COUNTIF(INV_ID,B82)=0,"CHECK: Supplier ID not in inventory",IF(E82="","CHECK: Question ID missing",IF(COUNTIF(QB_ID,E82)=0,"CHECK: Question ID not in bank","OK"))))))</f>
        <v/>
      </c>
    </row>
    <row r="83" customFormat="false" ht="15" hidden="false" customHeight="false" outlineLevel="0" collapsed="false">
      <c r="A83" s="50"/>
      <c r="B83" s="50"/>
      <c r="C83" s="59" t="str">
        <f aca="false">IF(B83="","",IFERROR(INDEX(INV_NAME,MATCH(B83,INV_ID,0)),"CHECK: Supplier ID not found"))</f>
        <v/>
      </c>
      <c r="D83" s="63" t="str">
        <f aca="false">IF(B83="","",IFERROR(INDEX(INV_TIER,MATCH(B83,INV_ID,0)),""))</f>
        <v/>
      </c>
      <c r="E83" s="50"/>
      <c r="F83" s="59" t="str">
        <f aca="false">IF(E83="","",IFERROR(INDEX(QB_Q,MATCH(E83,QB_ID,0)),"CHECK: Question ID not found"))</f>
        <v/>
      </c>
      <c r="G83" s="59" t="str">
        <f aca="false">IF(E83="","",IFERROR(INDEX(QB_DOMAIN,MATCH(E83,QB_ID,0)),""))</f>
        <v/>
      </c>
      <c r="H83" s="54" t="str">
        <f aca="false">IF(OR(A83="",E83=""),"",IFERROR(IF(ISNUMBER(MATCH(D83,{"Low","Medium","High"},0)),IF(MATCH(D83,{"Low","Medium","High"},0)&gt;=MATCH(INDEX(QB_MINTIER,MATCH(E83,QB_ID,0)),{"Low","Medium","High"},0),"Recommended for tier","Optional for tier"),"Tier not determined"),"Check question"))</f>
        <v/>
      </c>
      <c r="I83" s="34"/>
      <c r="J83" s="50"/>
      <c r="K83" s="34"/>
      <c r="L83" s="34"/>
      <c r="M83" s="62" t="str">
        <f aca="false">IF(L83="","",SUMPRODUCT(ISNUMBER(SEARCH(","&amp;EV_ID&amp;",",","&amp;SUBSTITUTE(L83," ","")&amp;","))*(EV_ID&lt;&gt;"")))</f>
        <v/>
      </c>
      <c r="N83" s="54" t="str">
        <f aca="false">IF(A83="","",IF(I83&lt;&gt;"Applicable",IF(I83="","Applicability not set","Not in scope ("&amp;I83&amp;")"),IF(OR(J83="",J83="Not answered"),"Awaiting supplier response",IF(J83="Not applicable","Supplier states not applicable - analyst to confirm",IF(L83="","Evidence insufficient - none referenced",IF(M83=0,"Evidence insufficient - referenced ID not found",IF(SUMPRODUCT(ISNUMBER(SEARCH(","&amp;EV_ID&amp;",",","&amp;SUBSTITUTE(L83," ","")&amp;","))*(EV_ID&lt;&gt;"")*(EV_SUFF="Sufficient"))&gt;0,"Evidence reviewed - sufficient",IF(SUMPRODUCT(ISNUMBER(SEARCH(","&amp;EV_ID&amp;",",","&amp;SUBSTITUTE(L83," ","")&amp;","))*(EV_ID&lt;&gt;"")*(EV_SUFF="Partially sufficient"))&gt;0,"Evidence partially sufficient","Evidence insufficient - referenced evidence not sufficient"))))))))</f>
        <v/>
      </c>
      <c r="O83" s="50"/>
      <c r="P83" s="34"/>
      <c r="Q83" s="34"/>
      <c r="R83" s="50"/>
      <c r="S83" s="51"/>
      <c r="T83" s="51"/>
      <c r="U83" s="52" t="str">
        <f aca="false">IF(OR(A83="",Q83=""),"",IF(AND(ISNUMBER(S83),S83&lt;AsOf,O83&lt;&gt;"Reviewed"),"Overdue",""))</f>
        <v/>
      </c>
      <c r="V83" s="54" t="str">
        <f aca="false">IF(A83="","",IF(COUNTIF(QA_ID,A83)&gt;1,"CHECK: duplicate ID",IF(B83="","CHECK: Supplier ID missing",IF(COUNTIF(INV_ID,B83)=0,"CHECK: Supplier ID not in inventory",IF(E83="","CHECK: Question ID missing",IF(COUNTIF(QB_ID,E83)=0,"CHECK: Question ID not in bank","OK"))))))</f>
        <v/>
      </c>
    </row>
    <row r="84" customFormat="false" ht="15" hidden="false" customHeight="false" outlineLevel="0" collapsed="false">
      <c r="A84" s="50"/>
      <c r="B84" s="50"/>
      <c r="C84" s="59" t="str">
        <f aca="false">IF(B84="","",IFERROR(INDEX(INV_NAME,MATCH(B84,INV_ID,0)),"CHECK: Supplier ID not found"))</f>
        <v/>
      </c>
      <c r="D84" s="63" t="str">
        <f aca="false">IF(B84="","",IFERROR(INDEX(INV_TIER,MATCH(B84,INV_ID,0)),""))</f>
        <v/>
      </c>
      <c r="E84" s="50"/>
      <c r="F84" s="59" t="str">
        <f aca="false">IF(E84="","",IFERROR(INDEX(QB_Q,MATCH(E84,QB_ID,0)),"CHECK: Question ID not found"))</f>
        <v/>
      </c>
      <c r="G84" s="59" t="str">
        <f aca="false">IF(E84="","",IFERROR(INDEX(QB_DOMAIN,MATCH(E84,QB_ID,0)),""))</f>
        <v/>
      </c>
      <c r="H84" s="54" t="str">
        <f aca="false">IF(OR(A84="",E84=""),"",IFERROR(IF(ISNUMBER(MATCH(D84,{"Low","Medium","High"},0)),IF(MATCH(D84,{"Low","Medium","High"},0)&gt;=MATCH(INDEX(QB_MINTIER,MATCH(E84,QB_ID,0)),{"Low","Medium","High"},0),"Recommended for tier","Optional for tier"),"Tier not determined"),"Check question"))</f>
        <v/>
      </c>
      <c r="I84" s="34"/>
      <c r="J84" s="50"/>
      <c r="K84" s="34"/>
      <c r="L84" s="34"/>
      <c r="M84" s="62" t="str">
        <f aca="false">IF(L84="","",SUMPRODUCT(ISNUMBER(SEARCH(","&amp;EV_ID&amp;",",","&amp;SUBSTITUTE(L84," ","")&amp;","))*(EV_ID&lt;&gt;"")))</f>
        <v/>
      </c>
      <c r="N84" s="54" t="str">
        <f aca="false">IF(A84="","",IF(I84&lt;&gt;"Applicable",IF(I84="","Applicability not set","Not in scope ("&amp;I84&amp;")"),IF(OR(J84="",J84="Not answered"),"Awaiting supplier response",IF(J84="Not applicable","Supplier states not applicable - analyst to confirm",IF(L84="","Evidence insufficient - none referenced",IF(M84=0,"Evidence insufficient - referenced ID not found",IF(SUMPRODUCT(ISNUMBER(SEARCH(","&amp;EV_ID&amp;",",","&amp;SUBSTITUTE(L84," ","")&amp;","))*(EV_ID&lt;&gt;"")*(EV_SUFF="Sufficient"))&gt;0,"Evidence reviewed - sufficient",IF(SUMPRODUCT(ISNUMBER(SEARCH(","&amp;EV_ID&amp;",",","&amp;SUBSTITUTE(L84," ","")&amp;","))*(EV_ID&lt;&gt;"")*(EV_SUFF="Partially sufficient"))&gt;0,"Evidence partially sufficient","Evidence insufficient - referenced evidence not sufficient"))))))))</f>
        <v/>
      </c>
      <c r="O84" s="50"/>
      <c r="P84" s="34"/>
      <c r="Q84" s="34"/>
      <c r="R84" s="50"/>
      <c r="S84" s="51"/>
      <c r="T84" s="51"/>
      <c r="U84" s="52" t="str">
        <f aca="false">IF(OR(A84="",Q84=""),"",IF(AND(ISNUMBER(S84),S84&lt;AsOf,O84&lt;&gt;"Reviewed"),"Overdue",""))</f>
        <v/>
      </c>
      <c r="V84" s="54" t="str">
        <f aca="false">IF(A84="","",IF(COUNTIF(QA_ID,A84)&gt;1,"CHECK: duplicate ID",IF(B84="","CHECK: Supplier ID missing",IF(COUNTIF(INV_ID,B84)=0,"CHECK: Supplier ID not in inventory",IF(E84="","CHECK: Question ID missing",IF(COUNTIF(QB_ID,E84)=0,"CHECK: Question ID not in bank","OK"))))))</f>
        <v/>
      </c>
    </row>
    <row r="85" customFormat="false" ht="15" hidden="false" customHeight="false" outlineLevel="0" collapsed="false">
      <c r="A85" s="50"/>
      <c r="B85" s="50"/>
      <c r="C85" s="59" t="str">
        <f aca="false">IF(B85="","",IFERROR(INDEX(INV_NAME,MATCH(B85,INV_ID,0)),"CHECK: Supplier ID not found"))</f>
        <v/>
      </c>
      <c r="D85" s="63" t="str">
        <f aca="false">IF(B85="","",IFERROR(INDEX(INV_TIER,MATCH(B85,INV_ID,0)),""))</f>
        <v/>
      </c>
      <c r="E85" s="50"/>
      <c r="F85" s="59" t="str">
        <f aca="false">IF(E85="","",IFERROR(INDEX(QB_Q,MATCH(E85,QB_ID,0)),"CHECK: Question ID not found"))</f>
        <v/>
      </c>
      <c r="G85" s="59" t="str">
        <f aca="false">IF(E85="","",IFERROR(INDEX(QB_DOMAIN,MATCH(E85,QB_ID,0)),""))</f>
        <v/>
      </c>
      <c r="H85" s="54" t="str">
        <f aca="false">IF(OR(A85="",E85=""),"",IFERROR(IF(ISNUMBER(MATCH(D85,{"Low","Medium","High"},0)),IF(MATCH(D85,{"Low","Medium","High"},0)&gt;=MATCH(INDEX(QB_MINTIER,MATCH(E85,QB_ID,0)),{"Low","Medium","High"},0),"Recommended for tier","Optional for tier"),"Tier not determined"),"Check question"))</f>
        <v/>
      </c>
      <c r="I85" s="34"/>
      <c r="J85" s="50"/>
      <c r="K85" s="34"/>
      <c r="L85" s="34"/>
      <c r="M85" s="62" t="str">
        <f aca="false">IF(L85="","",SUMPRODUCT(ISNUMBER(SEARCH(","&amp;EV_ID&amp;",",","&amp;SUBSTITUTE(L85," ","")&amp;","))*(EV_ID&lt;&gt;"")))</f>
        <v/>
      </c>
      <c r="N85" s="54" t="str">
        <f aca="false">IF(A85="","",IF(I85&lt;&gt;"Applicable",IF(I85="","Applicability not set","Not in scope ("&amp;I85&amp;")"),IF(OR(J85="",J85="Not answered"),"Awaiting supplier response",IF(J85="Not applicable","Supplier states not applicable - analyst to confirm",IF(L85="","Evidence insufficient - none referenced",IF(M85=0,"Evidence insufficient - referenced ID not found",IF(SUMPRODUCT(ISNUMBER(SEARCH(","&amp;EV_ID&amp;",",","&amp;SUBSTITUTE(L85," ","")&amp;","))*(EV_ID&lt;&gt;"")*(EV_SUFF="Sufficient"))&gt;0,"Evidence reviewed - sufficient",IF(SUMPRODUCT(ISNUMBER(SEARCH(","&amp;EV_ID&amp;",",","&amp;SUBSTITUTE(L85," ","")&amp;","))*(EV_ID&lt;&gt;"")*(EV_SUFF="Partially sufficient"))&gt;0,"Evidence partially sufficient","Evidence insufficient - referenced evidence not sufficient"))))))))</f>
        <v/>
      </c>
      <c r="O85" s="50"/>
      <c r="P85" s="34"/>
      <c r="Q85" s="34"/>
      <c r="R85" s="50"/>
      <c r="S85" s="51"/>
      <c r="T85" s="51"/>
      <c r="U85" s="52" t="str">
        <f aca="false">IF(OR(A85="",Q85=""),"",IF(AND(ISNUMBER(S85),S85&lt;AsOf,O85&lt;&gt;"Reviewed"),"Overdue",""))</f>
        <v/>
      </c>
      <c r="V85" s="54" t="str">
        <f aca="false">IF(A85="","",IF(COUNTIF(QA_ID,A85)&gt;1,"CHECK: duplicate ID",IF(B85="","CHECK: Supplier ID missing",IF(COUNTIF(INV_ID,B85)=0,"CHECK: Supplier ID not in inventory",IF(E85="","CHECK: Question ID missing",IF(COUNTIF(QB_ID,E85)=0,"CHECK: Question ID not in bank","OK"))))))</f>
        <v/>
      </c>
    </row>
    <row r="86" customFormat="false" ht="15" hidden="false" customHeight="false" outlineLevel="0" collapsed="false">
      <c r="A86" s="50"/>
      <c r="B86" s="50"/>
      <c r="C86" s="59" t="str">
        <f aca="false">IF(B86="","",IFERROR(INDEX(INV_NAME,MATCH(B86,INV_ID,0)),"CHECK: Supplier ID not found"))</f>
        <v/>
      </c>
      <c r="D86" s="63" t="str">
        <f aca="false">IF(B86="","",IFERROR(INDEX(INV_TIER,MATCH(B86,INV_ID,0)),""))</f>
        <v/>
      </c>
      <c r="E86" s="50"/>
      <c r="F86" s="59" t="str">
        <f aca="false">IF(E86="","",IFERROR(INDEX(QB_Q,MATCH(E86,QB_ID,0)),"CHECK: Question ID not found"))</f>
        <v/>
      </c>
      <c r="G86" s="59" t="str">
        <f aca="false">IF(E86="","",IFERROR(INDEX(QB_DOMAIN,MATCH(E86,QB_ID,0)),""))</f>
        <v/>
      </c>
      <c r="H86" s="54" t="str">
        <f aca="false">IF(OR(A86="",E86=""),"",IFERROR(IF(ISNUMBER(MATCH(D86,{"Low","Medium","High"},0)),IF(MATCH(D86,{"Low","Medium","High"},0)&gt;=MATCH(INDEX(QB_MINTIER,MATCH(E86,QB_ID,0)),{"Low","Medium","High"},0),"Recommended for tier","Optional for tier"),"Tier not determined"),"Check question"))</f>
        <v/>
      </c>
      <c r="I86" s="34"/>
      <c r="J86" s="50"/>
      <c r="K86" s="34"/>
      <c r="L86" s="34"/>
      <c r="M86" s="62" t="str">
        <f aca="false">IF(L86="","",SUMPRODUCT(ISNUMBER(SEARCH(","&amp;EV_ID&amp;",",","&amp;SUBSTITUTE(L86," ","")&amp;","))*(EV_ID&lt;&gt;"")))</f>
        <v/>
      </c>
      <c r="N86" s="54" t="str">
        <f aca="false">IF(A86="","",IF(I86&lt;&gt;"Applicable",IF(I86="","Applicability not set","Not in scope ("&amp;I86&amp;")"),IF(OR(J86="",J86="Not answered"),"Awaiting supplier response",IF(J86="Not applicable","Supplier states not applicable - analyst to confirm",IF(L86="","Evidence insufficient - none referenced",IF(M86=0,"Evidence insufficient - referenced ID not found",IF(SUMPRODUCT(ISNUMBER(SEARCH(","&amp;EV_ID&amp;",",","&amp;SUBSTITUTE(L86," ","")&amp;","))*(EV_ID&lt;&gt;"")*(EV_SUFF="Sufficient"))&gt;0,"Evidence reviewed - sufficient",IF(SUMPRODUCT(ISNUMBER(SEARCH(","&amp;EV_ID&amp;",",","&amp;SUBSTITUTE(L86," ","")&amp;","))*(EV_ID&lt;&gt;"")*(EV_SUFF="Partially sufficient"))&gt;0,"Evidence partially sufficient","Evidence insufficient - referenced evidence not sufficient"))))))))</f>
        <v/>
      </c>
      <c r="O86" s="50"/>
      <c r="P86" s="34"/>
      <c r="Q86" s="34"/>
      <c r="R86" s="50"/>
      <c r="S86" s="51"/>
      <c r="T86" s="51"/>
      <c r="U86" s="52" t="str">
        <f aca="false">IF(OR(A86="",Q86=""),"",IF(AND(ISNUMBER(S86),S86&lt;AsOf,O86&lt;&gt;"Reviewed"),"Overdue",""))</f>
        <v/>
      </c>
      <c r="V86" s="54" t="str">
        <f aca="false">IF(A86="","",IF(COUNTIF(QA_ID,A86)&gt;1,"CHECK: duplicate ID",IF(B86="","CHECK: Supplier ID missing",IF(COUNTIF(INV_ID,B86)=0,"CHECK: Supplier ID not in inventory",IF(E86="","CHECK: Question ID missing",IF(COUNTIF(QB_ID,E86)=0,"CHECK: Question ID not in bank","OK"))))))</f>
        <v/>
      </c>
    </row>
    <row r="87" customFormat="false" ht="15" hidden="false" customHeight="false" outlineLevel="0" collapsed="false">
      <c r="A87" s="50"/>
      <c r="B87" s="50"/>
      <c r="C87" s="59" t="str">
        <f aca="false">IF(B87="","",IFERROR(INDEX(INV_NAME,MATCH(B87,INV_ID,0)),"CHECK: Supplier ID not found"))</f>
        <v/>
      </c>
      <c r="D87" s="63" t="str">
        <f aca="false">IF(B87="","",IFERROR(INDEX(INV_TIER,MATCH(B87,INV_ID,0)),""))</f>
        <v/>
      </c>
      <c r="E87" s="50"/>
      <c r="F87" s="59" t="str">
        <f aca="false">IF(E87="","",IFERROR(INDEX(QB_Q,MATCH(E87,QB_ID,0)),"CHECK: Question ID not found"))</f>
        <v/>
      </c>
      <c r="G87" s="59" t="str">
        <f aca="false">IF(E87="","",IFERROR(INDEX(QB_DOMAIN,MATCH(E87,QB_ID,0)),""))</f>
        <v/>
      </c>
      <c r="H87" s="54" t="str">
        <f aca="false">IF(OR(A87="",E87=""),"",IFERROR(IF(ISNUMBER(MATCH(D87,{"Low","Medium","High"},0)),IF(MATCH(D87,{"Low","Medium","High"},0)&gt;=MATCH(INDEX(QB_MINTIER,MATCH(E87,QB_ID,0)),{"Low","Medium","High"},0),"Recommended for tier","Optional for tier"),"Tier not determined"),"Check question"))</f>
        <v/>
      </c>
      <c r="I87" s="34"/>
      <c r="J87" s="50"/>
      <c r="K87" s="34"/>
      <c r="L87" s="34"/>
      <c r="M87" s="62" t="str">
        <f aca="false">IF(L87="","",SUMPRODUCT(ISNUMBER(SEARCH(","&amp;EV_ID&amp;",",","&amp;SUBSTITUTE(L87," ","")&amp;","))*(EV_ID&lt;&gt;"")))</f>
        <v/>
      </c>
      <c r="N87" s="54" t="str">
        <f aca="false">IF(A87="","",IF(I87&lt;&gt;"Applicable",IF(I87="","Applicability not set","Not in scope ("&amp;I87&amp;")"),IF(OR(J87="",J87="Not answered"),"Awaiting supplier response",IF(J87="Not applicable","Supplier states not applicable - analyst to confirm",IF(L87="","Evidence insufficient - none referenced",IF(M87=0,"Evidence insufficient - referenced ID not found",IF(SUMPRODUCT(ISNUMBER(SEARCH(","&amp;EV_ID&amp;",",","&amp;SUBSTITUTE(L87," ","")&amp;","))*(EV_ID&lt;&gt;"")*(EV_SUFF="Sufficient"))&gt;0,"Evidence reviewed - sufficient",IF(SUMPRODUCT(ISNUMBER(SEARCH(","&amp;EV_ID&amp;",",","&amp;SUBSTITUTE(L87," ","")&amp;","))*(EV_ID&lt;&gt;"")*(EV_SUFF="Partially sufficient"))&gt;0,"Evidence partially sufficient","Evidence insufficient - referenced evidence not sufficient"))))))))</f>
        <v/>
      </c>
      <c r="O87" s="50"/>
      <c r="P87" s="34"/>
      <c r="Q87" s="34"/>
      <c r="R87" s="50"/>
      <c r="S87" s="51"/>
      <c r="T87" s="51"/>
      <c r="U87" s="52" t="str">
        <f aca="false">IF(OR(A87="",Q87=""),"",IF(AND(ISNUMBER(S87),S87&lt;AsOf,O87&lt;&gt;"Reviewed"),"Overdue",""))</f>
        <v/>
      </c>
      <c r="V87" s="54" t="str">
        <f aca="false">IF(A87="","",IF(COUNTIF(QA_ID,A87)&gt;1,"CHECK: duplicate ID",IF(B87="","CHECK: Supplier ID missing",IF(COUNTIF(INV_ID,B87)=0,"CHECK: Supplier ID not in inventory",IF(E87="","CHECK: Question ID missing",IF(COUNTIF(QB_ID,E87)=0,"CHECK: Question ID not in bank","OK"))))))</f>
        <v/>
      </c>
    </row>
    <row r="88" customFormat="false" ht="15" hidden="false" customHeight="false" outlineLevel="0" collapsed="false">
      <c r="A88" s="50"/>
      <c r="B88" s="50"/>
      <c r="C88" s="59" t="str">
        <f aca="false">IF(B88="","",IFERROR(INDEX(INV_NAME,MATCH(B88,INV_ID,0)),"CHECK: Supplier ID not found"))</f>
        <v/>
      </c>
      <c r="D88" s="63" t="str">
        <f aca="false">IF(B88="","",IFERROR(INDEX(INV_TIER,MATCH(B88,INV_ID,0)),""))</f>
        <v/>
      </c>
      <c r="E88" s="50"/>
      <c r="F88" s="59" t="str">
        <f aca="false">IF(E88="","",IFERROR(INDEX(QB_Q,MATCH(E88,QB_ID,0)),"CHECK: Question ID not found"))</f>
        <v/>
      </c>
      <c r="G88" s="59" t="str">
        <f aca="false">IF(E88="","",IFERROR(INDEX(QB_DOMAIN,MATCH(E88,QB_ID,0)),""))</f>
        <v/>
      </c>
      <c r="H88" s="54" t="str">
        <f aca="false">IF(OR(A88="",E88=""),"",IFERROR(IF(ISNUMBER(MATCH(D88,{"Low","Medium","High"},0)),IF(MATCH(D88,{"Low","Medium","High"},0)&gt;=MATCH(INDEX(QB_MINTIER,MATCH(E88,QB_ID,0)),{"Low","Medium","High"},0),"Recommended for tier","Optional for tier"),"Tier not determined"),"Check question"))</f>
        <v/>
      </c>
      <c r="I88" s="34"/>
      <c r="J88" s="50"/>
      <c r="K88" s="34"/>
      <c r="L88" s="34"/>
      <c r="M88" s="62" t="str">
        <f aca="false">IF(L88="","",SUMPRODUCT(ISNUMBER(SEARCH(","&amp;EV_ID&amp;",",","&amp;SUBSTITUTE(L88," ","")&amp;","))*(EV_ID&lt;&gt;"")))</f>
        <v/>
      </c>
      <c r="N88" s="54" t="str">
        <f aca="false">IF(A88="","",IF(I88&lt;&gt;"Applicable",IF(I88="","Applicability not set","Not in scope ("&amp;I88&amp;")"),IF(OR(J88="",J88="Not answered"),"Awaiting supplier response",IF(J88="Not applicable","Supplier states not applicable - analyst to confirm",IF(L88="","Evidence insufficient - none referenced",IF(M88=0,"Evidence insufficient - referenced ID not found",IF(SUMPRODUCT(ISNUMBER(SEARCH(","&amp;EV_ID&amp;",",","&amp;SUBSTITUTE(L88," ","")&amp;","))*(EV_ID&lt;&gt;"")*(EV_SUFF="Sufficient"))&gt;0,"Evidence reviewed - sufficient",IF(SUMPRODUCT(ISNUMBER(SEARCH(","&amp;EV_ID&amp;",",","&amp;SUBSTITUTE(L88," ","")&amp;","))*(EV_ID&lt;&gt;"")*(EV_SUFF="Partially sufficient"))&gt;0,"Evidence partially sufficient","Evidence insufficient - referenced evidence not sufficient"))))))))</f>
        <v/>
      </c>
      <c r="O88" s="50"/>
      <c r="P88" s="34"/>
      <c r="Q88" s="34"/>
      <c r="R88" s="50"/>
      <c r="S88" s="51"/>
      <c r="T88" s="51"/>
      <c r="U88" s="52" t="str">
        <f aca="false">IF(OR(A88="",Q88=""),"",IF(AND(ISNUMBER(S88),S88&lt;AsOf,O88&lt;&gt;"Reviewed"),"Overdue",""))</f>
        <v/>
      </c>
      <c r="V88" s="54" t="str">
        <f aca="false">IF(A88="","",IF(COUNTIF(QA_ID,A88)&gt;1,"CHECK: duplicate ID",IF(B88="","CHECK: Supplier ID missing",IF(COUNTIF(INV_ID,B88)=0,"CHECK: Supplier ID not in inventory",IF(E88="","CHECK: Question ID missing",IF(COUNTIF(QB_ID,E88)=0,"CHECK: Question ID not in bank","OK"))))))</f>
        <v/>
      </c>
    </row>
    <row r="89" customFormat="false" ht="15" hidden="false" customHeight="false" outlineLevel="0" collapsed="false">
      <c r="A89" s="50"/>
      <c r="B89" s="50"/>
      <c r="C89" s="59" t="str">
        <f aca="false">IF(B89="","",IFERROR(INDEX(INV_NAME,MATCH(B89,INV_ID,0)),"CHECK: Supplier ID not found"))</f>
        <v/>
      </c>
      <c r="D89" s="63" t="str">
        <f aca="false">IF(B89="","",IFERROR(INDEX(INV_TIER,MATCH(B89,INV_ID,0)),""))</f>
        <v/>
      </c>
      <c r="E89" s="50"/>
      <c r="F89" s="59" t="str">
        <f aca="false">IF(E89="","",IFERROR(INDEX(QB_Q,MATCH(E89,QB_ID,0)),"CHECK: Question ID not found"))</f>
        <v/>
      </c>
      <c r="G89" s="59" t="str">
        <f aca="false">IF(E89="","",IFERROR(INDEX(QB_DOMAIN,MATCH(E89,QB_ID,0)),""))</f>
        <v/>
      </c>
      <c r="H89" s="54" t="str">
        <f aca="false">IF(OR(A89="",E89=""),"",IFERROR(IF(ISNUMBER(MATCH(D89,{"Low","Medium","High"},0)),IF(MATCH(D89,{"Low","Medium","High"},0)&gt;=MATCH(INDEX(QB_MINTIER,MATCH(E89,QB_ID,0)),{"Low","Medium","High"},0),"Recommended for tier","Optional for tier"),"Tier not determined"),"Check question"))</f>
        <v/>
      </c>
      <c r="I89" s="34"/>
      <c r="J89" s="50"/>
      <c r="K89" s="34"/>
      <c r="L89" s="34"/>
      <c r="M89" s="62" t="str">
        <f aca="false">IF(L89="","",SUMPRODUCT(ISNUMBER(SEARCH(","&amp;EV_ID&amp;",",","&amp;SUBSTITUTE(L89," ","")&amp;","))*(EV_ID&lt;&gt;"")))</f>
        <v/>
      </c>
      <c r="N89" s="54" t="str">
        <f aca="false">IF(A89="","",IF(I89&lt;&gt;"Applicable",IF(I89="","Applicability not set","Not in scope ("&amp;I89&amp;")"),IF(OR(J89="",J89="Not answered"),"Awaiting supplier response",IF(J89="Not applicable","Supplier states not applicable - analyst to confirm",IF(L89="","Evidence insufficient - none referenced",IF(M89=0,"Evidence insufficient - referenced ID not found",IF(SUMPRODUCT(ISNUMBER(SEARCH(","&amp;EV_ID&amp;",",","&amp;SUBSTITUTE(L89," ","")&amp;","))*(EV_ID&lt;&gt;"")*(EV_SUFF="Sufficient"))&gt;0,"Evidence reviewed - sufficient",IF(SUMPRODUCT(ISNUMBER(SEARCH(","&amp;EV_ID&amp;",",","&amp;SUBSTITUTE(L89," ","")&amp;","))*(EV_ID&lt;&gt;"")*(EV_SUFF="Partially sufficient"))&gt;0,"Evidence partially sufficient","Evidence insufficient - referenced evidence not sufficient"))))))))</f>
        <v/>
      </c>
      <c r="O89" s="50"/>
      <c r="P89" s="34"/>
      <c r="Q89" s="34"/>
      <c r="R89" s="50"/>
      <c r="S89" s="51"/>
      <c r="T89" s="51"/>
      <c r="U89" s="52" t="str">
        <f aca="false">IF(OR(A89="",Q89=""),"",IF(AND(ISNUMBER(S89),S89&lt;AsOf,O89&lt;&gt;"Reviewed"),"Overdue",""))</f>
        <v/>
      </c>
      <c r="V89" s="54" t="str">
        <f aca="false">IF(A89="","",IF(COUNTIF(QA_ID,A89)&gt;1,"CHECK: duplicate ID",IF(B89="","CHECK: Supplier ID missing",IF(COUNTIF(INV_ID,B89)=0,"CHECK: Supplier ID not in inventory",IF(E89="","CHECK: Question ID missing",IF(COUNTIF(QB_ID,E89)=0,"CHECK: Question ID not in bank","OK"))))))</f>
        <v/>
      </c>
    </row>
    <row r="90" customFormat="false" ht="15" hidden="false" customHeight="false" outlineLevel="0" collapsed="false">
      <c r="A90" s="50"/>
      <c r="B90" s="50"/>
      <c r="C90" s="59" t="str">
        <f aca="false">IF(B90="","",IFERROR(INDEX(INV_NAME,MATCH(B90,INV_ID,0)),"CHECK: Supplier ID not found"))</f>
        <v/>
      </c>
      <c r="D90" s="63" t="str">
        <f aca="false">IF(B90="","",IFERROR(INDEX(INV_TIER,MATCH(B90,INV_ID,0)),""))</f>
        <v/>
      </c>
      <c r="E90" s="50"/>
      <c r="F90" s="59" t="str">
        <f aca="false">IF(E90="","",IFERROR(INDEX(QB_Q,MATCH(E90,QB_ID,0)),"CHECK: Question ID not found"))</f>
        <v/>
      </c>
      <c r="G90" s="59" t="str">
        <f aca="false">IF(E90="","",IFERROR(INDEX(QB_DOMAIN,MATCH(E90,QB_ID,0)),""))</f>
        <v/>
      </c>
      <c r="H90" s="54" t="str">
        <f aca="false">IF(OR(A90="",E90=""),"",IFERROR(IF(ISNUMBER(MATCH(D90,{"Low","Medium","High"},0)),IF(MATCH(D90,{"Low","Medium","High"},0)&gt;=MATCH(INDEX(QB_MINTIER,MATCH(E90,QB_ID,0)),{"Low","Medium","High"},0),"Recommended for tier","Optional for tier"),"Tier not determined"),"Check question"))</f>
        <v/>
      </c>
      <c r="I90" s="34"/>
      <c r="J90" s="50"/>
      <c r="K90" s="34"/>
      <c r="L90" s="34"/>
      <c r="M90" s="62" t="str">
        <f aca="false">IF(L90="","",SUMPRODUCT(ISNUMBER(SEARCH(","&amp;EV_ID&amp;",",","&amp;SUBSTITUTE(L90," ","")&amp;","))*(EV_ID&lt;&gt;"")))</f>
        <v/>
      </c>
      <c r="N90" s="54" t="str">
        <f aca="false">IF(A90="","",IF(I90&lt;&gt;"Applicable",IF(I90="","Applicability not set","Not in scope ("&amp;I90&amp;")"),IF(OR(J90="",J90="Not answered"),"Awaiting supplier response",IF(J90="Not applicable","Supplier states not applicable - analyst to confirm",IF(L90="","Evidence insufficient - none referenced",IF(M90=0,"Evidence insufficient - referenced ID not found",IF(SUMPRODUCT(ISNUMBER(SEARCH(","&amp;EV_ID&amp;",",","&amp;SUBSTITUTE(L90," ","")&amp;","))*(EV_ID&lt;&gt;"")*(EV_SUFF="Sufficient"))&gt;0,"Evidence reviewed - sufficient",IF(SUMPRODUCT(ISNUMBER(SEARCH(","&amp;EV_ID&amp;",",","&amp;SUBSTITUTE(L90," ","")&amp;","))*(EV_ID&lt;&gt;"")*(EV_SUFF="Partially sufficient"))&gt;0,"Evidence partially sufficient","Evidence insufficient - referenced evidence not sufficient"))))))))</f>
        <v/>
      </c>
      <c r="O90" s="50"/>
      <c r="P90" s="34"/>
      <c r="Q90" s="34"/>
      <c r="R90" s="50"/>
      <c r="S90" s="51"/>
      <c r="T90" s="51"/>
      <c r="U90" s="52" t="str">
        <f aca="false">IF(OR(A90="",Q90=""),"",IF(AND(ISNUMBER(S90),S90&lt;AsOf,O90&lt;&gt;"Reviewed"),"Overdue",""))</f>
        <v/>
      </c>
      <c r="V90" s="54" t="str">
        <f aca="false">IF(A90="","",IF(COUNTIF(QA_ID,A90)&gt;1,"CHECK: duplicate ID",IF(B90="","CHECK: Supplier ID missing",IF(COUNTIF(INV_ID,B90)=0,"CHECK: Supplier ID not in inventory",IF(E90="","CHECK: Question ID missing",IF(COUNTIF(QB_ID,E90)=0,"CHECK: Question ID not in bank","OK"))))))</f>
        <v/>
      </c>
    </row>
    <row r="91" customFormat="false" ht="15" hidden="false" customHeight="false" outlineLevel="0" collapsed="false">
      <c r="A91" s="50"/>
      <c r="B91" s="50"/>
      <c r="C91" s="59" t="str">
        <f aca="false">IF(B91="","",IFERROR(INDEX(INV_NAME,MATCH(B91,INV_ID,0)),"CHECK: Supplier ID not found"))</f>
        <v/>
      </c>
      <c r="D91" s="63" t="str">
        <f aca="false">IF(B91="","",IFERROR(INDEX(INV_TIER,MATCH(B91,INV_ID,0)),""))</f>
        <v/>
      </c>
      <c r="E91" s="50"/>
      <c r="F91" s="59" t="str">
        <f aca="false">IF(E91="","",IFERROR(INDEX(QB_Q,MATCH(E91,QB_ID,0)),"CHECK: Question ID not found"))</f>
        <v/>
      </c>
      <c r="G91" s="59" t="str">
        <f aca="false">IF(E91="","",IFERROR(INDEX(QB_DOMAIN,MATCH(E91,QB_ID,0)),""))</f>
        <v/>
      </c>
      <c r="H91" s="54" t="str">
        <f aca="false">IF(OR(A91="",E91=""),"",IFERROR(IF(ISNUMBER(MATCH(D91,{"Low","Medium","High"},0)),IF(MATCH(D91,{"Low","Medium","High"},0)&gt;=MATCH(INDEX(QB_MINTIER,MATCH(E91,QB_ID,0)),{"Low","Medium","High"},0),"Recommended for tier","Optional for tier"),"Tier not determined"),"Check question"))</f>
        <v/>
      </c>
      <c r="I91" s="34"/>
      <c r="J91" s="50"/>
      <c r="K91" s="34"/>
      <c r="L91" s="34"/>
      <c r="M91" s="62" t="str">
        <f aca="false">IF(L91="","",SUMPRODUCT(ISNUMBER(SEARCH(","&amp;EV_ID&amp;",",","&amp;SUBSTITUTE(L91," ","")&amp;","))*(EV_ID&lt;&gt;"")))</f>
        <v/>
      </c>
      <c r="N91" s="54" t="str">
        <f aca="false">IF(A91="","",IF(I91&lt;&gt;"Applicable",IF(I91="","Applicability not set","Not in scope ("&amp;I91&amp;")"),IF(OR(J91="",J91="Not answered"),"Awaiting supplier response",IF(J91="Not applicable","Supplier states not applicable - analyst to confirm",IF(L91="","Evidence insufficient - none referenced",IF(M91=0,"Evidence insufficient - referenced ID not found",IF(SUMPRODUCT(ISNUMBER(SEARCH(","&amp;EV_ID&amp;",",","&amp;SUBSTITUTE(L91," ","")&amp;","))*(EV_ID&lt;&gt;"")*(EV_SUFF="Sufficient"))&gt;0,"Evidence reviewed - sufficient",IF(SUMPRODUCT(ISNUMBER(SEARCH(","&amp;EV_ID&amp;",",","&amp;SUBSTITUTE(L91," ","")&amp;","))*(EV_ID&lt;&gt;"")*(EV_SUFF="Partially sufficient"))&gt;0,"Evidence partially sufficient","Evidence insufficient - referenced evidence not sufficient"))))))))</f>
        <v/>
      </c>
      <c r="O91" s="50"/>
      <c r="P91" s="34"/>
      <c r="Q91" s="34"/>
      <c r="R91" s="50"/>
      <c r="S91" s="51"/>
      <c r="T91" s="51"/>
      <c r="U91" s="52" t="str">
        <f aca="false">IF(OR(A91="",Q91=""),"",IF(AND(ISNUMBER(S91),S91&lt;AsOf,O91&lt;&gt;"Reviewed"),"Overdue",""))</f>
        <v/>
      </c>
      <c r="V91" s="54" t="str">
        <f aca="false">IF(A91="","",IF(COUNTIF(QA_ID,A91)&gt;1,"CHECK: duplicate ID",IF(B91="","CHECK: Supplier ID missing",IF(COUNTIF(INV_ID,B91)=0,"CHECK: Supplier ID not in inventory",IF(E91="","CHECK: Question ID missing",IF(COUNTIF(QB_ID,E91)=0,"CHECK: Question ID not in bank","OK"))))))</f>
        <v/>
      </c>
    </row>
    <row r="92" customFormat="false" ht="15" hidden="false" customHeight="false" outlineLevel="0" collapsed="false">
      <c r="A92" s="50"/>
      <c r="B92" s="50"/>
      <c r="C92" s="59" t="str">
        <f aca="false">IF(B92="","",IFERROR(INDEX(INV_NAME,MATCH(B92,INV_ID,0)),"CHECK: Supplier ID not found"))</f>
        <v/>
      </c>
      <c r="D92" s="63" t="str">
        <f aca="false">IF(B92="","",IFERROR(INDEX(INV_TIER,MATCH(B92,INV_ID,0)),""))</f>
        <v/>
      </c>
      <c r="E92" s="50"/>
      <c r="F92" s="59" t="str">
        <f aca="false">IF(E92="","",IFERROR(INDEX(QB_Q,MATCH(E92,QB_ID,0)),"CHECK: Question ID not found"))</f>
        <v/>
      </c>
      <c r="G92" s="59" t="str">
        <f aca="false">IF(E92="","",IFERROR(INDEX(QB_DOMAIN,MATCH(E92,QB_ID,0)),""))</f>
        <v/>
      </c>
      <c r="H92" s="54" t="str">
        <f aca="false">IF(OR(A92="",E92=""),"",IFERROR(IF(ISNUMBER(MATCH(D92,{"Low","Medium","High"},0)),IF(MATCH(D92,{"Low","Medium","High"},0)&gt;=MATCH(INDEX(QB_MINTIER,MATCH(E92,QB_ID,0)),{"Low","Medium","High"},0),"Recommended for tier","Optional for tier"),"Tier not determined"),"Check question"))</f>
        <v/>
      </c>
      <c r="I92" s="34"/>
      <c r="J92" s="50"/>
      <c r="K92" s="34"/>
      <c r="L92" s="34"/>
      <c r="M92" s="62" t="str">
        <f aca="false">IF(L92="","",SUMPRODUCT(ISNUMBER(SEARCH(","&amp;EV_ID&amp;",",","&amp;SUBSTITUTE(L92," ","")&amp;","))*(EV_ID&lt;&gt;"")))</f>
        <v/>
      </c>
      <c r="N92" s="54" t="str">
        <f aca="false">IF(A92="","",IF(I92&lt;&gt;"Applicable",IF(I92="","Applicability not set","Not in scope ("&amp;I92&amp;")"),IF(OR(J92="",J92="Not answered"),"Awaiting supplier response",IF(J92="Not applicable","Supplier states not applicable - analyst to confirm",IF(L92="","Evidence insufficient - none referenced",IF(M92=0,"Evidence insufficient - referenced ID not found",IF(SUMPRODUCT(ISNUMBER(SEARCH(","&amp;EV_ID&amp;",",","&amp;SUBSTITUTE(L92," ","")&amp;","))*(EV_ID&lt;&gt;"")*(EV_SUFF="Sufficient"))&gt;0,"Evidence reviewed - sufficient",IF(SUMPRODUCT(ISNUMBER(SEARCH(","&amp;EV_ID&amp;",",","&amp;SUBSTITUTE(L92," ","")&amp;","))*(EV_ID&lt;&gt;"")*(EV_SUFF="Partially sufficient"))&gt;0,"Evidence partially sufficient","Evidence insufficient - referenced evidence not sufficient"))))))))</f>
        <v/>
      </c>
      <c r="O92" s="50"/>
      <c r="P92" s="34"/>
      <c r="Q92" s="34"/>
      <c r="R92" s="50"/>
      <c r="S92" s="51"/>
      <c r="T92" s="51"/>
      <c r="U92" s="52" t="str">
        <f aca="false">IF(OR(A92="",Q92=""),"",IF(AND(ISNUMBER(S92),S92&lt;AsOf,O92&lt;&gt;"Reviewed"),"Overdue",""))</f>
        <v/>
      </c>
      <c r="V92" s="54" t="str">
        <f aca="false">IF(A92="","",IF(COUNTIF(QA_ID,A92)&gt;1,"CHECK: duplicate ID",IF(B92="","CHECK: Supplier ID missing",IF(COUNTIF(INV_ID,B92)=0,"CHECK: Supplier ID not in inventory",IF(E92="","CHECK: Question ID missing",IF(COUNTIF(QB_ID,E92)=0,"CHECK: Question ID not in bank","OK"))))))</f>
        <v/>
      </c>
    </row>
    <row r="93" customFormat="false" ht="15" hidden="false" customHeight="false" outlineLevel="0" collapsed="false">
      <c r="A93" s="50"/>
      <c r="B93" s="50"/>
      <c r="C93" s="59" t="str">
        <f aca="false">IF(B93="","",IFERROR(INDEX(INV_NAME,MATCH(B93,INV_ID,0)),"CHECK: Supplier ID not found"))</f>
        <v/>
      </c>
      <c r="D93" s="63" t="str">
        <f aca="false">IF(B93="","",IFERROR(INDEX(INV_TIER,MATCH(B93,INV_ID,0)),""))</f>
        <v/>
      </c>
      <c r="E93" s="50"/>
      <c r="F93" s="59" t="str">
        <f aca="false">IF(E93="","",IFERROR(INDEX(QB_Q,MATCH(E93,QB_ID,0)),"CHECK: Question ID not found"))</f>
        <v/>
      </c>
      <c r="G93" s="59" t="str">
        <f aca="false">IF(E93="","",IFERROR(INDEX(QB_DOMAIN,MATCH(E93,QB_ID,0)),""))</f>
        <v/>
      </c>
      <c r="H93" s="54" t="str">
        <f aca="false">IF(OR(A93="",E93=""),"",IFERROR(IF(ISNUMBER(MATCH(D93,{"Low","Medium","High"},0)),IF(MATCH(D93,{"Low","Medium","High"},0)&gt;=MATCH(INDEX(QB_MINTIER,MATCH(E93,QB_ID,0)),{"Low","Medium","High"},0),"Recommended for tier","Optional for tier"),"Tier not determined"),"Check question"))</f>
        <v/>
      </c>
      <c r="I93" s="34"/>
      <c r="J93" s="50"/>
      <c r="K93" s="34"/>
      <c r="L93" s="34"/>
      <c r="M93" s="62" t="str">
        <f aca="false">IF(L93="","",SUMPRODUCT(ISNUMBER(SEARCH(","&amp;EV_ID&amp;",",","&amp;SUBSTITUTE(L93," ","")&amp;","))*(EV_ID&lt;&gt;"")))</f>
        <v/>
      </c>
      <c r="N93" s="54" t="str">
        <f aca="false">IF(A93="","",IF(I93&lt;&gt;"Applicable",IF(I93="","Applicability not set","Not in scope ("&amp;I93&amp;")"),IF(OR(J93="",J93="Not answered"),"Awaiting supplier response",IF(J93="Not applicable","Supplier states not applicable - analyst to confirm",IF(L93="","Evidence insufficient - none referenced",IF(M93=0,"Evidence insufficient - referenced ID not found",IF(SUMPRODUCT(ISNUMBER(SEARCH(","&amp;EV_ID&amp;",",","&amp;SUBSTITUTE(L93," ","")&amp;","))*(EV_ID&lt;&gt;"")*(EV_SUFF="Sufficient"))&gt;0,"Evidence reviewed - sufficient",IF(SUMPRODUCT(ISNUMBER(SEARCH(","&amp;EV_ID&amp;",",","&amp;SUBSTITUTE(L93," ","")&amp;","))*(EV_ID&lt;&gt;"")*(EV_SUFF="Partially sufficient"))&gt;0,"Evidence partially sufficient","Evidence insufficient - referenced evidence not sufficient"))))))))</f>
        <v/>
      </c>
      <c r="O93" s="50"/>
      <c r="P93" s="34"/>
      <c r="Q93" s="34"/>
      <c r="R93" s="50"/>
      <c r="S93" s="51"/>
      <c r="T93" s="51"/>
      <c r="U93" s="52" t="str">
        <f aca="false">IF(OR(A93="",Q93=""),"",IF(AND(ISNUMBER(S93),S93&lt;AsOf,O93&lt;&gt;"Reviewed"),"Overdue",""))</f>
        <v/>
      </c>
      <c r="V93" s="54" t="str">
        <f aca="false">IF(A93="","",IF(COUNTIF(QA_ID,A93)&gt;1,"CHECK: duplicate ID",IF(B93="","CHECK: Supplier ID missing",IF(COUNTIF(INV_ID,B93)=0,"CHECK: Supplier ID not in inventory",IF(E93="","CHECK: Question ID missing",IF(COUNTIF(QB_ID,E93)=0,"CHECK: Question ID not in bank","OK"))))))</f>
        <v/>
      </c>
    </row>
    <row r="94" customFormat="false" ht="15" hidden="false" customHeight="false" outlineLevel="0" collapsed="false">
      <c r="A94" s="50"/>
      <c r="B94" s="50"/>
      <c r="C94" s="59" t="str">
        <f aca="false">IF(B94="","",IFERROR(INDEX(INV_NAME,MATCH(B94,INV_ID,0)),"CHECK: Supplier ID not found"))</f>
        <v/>
      </c>
      <c r="D94" s="63" t="str">
        <f aca="false">IF(B94="","",IFERROR(INDEX(INV_TIER,MATCH(B94,INV_ID,0)),""))</f>
        <v/>
      </c>
      <c r="E94" s="50"/>
      <c r="F94" s="59" t="str">
        <f aca="false">IF(E94="","",IFERROR(INDEX(QB_Q,MATCH(E94,QB_ID,0)),"CHECK: Question ID not found"))</f>
        <v/>
      </c>
      <c r="G94" s="59" t="str">
        <f aca="false">IF(E94="","",IFERROR(INDEX(QB_DOMAIN,MATCH(E94,QB_ID,0)),""))</f>
        <v/>
      </c>
      <c r="H94" s="54" t="str">
        <f aca="false">IF(OR(A94="",E94=""),"",IFERROR(IF(ISNUMBER(MATCH(D94,{"Low","Medium","High"},0)),IF(MATCH(D94,{"Low","Medium","High"},0)&gt;=MATCH(INDEX(QB_MINTIER,MATCH(E94,QB_ID,0)),{"Low","Medium","High"},0),"Recommended for tier","Optional for tier"),"Tier not determined"),"Check question"))</f>
        <v/>
      </c>
      <c r="I94" s="34"/>
      <c r="J94" s="50"/>
      <c r="K94" s="34"/>
      <c r="L94" s="34"/>
      <c r="M94" s="62" t="str">
        <f aca="false">IF(L94="","",SUMPRODUCT(ISNUMBER(SEARCH(","&amp;EV_ID&amp;",",","&amp;SUBSTITUTE(L94," ","")&amp;","))*(EV_ID&lt;&gt;"")))</f>
        <v/>
      </c>
      <c r="N94" s="54" t="str">
        <f aca="false">IF(A94="","",IF(I94&lt;&gt;"Applicable",IF(I94="","Applicability not set","Not in scope ("&amp;I94&amp;")"),IF(OR(J94="",J94="Not answered"),"Awaiting supplier response",IF(J94="Not applicable","Supplier states not applicable - analyst to confirm",IF(L94="","Evidence insufficient - none referenced",IF(M94=0,"Evidence insufficient - referenced ID not found",IF(SUMPRODUCT(ISNUMBER(SEARCH(","&amp;EV_ID&amp;",",","&amp;SUBSTITUTE(L94," ","")&amp;","))*(EV_ID&lt;&gt;"")*(EV_SUFF="Sufficient"))&gt;0,"Evidence reviewed - sufficient",IF(SUMPRODUCT(ISNUMBER(SEARCH(","&amp;EV_ID&amp;",",","&amp;SUBSTITUTE(L94," ","")&amp;","))*(EV_ID&lt;&gt;"")*(EV_SUFF="Partially sufficient"))&gt;0,"Evidence partially sufficient","Evidence insufficient - referenced evidence not sufficient"))))))))</f>
        <v/>
      </c>
      <c r="O94" s="50"/>
      <c r="P94" s="34"/>
      <c r="Q94" s="34"/>
      <c r="R94" s="50"/>
      <c r="S94" s="51"/>
      <c r="T94" s="51"/>
      <c r="U94" s="52" t="str">
        <f aca="false">IF(OR(A94="",Q94=""),"",IF(AND(ISNUMBER(S94),S94&lt;AsOf,O94&lt;&gt;"Reviewed"),"Overdue",""))</f>
        <v/>
      </c>
      <c r="V94" s="54" t="str">
        <f aca="false">IF(A94="","",IF(COUNTIF(QA_ID,A94)&gt;1,"CHECK: duplicate ID",IF(B94="","CHECK: Supplier ID missing",IF(COUNTIF(INV_ID,B94)=0,"CHECK: Supplier ID not in inventory",IF(E94="","CHECK: Question ID missing",IF(COUNTIF(QB_ID,E94)=0,"CHECK: Question ID not in bank","OK"))))))</f>
        <v/>
      </c>
    </row>
    <row r="95" customFormat="false" ht="15" hidden="false" customHeight="false" outlineLevel="0" collapsed="false">
      <c r="A95" s="50"/>
      <c r="B95" s="50"/>
      <c r="C95" s="59" t="str">
        <f aca="false">IF(B95="","",IFERROR(INDEX(INV_NAME,MATCH(B95,INV_ID,0)),"CHECK: Supplier ID not found"))</f>
        <v/>
      </c>
      <c r="D95" s="63" t="str">
        <f aca="false">IF(B95="","",IFERROR(INDEX(INV_TIER,MATCH(B95,INV_ID,0)),""))</f>
        <v/>
      </c>
      <c r="E95" s="50"/>
      <c r="F95" s="59" t="str">
        <f aca="false">IF(E95="","",IFERROR(INDEX(QB_Q,MATCH(E95,QB_ID,0)),"CHECK: Question ID not found"))</f>
        <v/>
      </c>
      <c r="G95" s="59" t="str">
        <f aca="false">IF(E95="","",IFERROR(INDEX(QB_DOMAIN,MATCH(E95,QB_ID,0)),""))</f>
        <v/>
      </c>
      <c r="H95" s="54" t="str">
        <f aca="false">IF(OR(A95="",E95=""),"",IFERROR(IF(ISNUMBER(MATCH(D95,{"Low","Medium","High"},0)),IF(MATCH(D95,{"Low","Medium","High"},0)&gt;=MATCH(INDEX(QB_MINTIER,MATCH(E95,QB_ID,0)),{"Low","Medium","High"},0),"Recommended for tier","Optional for tier"),"Tier not determined"),"Check question"))</f>
        <v/>
      </c>
      <c r="I95" s="34"/>
      <c r="J95" s="50"/>
      <c r="K95" s="34"/>
      <c r="L95" s="34"/>
      <c r="M95" s="62" t="str">
        <f aca="false">IF(L95="","",SUMPRODUCT(ISNUMBER(SEARCH(","&amp;EV_ID&amp;",",","&amp;SUBSTITUTE(L95," ","")&amp;","))*(EV_ID&lt;&gt;"")))</f>
        <v/>
      </c>
      <c r="N95" s="54" t="str">
        <f aca="false">IF(A95="","",IF(I95&lt;&gt;"Applicable",IF(I95="","Applicability not set","Not in scope ("&amp;I95&amp;")"),IF(OR(J95="",J95="Not answered"),"Awaiting supplier response",IF(J95="Not applicable","Supplier states not applicable - analyst to confirm",IF(L95="","Evidence insufficient - none referenced",IF(M95=0,"Evidence insufficient - referenced ID not found",IF(SUMPRODUCT(ISNUMBER(SEARCH(","&amp;EV_ID&amp;",",","&amp;SUBSTITUTE(L95," ","")&amp;","))*(EV_ID&lt;&gt;"")*(EV_SUFF="Sufficient"))&gt;0,"Evidence reviewed - sufficient",IF(SUMPRODUCT(ISNUMBER(SEARCH(","&amp;EV_ID&amp;",",","&amp;SUBSTITUTE(L95," ","")&amp;","))*(EV_ID&lt;&gt;"")*(EV_SUFF="Partially sufficient"))&gt;0,"Evidence partially sufficient","Evidence insufficient - referenced evidence not sufficient"))))))))</f>
        <v/>
      </c>
      <c r="O95" s="50"/>
      <c r="P95" s="34"/>
      <c r="Q95" s="34"/>
      <c r="R95" s="50"/>
      <c r="S95" s="51"/>
      <c r="T95" s="51"/>
      <c r="U95" s="52" t="str">
        <f aca="false">IF(OR(A95="",Q95=""),"",IF(AND(ISNUMBER(S95),S95&lt;AsOf,O95&lt;&gt;"Reviewed"),"Overdue",""))</f>
        <v/>
      </c>
      <c r="V95" s="54" t="str">
        <f aca="false">IF(A95="","",IF(COUNTIF(QA_ID,A95)&gt;1,"CHECK: duplicate ID",IF(B95="","CHECK: Supplier ID missing",IF(COUNTIF(INV_ID,B95)=0,"CHECK: Supplier ID not in inventory",IF(E95="","CHECK: Question ID missing",IF(COUNTIF(QB_ID,E95)=0,"CHECK: Question ID not in bank","OK"))))))</f>
        <v/>
      </c>
    </row>
    <row r="96" customFormat="false" ht="15" hidden="false" customHeight="false" outlineLevel="0" collapsed="false">
      <c r="A96" s="50"/>
      <c r="B96" s="50"/>
      <c r="C96" s="59" t="str">
        <f aca="false">IF(B96="","",IFERROR(INDEX(INV_NAME,MATCH(B96,INV_ID,0)),"CHECK: Supplier ID not found"))</f>
        <v/>
      </c>
      <c r="D96" s="63" t="str">
        <f aca="false">IF(B96="","",IFERROR(INDEX(INV_TIER,MATCH(B96,INV_ID,0)),""))</f>
        <v/>
      </c>
      <c r="E96" s="50"/>
      <c r="F96" s="59" t="str">
        <f aca="false">IF(E96="","",IFERROR(INDEX(QB_Q,MATCH(E96,QB_ID,0)),"CHECK: Question ID not found"))</f>
        <v/>
      </c>
      <c r="G96" s="59" t="str">
        <f aca="false">IF(E96="","",IFERROR(INDEX(QB_DOMAIN,MATCH(E96,QB_ID,0)),""))</f>
        <v/>
      </c>
      <c r="H96" s="54" t="str">
        <f aca="false">IF(OR(A96="",E96=""),"",IFERROR(IF(ISNUMBER(MATCH(D96,{"Low","Medium","High"},0)),IF(MATCH(D96,{"Low","Medium","High"},0)&gt;=MATCH(INDEX(QB_MINTIER,MATCH(E96,QB_ID,0)),{"Low","Medium","High"},0),"Recommended for tier","Optional for tier"),"Tier not determined"),"Check question"))</f>
        <v/>
      </c>
      <c r="I96" s="34"/>
      <c r="J96" s="50"/>
      <c r="K96" s="34"/>
      <c r="L96" s="34"/>
      <c r="M96" s="62" t="str">
        <f aca="false">IF(L96="","",SUMPRODUCT(ISNUMBER(SEARCH(","&amp;EV_ID&amp;",",","&amp;SUBSTITUTE(L96," ","")&amp;","))*(EV_ID&lt;&gt;"")))</f>
        <v/>
      </c>
      <c r="N96" s="54" t="str">
        <f aca="false">IF(A96="","",IF(I96&lt;&gt;"Applicable",IF(I96="","Applicability not set","Not in scope ("&amp;I96&amp;")"),IF(OR(J96="",J96="Not answered"),"Awaiting supplier response",IF(J96="Not applicable","Supplier states not applicable - analyst to confirm",IF(L96="","Evidence insufficient - none referenced",IF(M96=0,"Evidence insufficient - referenced ID not found",IF(SUMPRODUCT(ISNUMBER(SEARCH(","&amp;EV_ID&amp;",",","&amp;SUBSTITUTE(L96," ","")&amp;","))*(EV_ID&lt;&gt;"")*(EV_SUFF="Sufficient"))&gt;0,"Evidence reviewed - sufficient",IF(SUMPRODUCT(ISNUMBER(SEARCH(","&amp;EV_ID&amp;",",","&amp;SUBSTITUTE(L96," ","")&amp;","))*(EV_ID&lt;&gt;"")*(EV_SUFF="Partially sufficient"))&gt;0,"Evidence partially sufficient","Evidence insufficient - referenced evidence not sufficient"))))))))</f>
        <v/>
      </c>
      <c r="O96" s="50"/>
      <c r="P96" s="34"/>
      <c r="Q96" s="34"/>
      <c r="R96" s="50"/>
      <c r="S96" s="51"/>
      <c r="T96" s="51"/>
      <c r="U96" s="52" t="str">
        <f aca="false">IF(OR(A96="",Q96=""),"",IF(AND(ISNUMBER(S96),S96&lt;AsOf,O96&lt;&gt;"Reviewed"),"Overdue",""))</f>
        <v/>
      </c>
      <c r="V96" s="54" t="str">
        <f aca="false">IF(A96="","",IF(COUNTIF(QA_ID,A96)&gt;1,"CHECK: duplicate ID",IF(B96="","CHECK: Supplier ID missing",IF(COUNTIF(INV_ID,B96)=0,"CHECK: Supplier ID not in inventory",IF(E96="","CHECK: Question ID missing",IF(COUNTIF(QB_ID,E96)=0,"CHECK: Question ID not in bank","OK"))))))</f>
        <v/>
      </c>
    </row>
    <row r="97" customFormat="false" ht="15" hidden="false" customHeight="false" outlineLevel="0" collapsed="false">
      <c r="A97" s="50"/>
      <c r="B97" s="50"/>
      <c r="C97" s="59" t="str">
        <f aca="false">IF(B97="","",IFERROR(INDEX(INV_NAME,MATCH(B97,INV_ID,0)),"CHECK: Supplier ID not found"))</f>
        <v/>
      </c>
      <c r="D97" s="63" t="str">
        <f aca="false">IF(B97="","",IFERROR(INDEX(INV_TIER,MATCH(B97,INV_ID,0)),""))</f>
        <v/>
      </c>
      <c r="E97" s="50"/>
      <c r="F97" s="59" t="str">
        <f aca="false">IF(E97="","",IFERROR(INDEX(QB_Q,MATCH(E97,QB_ID,0)),"CHECK: Question ID not found"))</f>
        <v/>
      </c>
      <c r="G97" s="59" t="str">
        <f aca="false">IF(E97="","",IFERROR(INDEX(QB_DOMAIN,MATCH(E97,QB_ID,0)),""))</f>
        <v/>
      </c>
      <c r="H97" s="54" t="str">
        <f aca="false">IF(OR(A97="",E97=""),"",IFERROR(IF(ISNUMBER(MATCH(D97,{"Low","Medium","High"},0)),IF(MATCH(D97,{"Low","Medium","High"},0)&gt;=MATCH(INDEX(QB_MINTIER,MATCH(E97,QB_ID,0)),{"Low","Medium","High"},0),"Recommended for tier","Optional for tier"),"Tier not determined"),"Check question"))</f>
        <v/>
      </c>
      <c r="I97" s="34"/>
      <c r="J97" s="50"/>
      <c r="K97" s="34"/>
      <c r="L97" s="34"/>
      <c r="M97" s="62" t="str">
        <f aca="false">IF(L97="","",SUMPRODUCT(ISNUMBER(SEARCH(","&amp;EV_ID&amp;",",","&amp;SUBSTITUTE(L97," ","")&amp;","))*(EV_ID&lt;&gt;"")))</f>
        <v/>
      </c>
      <c r="N97" s="54" t="str">
        <f aca="false">IF(A97="","",IF(I97&lt;&gt;"Applicable",IF(I97="","Applicability not set","Not in scope ("&amp;I97&amp;")"),IF(OR(J97="",J97="Not answered"),"Awaiting supplier response",IF(J97="Not applicable","Supplier states not applicable - analyst to confirm",IF(L97="","Evidence insufficient - none referenced",IF(M97=0,"Evidence insufficient - referenced ID not found",IF(SUMPRODUCT(ISNUMBER(SEARCH(","&amp;EV_ID&amp;",",","&amp;SUBSTITUTE(L97," ","")&amp;","))*(EV_ID&lt;&gt;"")*(EV_SUFF="Sufficient"))&gt;0,"Evidence reviewed - sufficient",IF(SUMPRODUCT(ISNUMBER(SEARCH(","&amp;EV_ID&amp;",",","&amp;SUBSTITUTE(L97," ","")&amp;","))*(EV_ID&lt;&gt;"")*(EV_SUFF="Partially sufficient"))&gt;0,"Evidence partially sufficient","Evidence insufficient - referenced evidence not sufficient"))))))))</f>
        <v/>
      </c>
      <c r="O97" s="50"/>
      <c r="P97" s="34"/>
      <c r="Q97" s="34"/>
      <c r="R97" s="50"/>
      <c r="S97" s="51"/>
      <c r="T97" s="51"/>
      <c r="U97" s="52" t="str">
        <f aca="false">IF(OR(A97="",Q97=""),"",IF(AND(ISNUMBER(S97),S97&lt;AsOf,O97&lt;&gt;"Reviewed"),"Overdue",""))</f>
        <v/>
      </c>
      <c r="V97" s="54" t="str">
        <f aca="false">IF(A97="","",IF(COUNTIF(QA_ID,A97)&gt;1,"CHECK: duplicate ID",IF(B97="","CHECK: Supplier ID missing",IF(COUNTIF(INV_ID,B97)=0,"CHECK: Supplier ID not in inventory",IF(E97="","CHECK: Question ID missing",IF(COUNTIF(QB_ID,E97)=0,"CHECK: Question ID not in bank","OK"))))))</f>
        <v/>
      </c>
    </row>
    <row r="98" customFormat="false" ht="15" hidden="false" customHeight="false" outlineLevel="0" collapsed="false">
      <c r="A98" s="50"/>
      <c r="B98" s="50"/>
      <c r="C98" s="59" t="str">
        <f aca="false">IF(B98="","",IFERROR(INDEX(INV_NAME,MATCH(B98,INV_ID,0)),"CHECK: Supplier ID not found"))</f>
        <v/>
      </c>
      <c r="D98" s="63" t="str">
        <f aca="false">IF(B98="","",IFERROR(INDEX(INV_TIER,MATCH(B98,INV_ID,0)),""))</f>
        <v/>
      </c>
      <c r="E98" s="50"/>
      <c r="F98" s="59" t="str">
        <f aca="false">IF(E98="","",IFERROR(INDEX(QB_Q,MATCH(E98,QB_ID,0)),"CHECK: Question ID not found"))</f>
        <v/>
      </c>
      <c r="G98" s="59" t="str">
        <f aca="false">IF(E98="","",IFERROR(INDEX(QB_DOMAIN,MATCH(E98,QB_ID,0)),""))</f>
        <v/>
      </c>
      <c r="H98" s="54" t="str">
        <f aca="false">IF(OR(A98="",E98=""),"",IFERROR(IF(ISNUMBER(MATCH(D98,{"Low","Medium","High"},0)),IF(MATCH(D98,{"Low","Medium","High"},0)&gt;=MATCH(INDEX(QB_MINTIER,MATCH(E98,QB_ID,0)),{"Low","Medium","High"},0),"Recommended for tier","Optional for tier"),"Tier not determined"),"Check question"))</f>
        <v/>
      </c>
      <c r="I98" s="34"/>
      <c r="J98" s="50"/>
      <c r="K98" s="34"/>
      <c r="L98" s="34"/>
      <c r="M98" s="62" t="str">
        <f aca="false">IF(L98="","",SUMPRODUCT(ISNUMBER(SEARCH(","&amp;EV_ID&amp;",",","&amp;SUBSTITUTE(L98," ","")&amp;","))*(EV_ID&lt;&gt;"")))</f>
        <v/>
      </c>
      <c r="N98" s="54" t="str">
        <f aca="false">IF(A98="","",IF(I98&lt;&gt;"Applicable",IF(I98="","Applicability not set","Not in scope ("&amp;I98&amp;")"),IF(OR(J98="",J98="Not answered"),"Awaiting supplier response",IF(J98="Not applicable","Supplier states not applicable - analyst to confirm",IF(L98="","Evidence insufficient - none referenced",IF(M98=0,"Evidence insufficient - referenced ID not found",IF(SUMPRODUCT(ISNUMBER(SEARCH(","&amp;EV_ID&amp;",",","&amp;SUBSTITUTE(L98," ","")&amp;","))*(EV_ID&lt;&gt;"")*(EV_SUFF="Sufficient"))&gt;0,"Evidence reviewed - sufficient",IF(SUMPRODUCT(ISNUMBER(SEARCH(","&amp;EV_ID&amp;",",","&amp;SUBSTITUTE(L98," ","")&amp;","))*(EV_ID&lt;&gt;"")*(EV_SUFF="Partially sufficient"))&gt;0,"Evidence partially sufficient","Evidence insufficient - referenced evidence not sufficient"))))))))</f>
        <v/>
      </c>
      <c r="O98" s="50"/>
      <c r="P98" s="34"/>
      <c r="Q98" s="34"/>
      <c r="R98" s="50"/>
      <c r="S98" s="51"/>
      <c r="T98" s="51"/>
      <c r="U98" s="52" t="str">
        <f aca="false">IF(OR(A98="",Q98=""),"",IF(AND(ISNUMBER(S98),S98&lt;AsOf,O98&lt;&gt;"Reviewed"),"Overdue",""))</f>
        <v/>
      </c>
      <c r="V98" s="54" t="str">
        <f aca="false">IF(A98="","",IF(COUNTIF(QA_ID,A98)&gt;1,"CHECK: duplicate ID",IF(B98="","CHECK: Supplier ID missing",IF(COUNTIF(INV_ID,B98)=0,"CHECK: Supplier ID not in inventory",IF(E98="","CHECK: Question ID missing",IF(COUNTIF(QB_ID,E98)=0,"CHECK: Question ID not in bank","OK"))))))</f>
        <v/>
      </c>
    </row>
    <row r="99" customFormat="false" ht="15" hidden="false" customHeight="false" outlineLevel="0" collapsed="false">
      <c r="A99" s="50"/>
      <c r="B99" s="50"/>
      <c r="C99" s="59" t="str">
        <f aca="false">IF(B99="","",IFERROR(INDEX(INV_NAME,MATCH(B99,INV_ID,0)),"CHECK: Supplier ID not found"))</f>
        <v/>
      </c>
      <c r="D99" s="63" t="str">
        <f aca="false">IF(B99="","",IFERROR(INDEX(INV_TIER,MATCH(B99,INV_ID,0)),""))</f>
        <v/>
      </c>
      <c r="E99" s="50"/>
      <c r="F99" s="59" t="str">
        <f aca="false">IF(E99="","",IFERROR(INDEX(QB_Q,MATCH(E99,QB_ID,0)),"CHECK: Question ID not found"))</f>
        <v/>
      </c>
      <c r="G99" s="59" t="str">
        <f aca="false">IF(E99="","",IFERROR(INDEX(QB_DOMAIN,MATCH(E99,QB_ID,0)),""))</f>
        <v/>
      </c>
      <c r="H99" s="54" t="str">
        <f aca="false">IF(OR(A99="",E99=""),"",IFERROR(IF(ISNUMBER(MATCH(D99,{"Low","Medium","High"},0)),IF(MATCH(D99,{"Low","Medium","High"},0)&gt;=MATCH(INDEX(QB_MINTIER,MATCH(E99,QB_ID,0)),{"Low","Medium","High"},0),"Recommended for tier","Optional for tier"),"Tier not determined"),"Check question"))</f>
        <v/>
      </c>
      <c r="I99" s="34"/>
      <c r="J99" s="50"/>
      <c r="K99" s="34"/>
      <c r="L99" s="34"/>
      <c r="M99" s="62" t="str">
        <f aca="false">IF(L99="","",SUMPRODUCT(ISNUMBER(SEARCH(","&amp;EV_ID&amp;",",","&amp;SUBSTITUTE(L99," ","")&amp;","))*(EV_ID&lt;&gt;"")))</f>
        <v/>
      </c>
      <c r="N99" s="54" t="str">
        <f aca="false">IF(A99="","",IF(I99&lt;&gt;"Applicable",IF(I99="","Applicability not set","Not in scope ("&amp;I99&amp;")"),IF(OR(J99="",J99="Not answered"),"Awaiting supplier response",IF(J99="Not applicable","Supplier states not applicable - analyst to confirm",IF(L99="","Evidence insufficient - none referenced",IF(M99=0,"Evidence insufficient - referenced ID not found",IF(SUMPRODUCT(ISNUMBER(SEARCH(","&amp;EV_ID&amp;",",","&amp;SUBSTITUTE(L99," ","")&amp;","))*(EV_ID&lt;&gt;"")*(EV_SUFF="Sufficient"))&gt;0,"Evidence reviewed - sufficient",IF(SUMPRODUCT(ISNUMBER(SEARCH(","&amp;EV_ID&amp;",",","&amp;SUBSTITUTE(L99," ","")&amp;","))*(EV_ID&lt;&gt;"")*(EV_SUFF="Partially sufficient"))&gt;0,"Evidence partially sufficient","Evidence insufficient - referenced evidence not sufficient"))))))))</f>
        <v/>
      </c>
      <c r="O99" s="50"/>
      <c r="P99" s="34"/>
      <c r="Q99" s="34"/>
      <c r="R99" s="50"/>
      <c r="S99" s="51"/>
      <c r="T99" s="51"/>
      <c r="U99" s="52" t="str">
        <f aca="false">IF(OR(A99="",Q99=""),"",IF(AND(ISNUMBER(S99),S99&lt;AsOf,O99&lt;&gt;"Reviewed"),"Overdue",""))</f>
        <v/>
      </c>
      <c r="V99" s="54" t="str">
        <f aca="false">IF(A99="","",IF(COUNTIF(QA_ID,A99)&gt;1,"CHECK: duplicate ID",IF(B99="","CHECK: Supplier ID missing",IF(COUNTIF(INV_ID,B99)=0,"CHECK: Supplier ID not in inventory",IF(E99="","CHECK: Question ID missing",IF(COUNTIF(QB_ID,E99)=0,"CHECK: Question ID not in bank","OK"))))))</f>
        <v/>
      </c>
    </row>
    <row r="100" customFormat="false" ht="15" hidden="false" customHeight="false" outlineLevel="0" collapsed="false">
      <c r="A100" s="50"/>
      <c r="B100" s="50"/>
      <c r="C100" s="59" t="str">
        <f aca="false">IF(B100="","",IFERROR(INDEX(INV_NAME,MATCH(B100,INV_ID,0)),"CHECK: Supplier ID not found"))</f>
        <v/>
      </c>
      <c r="D100" s="63" t="str">
        <f aca="false">IF(B100="","",IFERROR(INDEX(INV_TIER,MATCH(B100,INV_ID,0)),""))</f>
        <v/>
      </c>
      <c r="E100" s="50"/>
      <c r="F100" s="59" t="str">
        <f aca="false">IF(E100="","",IFERROR(INDEX(QB_Q,MATCH(E100,QB_ID,0)),"CHECK: Question ID not found"))</f>
        <v/>
      </c>
      <c r="G100" s="59" t="str">
        <f aca="false">IF(E100="","",IFERROR(INDEX(QB_DOMAIN,MATCH(E100,QB_ID,0)),""))</f>
        <v/>
      </c>
      <c r="H100" s="54" t="str">
        <f aca="false">IF(OR(A100="",E100=""),"",IFERROR(IF(ISNUMBER(MATCH(D100,{"Low","Medium","High"},0)),IF(MATCH(D100,{"Low","Medium","High"},0)&gt;=MATCH(INDEX(QB_MINTIER,MATCH(E100,QB_ID,0)),{"Low","Medium","High"},0),"Recommended for tier","Optional for tier"),"Tier not determined"),"Check question"))</f>
        <v/>
      </c>
      <c r="I100" s="34"/>
      <c r="J100" s="50"/>
      <c r="K100" s="34"/>
      <c r="L100" s="34"/>
      <c r="M100" s="62" t="str">
        <f aca="false">IF(L100="","",SUMPRODUCT(ISNUMBER(SEARCH(","&amp;EV_ID&amp;",",","&amp;SUBSTITUTE(L100," ","")&amp;","))*(EV_ID&lt;&gt;"")))</f>
        <v/>
      </c>
      <c r="N100" s="54" t="str">
        <f aca="false">IF(A100="","",IF(I100&lt;&gt;"Applicable",IF(I100="","Applicability not set","Not in scope ("&amp;I100&amp;")"),IF(OR(J100="",J100="Not answered"),"Awaiting supplier response",IF(J100="Not applicable","Supplier states not applicable - analyst to confirm",IF(L100="","Evidence insufficient - none referenced",IF(M100=0,"Evidence insufficient - referenced ID not found",IF(SUMPRODUCT(ISNUMBER(SEARCH(","&amp;EV_ID&amp;",",","&amp;SUBSTITUTE(L100," ","")&amp;","))*(EV_ID&lt;&gt;"")*(EV_SUFF="Sufficient"))&gt;0,"Evidence reviewed - sufficient",IF(SUMPRODUCT(ISNUMBER(SEARCH(","&amp;EV_ID&amp;",",","&amp;SUBSTITUTE(L100," ","")&amp;","))*(EV_ID&lt;&gt;"")*(EV_SUFF="Partially sufficient"))&gt;0,"Evidence partially sufficient","Evidence insufficient - referenced evidence not sufficient"))))))))</f>
        <v/>
      </c>
      <c r="O100" s="50"/>
      <c r="P100" s="34"/>
      <c r="Q100" s="34"/>
      <c r="R100" s="50"/>
      <c r="S100" s="51"/>
      <c r="T100" s="51"/>
      <c r="U100" s="52" t="str">
        <f aca="false">IF(OR(A100="",Q100=""),"",IF(AND(ISNUMBER(S100),S100&lt;AsOf,O100&lt;&gt;"Reviewed"),"Overdue",""))</f>
        <v/>
      </c>
      <c r="V100" s="54" t="str">
        <f aca="false">IF(A100="","",IF(COUNTIF(QA_ID,A100)&gt;1,"CHECK: duplicate ID",IF(B100="","CHECK: Supplier ID missing",IF(COUNTIF(INV_ID,B100)=0,"CHECK: Supplier ID not in inventory",IF(E100="","CHECK: Question ID missing",IF(COUNTIF(QB_ID,E100)=0,"CHECK: Question ID not in bank","OK"))))))</f>
        <v/>
      </c>
    </row>
    <row r="101" customFormat="false" ht="15" hidden="false" customHeight="false" outlineLevel="0" collapsed="false">
      <c r="A101" s="50"/>
      <c r="B101" s="50"/>
      <c r="C101" s="59" t="str">
        <f aca="false">IF(B101="","",IFERROR(INDEX(INV_NAME,MATCH(B101,INV_ID,0)),"CHECK: Supplier ID not found"))</f>
        <v/>
      </c>
      <c r="D101" s="63" t="str">
        <f aca="false">IF(B101="","",IFERROR(INDEX(INV_TIER,MATCH(B101,INV_ID,0)),""))</f>
        <v/>
      </c>
      <c r="E101" s="50"/>
      <c r="F101" s="59" t="str">
        <f aca="false">IF(E101="","",IFERROR(INDEX(QB_Q,MATCH(E101,QB_ID,0)),"CHECK: Question ID not found"))</f>
        <v/>
      </c>
      <c r="G101" s="59" t="str">
        <f aca="false">IF(E101="","",IFERROR(INDEX(QB_DOMAIN,MATCH(E101,QB_ID,0)),""))</f>
        <v/>
      </c>
      <c r="H101" s="54" t="str">
        <f aca="false">IF(OR(A101="",E101=""),"",IFERROR(IF(ISNUMBER(MATCH(D101,{"Low","Medium","High"},0)),IF(MATCH(D101,{"Low","Medium","High"},0)&gt;=MATCH(INDEX(QB_MINTIER,MATCH(E101,QB_ID,0)),{"Low","Medium","High"},0),"Recommended for tier","Optional for tier"),"Tier not determined"),"Check question"))</f>
        <v/>
      </c>
      <c r="I101" s="34"/>
      <c r="J101" s="50"/>
      <c r="K101" s="34"/>
      <c r="L101" s="34"/>
      <c r="M101" s="62" t="str">
        <f aca="false">IF(L101="","",SUMPRODUCT(ISNUMBER(SEARCH(","&amp;EV_ID&amp;",",","&amp;SUBSTITUTE(L101," ","")&amp;","))*(EV_ID&lt;&gt;"")))</f>
        <v/>
      </c>
      <c r="N101" s="54" t="str">
        <f aca="false">IF(A101="","",IF(I101&lt;&gt;"Applicable",IF(I101="","Applicability not set","Not in scope ("&amp;I101&amp;")"),IF(OR(J101="",J101="Not answered"),"Awaiting supplier response",IF(J101="Not applicable","Supplier states not applicable - analyst to confirm",IF(L101="","Evidence insufficient - none referenced",IF(M101=0,"Evidence insufficient - referenced ID not found",IF(SUMPRODUCT(ISNUMBER(SEARCH(","&amp;EV_ID&amp;",",","&amp;SUBSTITUTE(L101," ","")&amp;","))*(EV_ID&lt;&gt;"")*(EV_SUFF="Sufficient"))&gt;0,"Evidence reviewed - sufficient",IF(SUMPRODUCT(ISNUMBER(SEARCH(","&amp;EV_ID&amp;",",","&amp;SUBSTITUTE(L101," ","")&amp;","))*(EV_ID&lt;&gt;"")*(EV_SUFF="Partially sufficient"))&gt;0,"Evidence partially sufficient","Evidence insufficient - referenced evidence not sufficient"))))))))</f>
        <v/>
      </c>
      <c r="O101" s="50"/>
      <c r="P101" s="34"/>
      <c r="Q101" s="34"/>
      <c r="R101" s="50"/>
      <c r="S101" s="51"/>
      <c r="T101" s="51"/>
      <c r="U101" s="52" t="str">
        <f aca="false">IF(OR(A101="",Q101=""),"",IF(AND(ISNUMBER(S101),S101&lt;AsOf,O101&lt;&gt;"Reviewed"),"Overdue",""))</f>
        <v/>
      </c>
      <c r="V101" s="54" t="str">
        <f aca="false">IF(A101="","",IF(COUNTIF(QA_ID,A101)&gt;1,"CHECK: duplicate ID",IF(B101="","CHECK: Supplier ID missing",IF(COUNTIF(INV_ID,B101)=0,"CHECK: Supplier ID not in inventory",IF(E101="","CHECK: Question ID missing",IF(COUNTIF(QB_ID,E101)=0,"CHECK: Question ID not in bank","OK"))))))</f>
        <v/>
      </c>
    </row>
    <row r="102" customFormat="false" ht="15" hidden="false" customHeight="false" outlineLevel="0" collapsed="false">
      <c r="A102" s="50"/>
      <c r="B102" s="50"/>
      <c r="C102" s="59" t="str">
        <f aca="false">IF(B102="","",IFERROR(INDEX(INV_NAME,MATCH(B102,INV_ID,0)),"CHECK: Supplier ID not found"))</f>
        <v/>
      </c>
      <c r="D102" s="63" t="str">
        <f aca="false">IF(B102="","",IFERROR(INDEX(INV_TIER,MATCH(B102,INV_ID,0)),""))</f>
        <v/>
      </c>
      <c r="E102" s="50"/>
      <c r="F102" s="59" t="str">
        <f aca="false">IF(E102="","",IFERROR(INDEX(QB_Q,MATCH(E102,QB_ID,0)),"CHECK: Question ID not found"))</f>
        <v/>
      </c>
      <c r="G102" s="59" t="str">
        <f aca="false">IF(E102="","",IFERROR(INDEX(QB_DOMAIN,MATCH(E102,QB_ID,0)),""))</f>
        <v/>
      </c>
      <c r="H102" s="54" t="str">
        <f aca="false">IF(OR(A102="",E102=""),"",IFERROR(IF(ISNUMBER(MATCH(D102,{"Low","Medium","High"},0)),IF(MATCH(D102,{"Low","Medium","High"},0)&gt;=MATCH(INDEX(QB_MINTIER,MATCH(E102,QB_ID,0)),{"Low","Medium","High"},0),"Recommended for tier","Optional for tier"),"Tier not determined"),"Check question"))</f>
        <v/>
      </c>
      <c r="I102" s="34"/>
      <c r="J102" s="50"/>
      <c r="K102" s="34"/>
      <c r="L102" s="34"/>
      <c r="M102" s="62" t="str">
        <f aca="false">IF(L102="","",SUMPRODUCT(ISNUMBER(SEARCH(","&amp;EV_ID&amp;",",","&amp;SUBSTITUTE(L102," ","")&amp;","))*(EV_ID&lt;&gt;"")))</f>
        <v/>
      </c>
      <c r="N102" s="54" t="str">
        <f aca="false">IF(A102="","",IF(I102&lt;&gt;"Applicable",IF(I102="","Applicability not set","Not in scope ("&amp;I102&amp;")"),IF(OR(J102="",J102="Not answered"),"Awaiting supplier response",IF(J102="Not applicable","Supplier states not applicable - analyst to confirm",IF(L102="","Evidence insufficient - none referenced",IF(M102=0,"Evidence insufficient - referenced ID not found",IF(SUMPRODUCT(ISNUMBER(SEARCH(","&amp;EV_ID&amp;",",","&amp;SUBSTITUTE(L102," ","")&amp;","))*(EV_ID&lt;&gt;"")*(EV_SUFF="Sufficient"))&gt;0,"Evidence reviewed - sufficient",IF(SUMPRODUCT(ISNUMBER(SEARCH(","&amp;EV_ID&amp;",",","&amp;SUBSTITUTE(L102," ","")&amp;","))*(EV_ID&lt;&gt;"")*(EV_SUFF="Partially sufficient"))&gt;0,"Evidence partially sufficient","Evidence insufficient - referenced evidence not sufficient"))))))))</f>
        <v/>
      </c>
      <c r="O102" s="50"/>
      <c r="P102" s="34"/>
      <c r="Q102" s="34"/>
      <c r="R102" s="50"/>
      <c r="S102" s="51"/>
      <c r="T102" s="51"/>
      <c r="U102" s="52" t="str">
        <f aca="false">IF(OR(A102="",Q102=""),"",IF(AND(ISNUMBER(S102),S102&lt;AsOf,O102&lt;&gt;"Reviewed"),"Overdue",""))</f>
        <v/>
      </c>
      <c r="V102" s="54" t="str">
        <f aca="false">IF(A102="","",IF(COUNTIF(QA_ID,A102)&gt;1,"CHECK: duplicate ID",IF(B102="","CHECK: Supplier ID missing",IF(COUNTIF(INV_ID,B102)=0,"CHECK: Supplier ID not in inventory",IF(E102="","CHECK: Question ID missing",IF(COUNTIF(QB_ID,E102)=0,"CHECK: Question ID not in bank","OK"))))))</f>
        <v/>
      </c>
    </row>
    <row r="103" customFormat="false" ht="15" hidden="false" customHeight="false" outlineLevel="0" collapsed="false">
      <c r="A103" s="50"/>
      <c r="B103" s="50"/>
      <c r="C103" s="59" t="str">
        <f aca="false">IF(B103="","",IFERROR(INDEX(INV_NAME,MATCH(B103,INV_ID,0)),"CHECK: Supplier ID not found"))</f>
        <v/>
      </c>
      <c r="D103" s="63" t="str">
        <f aca="false">IF(B103="","",IFERROR(INDEX(INV_TIER,MATCH(B103,INV_ID,0)),""))</f>
        <v/>
      </c>
      <c r="E103" s="50"/>
      <c r="F103" s="59" t="str">
        <f aca="false">IF(E103="","",IFERROR(INDEX(QB_Q,MATCH(E103,QB_ID,0)),"CHECK: Question ID not found"))</f>
        <v/>
      </c>
      <c r="G103" s="59" t="str">
        <f aca="false">IF(E103="","",IFERROR(INDEX(QB_DOMAIN,MATCH(E103,QB_ID,0)),""))</f>
        <v/>
      </c>
      <c r="H103" s="54" t="str">
        <f aca="false">IF(OR(A103="",E103=""),"",IFERROR(IF(ISNUMBER(MATCH(D103,{"Low","Medium","High"},0)),IF(MATCH(D103,{"Low","Medium","High"},0)&gt;=MATCH(INDEX(QB_MINTIER,MATCH(E103,QB_ID,0)),{"Low","Medium","High"},0),"Recommended for tier","Optional for tier"),"Tier not determined"),"Check question"))</f>
        <v/>
      </c>
      <c r="I103" s="34"/>
      <c r="J103" s="50"/>
      <c r="K103" s="34"/>
      <c r="L103" s="34"/>
      <c r="M103" s="62" t="str">
        <f aca="false">IF(L103="","",SUMPRODUCT(ISNUMBER(SEARCH(","&amp;EV_ID&amp;",",","&amp;SUBSTITUTE(L103," ","")&amp;","))*(EV_ID&lt;&gt;"")))</f>
        <v/>
      </c>
      <c r="N103" s="54" t="str">
        <f aca="false">IF(A103="","",IF(I103&lt;&gt;"Applicable",IF(I103="","Applicability not set","Not in scope ("&amp;I103&amp;")"),IF(OR(J103="",J103="Not answered"),"Awaiting supplier response",IF(J103="Not applicable","Supplier states not applicable - analyst to confirm",IF(L103="","Evidence insufficient - none referenced",IF(M103=0,"Evidence insufficient - referenced ID not found",IF(SUMPRODUCT(ISNUMBER(SEARCH(","&amp;EV_ID&amp;",",","&amp;SUBSTITUTE(L103," ","")&amp;","))*(EV_ID&lt;&gt;"")*(EV_SUFF="Sufficient"))&gt;0,"Evidence reviewed - sufficient",IF(SUMPRODUCT(ISNUMBER(SEARCH(","&amp;EV_ID&amp;",",","&amp;SUBSTITUTE(L103," ","")&amp;","))*(EV_ID&lt;&gt;"")*(EV_SUFF="Partially sufficient"))&gt;0,"Evidence partially sufficient","Evidence insufficient - referenced evidence not sufficient"))))))))</f>
        <v/>
      </c>
      <c r="O103" s="50"/>
      <c r="P103" s="34"/>
      <c r="Q103" s="34"/>
      <c r="R103" s="50"/>
      <c r="S103" s="51"/>
      <c r="T103" s="51"/>
      <c r="U103" s="52" t="str">
        <f aca="false">IF(OR(A103="",Q103=""),"",IF(AND(ISNUMBER(S103),S103&lt;AsOf,O103&lt;&gt;"Reviewed"),"Overdue",""))</f>
        <v/>
      </c>
      <c r="V103" s="54" t="str">
        <f aca="false">IF(A103="","",IF(COUNTIF(QA_ID,A103)&gt;1,"CHECK: duplicate ID",IF(B103="","CHECK: Supplier ID missing",IF(COUNTIF(INV_ID,B103)=0,"CHECK: Supplier ID not in inventory",IF(E103="","CHECK: Question ID missing",IF(COUNTIF(QB_ID,E103)=0,"CHECK: Question ID not in bank","OK"))))))</f>
        <v/>
      </c>
    </row>
    <row r="104" customFormat="false" ht="15" hidden="false" customHeight="false" outlineLevel="0" collapsed="false">
      <c r="A104" s="50"/>
      <c r="B104" s="50"/>
      <c r="C104" s="59" t="str">
        <f aca="false">IF(B104="","",IFERROR(INDEX(INV_NAME,MATCH(B104,INV_ID,0)),"CHECK: Supplier ID not found"))</f>
        <v/>
      </c>
      <c r="D104" s="63" t="str">
        <f aca="false">IF(B104="","",IFERROR(INDEX(INV_TIER,MATCH(B104,INV_ID,0)),""))</f>
        <v/>
      </c>
      <c r="E104" s="50"/>
      <c r="F104" s="59" t="str">
        <f aca="false">IF(E104="","",IFERROR(INDEX(QB_Q,MATCH(E104,QB_ID,0)),"CHECK: Question ID not found"))</f>
        <v/>
      </c>
      <c r="G104" s="59" t="str">
        <f aca="false">IF(E104="","",IFERROR(INDEX(QB_DOMAIN,MATCH(E104,QB_ID,0)),""))</f>
        <v/>
      </c>
      <c r="H104" s="54" t="str">
        <f aca="false">IF(OR(A104="",E104=""),"",IFERROR(IF(ISNUMBER(MATCH(D104,{"Low","Medium","High"},0)),IF(MATCH(D104,{"Low","Medium","High"},0)&gt;=MATCH(INDEX(QB_MINTIER,MATCH(E104,QB_ID,0)),{"Low","Medium","High"},0),"Recommended for tier","Optional for tier"),"Tier not determined"),"Check question"))</f>
        <v/>
      </c>
      <c r="I104" s="34"/>
      <c r="J104" s="50"/>
      <c r="K104" s="34"/>
      <c r="L104" s="34"/>
      <c r="M104" s="62" t="str">
        <f aca="false">IF(L104="","",SUMPRODUCT(ISNUMBER(SEARCH(","&amp;EV_ID&amp;",",","&amp;SUBSTITUTE(L104," ","")&amp;","))*(EV_ID&lt;&gt;"")))</f>
        <v/>
      </c>
      <c r="N104" s="54" t="str">
        <f aca="false">IF(A104="","",IF(I104&lt;&gt;"Applicable",IF(I104="","Applicability not set","Not in scope ("&amp;I104&amp;")"),IF(OR(J104="",J104="Not answered"),"Awaiting supplier response",IF(J104="Not applicable","Supplier states not applicable - analyst to confirm",IF(L104="","Evidence insufficient - none referenced",IF(M104=0,"Evidence insufficient - referenced ID not found",IF(SUMPRODUCT(ISNUMBER(SEARCH(","&amp;EV_ID&amp;",",","&amp;SUBSTITUTE(L104," ","")&amp;","))*(EV_ID&lt;&gt;"")*(EV_SUFF="Sufficient"))&gt;0,"Evidence reviewed - sufficient",IF(SUMPRODUCT(ISNUMBER(SEARCH(","&amp;EV_ID&amp;",",","&amp;SUBSTITUTE(L104," ","")&amp;","))*(EV_ID&lt;&gt;"")*(EV_SUFF="Partially sufficient"))&gt;0,"Evidence partially sufficient","Evidence insufficient - referenced evidence not sufficient"))))))))</f>
        <v/>
      </c>
      <c r="O104" s="50"/>
      <c r="P104" s="34"/>
      <c r="Q104" s="34"/>
      <c r="R104" s="50"/>
      <c r="S104" s="51"/>
      <c r="T104" s="51"/>
      <c r="U104" s="52" t="str">
        <f aca="false">IF(OR(A104="",Q104=""),"",IF(AND(ISNUMBER(S104),S104&lt;AsOf,O104&lt;&gt;"Reviewed"),"Overdue",""))</f>
        <v/>
      </c>
      <c r="V104" s="54" t="str">
        <f aca="false">IF(A104="","",IF(COUNTIF(QA_ID,A104)&gt;1,"CHECK: duplicate ID",IF(B104="","CHECK: Supplier ID missing",IF(COUNTIF(INV_ID,B104)=0,"CHECK: Supplier ID not in inventory",IF(E104="","CHECK: Question ID missing",IF(COUNTIF(QB_ID,E104)=0,"CHECK: Question ID not in bank","OK"))))))</f>
        <v/>
      </c>
    </row>
    <row r="105" customFormat="false" ht="15" hidden="false" customHeight="false" outlineLevel="0" collapsed="false">
      <c r="A105" s="50"/>
      <c r="B105" s="50"/>
      <c r="C105" s="59" t="str">
        <f aca="false">IF(B105="","",IFERROR(INDEX(INV_NAME,MATCH(B105,INV_ID,0)),"CHECK: Supplier ID not found"))</f>
        <v/>
      </c>
      <c r="D105" s="63" t="str">
        <f aca="false">IF(B105="","",IFERROR(INDEX(INV_TIER,MATCH(B105,INV_ID,0)),""))</f>
        <v/>
      </c>
      <c r="E105" s="50"/>
      <c r="F105" s="59" t="str">
        <f aca="false">IF(E105="","",IFERROR(INDEX(QB_Q,MATCH(E105,QB_ID,0)),"CHECK: Question ID not found"))</f>
        <v/>
      </c>
      <c r="G105" s="59" t="str">
        <f aca="false">IF(E105="","",IFERROR(INDEX(QB_DOMAIN,MATCH(E105,QB_ID,0)),""))</f>
        <v/>
      </c>
      <c r="H105" s="54" t="str">
        <f aca="false">IF(OR(A105="",E105=""),"",IFERROR(IF(ISNUMBER(MATCH(D105,{"Low","Medium","High"},0)),IF(MATCH(D105,{"Low","Medium","High"},0)&gt;=MATCH(INDEX(QB_MINTIER,MATCH(E105,QB_ID,0)),{"Low","Medium","High"},0),"Recommended for tier","Optional for tier"),"Tier not determined"),"Check question"))</f>
        <v/>
      </c>
      <c r="I105" s="34"/>
      <c r="J105" s="50"/>
      <c r="K105" s="34"/>
      <c r="L105" s="34"/>
      <c r="M105" s="62" t="str">
        <f aca="false">IF(L105="","",SUMPRODUCT(ISNUMBER(SEARCH(","&amp;EV_ID&amp;",",","&amp;SUBSTITUTE(L105," ","")&amp;","))*(EV_ID&lt;&gt;"")))</f>
        <v/>
      </c>
      <c r="N105" s="54" t="str">
        <f aca="false">IF(A105="","",IF(I105&lt;&gt;"Applicable",IF(I105="","Applicability not set","Not in scope ("&amp;I105&amp;")"),IF(OR(J105="",J105="Not answered"),"Awaiting supplier response",IF(J105="Not applicable","Supplier states not applicable - analyst to confirm",IF(L105="","Evidence insufficient - none referenced",IF(M105=0,"Evidence insufficient - referenced ID not found",IF(SUMPRODUCT(ISNUMBER(SEARCH(","&amp;EV_ID&amp;",",","&amp;SUBSTITUTE(L105," ","")&amp;","))*(EV_ID&lt;&gt;"")*(EV_SUFF="Sufficient"))&gt;0,"Evidence reviewed - sufficient",IF(SUMPRODUCT(ISNUMBER(SEARCH(","&amp;EV_ID&amp;",",","&amp;SUBSTITUTE(L105," ","")&amp;","))*(EV_ID&lt;&gt;"")*(EV_SUFF="Partially sufficient"))&gt;0,"Evidence partially sufficient","Evidence insufficient - referenced evidence not sufficient"))))))))</f>
        <v/>
      </c>
      <c r="O105" s="50"/>
      <c r="P105" s="34"/>
      <c r="Q105" s="34"/>
      <c r="R105" s="50"/>
      <c r="S105" s="51"/>
      <c r="T105" s="51"/>
      <c r="U105" s="52" t="str">
        <f aca="false">IF(OR(A105="",Q105=""),"",IF(AND(ISNUMBER(S105),S105&lt;AsOf,O105&lt;&gt;"Reviewed"),"Overdue",""))</f>
        <v/>
      </c>
      <c r="V105" s="54" t="str">
        <f aca="false">IF(A105="","",IF(COUNTIF(QA_ID,A105)&gt;1,"CHECK: duplicate ID",IF(B105="","CHECK: Supplier ID missing",IF(COUNTIF(INV_ID,B105)=0,"CHECK: Supplier ID not in inventory",IF(E105="","CHECK: Question ID missing",IF(COUNTIF(QB_ID,E105)=0,"CHECK: Question ID not in bank","OK"))))))</f>
        <v/>
      </c>
    </row>
    <row r="106" customFormat="false" ht="15" hidden="false" customHeight="false" outlineLevel="0" collapsed="false">
      <c r="A106" s="50"/>
      <c r="B106" s="50"/>
      <c r="C106" s="59" t="str">
        <f aca="false">IF(B106="","",IFERROR(INDEX(INV_NAME,MATCH(B106,INV_ID,0)),"CHECK: Supplier ID not found"))</f>
        <v/>
      </c>
      <c r="D106" s="63" t="str">
        <f aca="false">IF(B106="","",IFERROR(INDEX(INV_TIER,MATCH(B106,INV_ID,0)),""))</f>
        <v/>
      </c>
      <c r="E106" s="50"/>
      <c r="F106" s="59" t="str">
        <f aca="false">IF(E106="","",IFERROR(INDEX(QB_Q,MATCH(E106,QB_ID,0)),"CHECK: Question ID not found"))</f>
        <v/>
      </c>
      <c r="G106" s="59" t="str">
        <f aca="false">IF(E106="","",IFERROR(INDEX(QB_DOMAIN,MATCH(E106,QB_ID,0)),""))</f>
        <v/>
      </c>
      <c r="H106" s="54" t="str">
        <f aca="false">IF(OR(A106="",E106=""),"",IFERROR(IF(ISNUMBER(MATCH(D106,{"Low","Medium","High"},0)),IF(MATCH(D106,{"Low","Medium","High"},0)&gt;=MATCH(INDEX(QB_MINTIER,MATCH(E106,QB_ID,0)),{"Low","Medium","High"},0),"Recommended for tier","Optional for tier"),"Tier not determined"),"Check question"))</f>
        <v/>
      </c>
      <c r="I106" s="34"/>
      <c r="J106" s="50"/>
      <c r="K106" s="34"/>
      <c r="L106" s="34"/>
      <c r="M106" s="62" t="str">
        <f aca="false">IF(L106="","",SUMPRODUCT(ISNUMBER(SEARCH(","&amp;EV_ID&amp;",",","&amp;SUBSTITUTE(L106," ","")&amp;","))*(EV_ID&lt;&gt;"")))</f>
        <v/>
      </c>
      <c r="N106" s="54" t="str">
        <f aca="false">IF(A106="","",IF(I106&lt;&gt;"Applicable",IF(I106="","Applicability not set","Not in scope ("&amp;I106&amp;")"),IF(OR(J106="",J106="Not answered"),"Awaiting supplier response",IF(J106="Not applicable","Supplier states not applicable - analyst to confirm",IF(L106="","Evidence insufficient - none referenced",IF(M106=0,"Evidence insufficient - referenced ID not found",IF(SUMPRODUCT(ISNUMBER(SEARCH(","&amp;EV_ID&amp;",",","&amp;SUBSTITUTE(L106," ","")&amp;","))*(EV_ID&lt;&gt;"")*(EV_SUFF="Sufficient"))&gt;0,"Evidence reviewed - sufficient",IF(SUMPRODUCT(ISNUMBER(SEARCH(","&amp;EV_ID&amp;",",","&amp;SUBSTITUTE(L106," ","")&amp;","))*(EV_ID&lt;&gt;"")*(EV_SUFF="Partially sufficient"))&gt;0,"Evidence partially sufficient","Evidence insufficient - referenced evidence not sufficient"))))))))</f>
        <v/>
      </c>
      <c r="O106" s="50"/>
      <c r="P106" s="34"/>
      <c r="Q106" s="34"/>
      <c r="R106" s="50"/>
      <c r="S106" s="51"/>
      <c r="T106" s="51"/>
      <c r="U106" s="52" t="str">
        <f aca="false">IF(OR(A106="",Q106=""),"",IF(AND(ISNUMBER(S106),S106&lt;AsOf,O106&lt;&gt;"Reviewed"),"Overdue",""))</f>
        <v/>
      </c>
      <c r="V106" s="54" t="str">
        <f aca="false">IF(A106="","",IF(COUNTIF(QA_ID,A106)&gt;1,"CHECK: duplicate ID",IF(B106="","CHECK: Supplier ID missing",IF(COUNTIF(INV_ID,B106)=0,"CHECK: Supplier ID not in inventory",IF(E106="","CHECK: Question ID missing",IF(COUNTIF(QB_ID,E106)=0,"CHECK: Question ID not in bank","OK"))))))</f>
        <v/>
      </c>
    </row>
    <row r="107" customFormat="false" ht="15" hidden="false" customHeight="false" outlineLevel="0" collapsed="false">
      <c r="A107" s="50"/>
      <c r="B107" s="50"/>
      <c r="C107" s="59" t="str">
        <f aca="false">IF(B107="","",IFERROR(INDEX(INV_NAME,MATCH(B107,INV_ID,0)),"CHECK: Supplier ID not found"))</f>
        <v/>
      </c>
      <c r="D107" s="63" t="str">
        <f aca="false">IF(B107="","",IFERROR(INDEX(INV_TIER,MATCH(B107,INV_ID,0)),""))</f>
        <v/>
      </c>
      <c r="E107" s="50"/>
      <c r="F107" s="59" t="str">
        <f aca="false">IF(E107="","",IFERROR(INDEX(QB_Q,MATCH(E107,QB_ID,0)),"CHECK: Question ID not found"))</f>
        <v/>
      </c>
      <c r="G107" s="59" t="str">
        <f aca="false">IF(E107="","",IFERROR(INDEX(QB_DOMAIN,MATCH(E107,QB_ID,0)),""))</f>
        <v/>
      </c>
      <c r="H107" s="54" t="str">
        <f aca="false">IF(OR(A107="",E107=""),"",IFERROR(IF(ISNUMBER(MATCH(D107,{"Low","Medium","High"},0)),IF(MATCH(D107,{"Low","Medium","High"},0)&gt;=MATCH(INDEX(QB_MINTIER,MATCH(E107,QB_ID,0)),{"Low","Medium","High"},0),"Recommended for tier","Optional for tier"),"Tier not determined"),"Check question"))</f>
        <v/>
      </c>
      <c r="I107" s="34"/>
      <c r="J107" s="50"/>
      <c r="K107" s="34"/>
      <c r="L107" s="34"/>
      <c r="M107" s="62" t="str">
        <f aca="false">IF(L107="","",SUMPRODUCT(ISNUMBER(SEARCH(","&amp;EV_ID&amp;",",","&amp;SUBSTITUTE(L107," ","")&amp;","))*(EV_ID&lt;&gt;"")))</f>
        <v/>
      </c>
      <c r="N107" s="54" t="str">
        <f aca="false">IF(A107="","",IF(I107&lt;&gt;"Applicable",IF(I107="","Applicability not set","Not in scope ("&amp;I107&amp;")"),IF(OR(J107="",J107="Not answered"),"Awaiting supplier response",IF(J107="Not applicable","Supplier states not applicable - analyst to confirm",IF(L107="","Evidence insufficient - none referenced",IF(M107=0,"Evidence insufficient - referenced ID not found",IF(SUMPRODUCT(ISNUMBER(SEARCH(","&amp;EV_ID&amp;",",","&amp;SUBSTITUTE(L107," ","")&amp;","))*(EV_ID&lt;&gt;"")*(EV_SUFF="Sufficient"))&gt;0,"Evidence reviewed - sufficient",IF(SUMPRODUCT(ISNUMBER(SEARCH(","&amp;EV_ID&amp;",",","&amp;SUBSTITUTE(L107," ","")&amp;","))*(EV_ID&lt;&gt;"")*(EV_SUFF="Partially sufficient"))&gt;0,"Evidence partially sufficient","Evidence insufficient - referenced evidence not sufficient"))))))))</f>
        <v/>
      </c>
      <c r="O107" s="50"/>
      <c r="P107" s="34"/>
      <c r="Q107" s="34"/>
      <c r="R107" s="50"/>
      <c r="S107" s="51"/>
      <c r="T107" s="51"/>
      <c r="U107" s="52" t="str">
        <f aca="false">IF(OR(A107="",Q107=""),"",IF(AND(ISNUMBER(S107),S107&lt;AsOf,O107&lt;&gt;"Reviewed"),"Overdue",""))</f>
        <v/>
      </c>
      <c r="V107" s="54" t="str">
        <f aca="false">IF(A107="","",IF(COUNTIF(QA_ID,A107)&gt;1,"CHECK: duplicate ID",IF(B107="","CHECK: Supplier ID missing",IF(COUNTIF(INV_ID,B107)=0,"CHECK: Supplier ID not in inventory",IF(E107="","CHECK: Question ID missing",IF(COUNTIF(QB_ID,E107)=0,"CHECK: Question ID not in bank","OK"))))))</f>
        <v/>
      </c>
    </row>
    <row r="108" customFormat="false" ht="15" hidden="false" customHeight="false" outlineLevel="0" collapsed="false">
      <c r="A108" s="50"/>
      <c r="B108" s="50"/>
      <c r="C108" s="59" t="str">
        <f aca="false">IF(B108="","",IFERROR(INDEX(INV_NAME,MATCH(B108,INV_ID,0)),"CHECK: Supplier ID not found"))</f>
        <v/>
      </c>
      <c r="D108" s="63" t="str">
        <f aca="false">IF(B108="","",IFERROR(INDEX(INV_TIER,MATCH(B108,INV_ID,0)),""))</f>
        <v/>
      </c>
      <c r="E108" s="50"/>
      <c r="F108" s="59" t="str">
        <f aca="false">IF(E108="","",IFERROR(INDEX(QB_Q,MATCH(E108,QB_ID,0)),"CHECK: Question ID not found"))</f>
        <v/>
      </c>
      <c r="G108" s="59" t="str">
        <f aca="false">IF(E108="","",IFERROR(INDEX(QB_DOMAIN,MATCH(E108,QB_ID,0)),""))</f>
        <v/>
      </c>
      <c r="H108" s="54" t="str">
        <f aca="false">IF(OR(A108="",E108=""),"",IFERROR(IF(ISNUMBER(MATCH(D108,{"Low","Medium","High"},0)),IF(MATCH(D108,{"Low","Medium","High"},0)&gt;=MATCH(INDEX(QB_MINTIER,MATCH(E108,QB_ID,0)),{"Low","Medium","High"},0),"Recommended for tier","Optional for tier"),"Tier not determined"),"Check question"))</f>
        <v/>
      </c>
      <c r="I108" s="34"/>
      <c r="J108" s="50"/>
      <c r="K108" s="34"/>
      <c r="L108" s="34"/>
      <c r="M108" s="62" t="str">
        <f aca="false">IF(L108="","",SUMPRODUCT(ISNUMBER(SEARCH(","&amp;EV_ID&amp;",",","&amp;SUBSTITUTE(L108," ","")&amp;","))*(EV_ID&lt;&gt;"")))</f>
        <v/>
      </c>
      <c r="N108" s="54" t="str">
        <f aca="false">IF(A108="","",IF(I108&lt;&gt;"Applicable",IF(I108="","Applicability not set","Not in scope ("&amp;I108&amp;")"),IF(OR(J108="",J108="Not answered"),"Awaiting supplier response",IF(J108="Not applicable","Supplier states not applicable - analyst to confirm",IF(L108="","Evidence insufficient - none referenced",IF(M108=0,"Evidence insufficient - referenced ID not found",IF(SUMPRODUCT(ISNUMBER(SEARCH(","&amp;EV_ID&amp;",",","&amp;SUBSTITUTE(L108," ","")&amp;","))*(EV_ID&lt;&gt;"")*(EV_SUFF="Sufficient"))&gt;0,"Evidence reviewed - sufficient",IF(SUMPRODUCT(ISNUMBER(SEARCH(","&amp;EV_ID&amp;",",","&amp;SUBSTITUTE(L108," ","")&amp;","))*(EV_ID&lt;&gt;"")*(EV_SUFF="Partially sufficient"))&gt;0,"Evidence partially sufficient","Evidence insufficient - referenced evidence not sufficient"))))))))</f>
        <v/>
      </c>
      <c r="O108" s="50"/>
      <c r="P108" s="34"/>
      <c r="Q108" s="34"/>
      <c r="R108" s="50"/>
      <c r="S108" s="51"/>
      <c r="T108" s="51"/>
      <c r="U108" s="52" t="str">
        <f aca="false">IF(OR(A108="",Q108=""),"",IF(AND(ISNUMBER(S108),S108&lt;AsOf,O108&lt;&gt;"Reviewed"),"Overdue",""))</f>
        <v/>
      </c>
      <c r="V108" s="54" t="str">
        <f aca="false">IF(A108="","",IF(COUNTIF(QA_ID,A108)&gt;1,"CHECK: duplicate ID",IF(B108="","CHECK: Supplier ID missing",IF(COUNTIF(INV_ID,B108)=0,"CHECK: Supplier ID not in inventory",IF(E108="","CHECK: Question ID missing",IF(COUNTIF(QB_ID,E108)=0,"CHECK: Question ID not in bank","OK"))))))</f>
        <v/>
      </c>
    </row>
    <row r="109" customFormat="false" ht="15" hidden="false" customHeight="false" outlineLevel="0" collapsed="false">
      <c r="A109" s="50"/>
      <c r="B109" s="50"/>
      <c r="C109" s="59" t="str">
        <f aca="false">IF(B109="","",IFERROR(INDEX(INV_NAME,MATCH(B109,INV_ID,0)),"CHECK: Supplier ID not found"))</f>
        <v/>
      </c>
      <c r="D109" s="63" t="str">
        <f aca="false">IF(B109="","",IFERROR(INDEX(INV_TIER,MATCH(B109,INV_ID,0)),""))</f>
        <v/>
      </c>
      <c r="E109" s="50"/>
      <c r="F109" s="59" t="str">
        <f aca="false">IF(E109="","",IFERROR(INDEX(QB_Q,MATCH(E109,QB_ID,0)),"CHECK: Question ID not found"))</f>
        <v/>
      </c>
      <c r="G109" s="59" t="str">
        <f aca="false">IF(E109="","",IFERROR(INDEX(QB_DOMAIN,MATCH(E109,QB_ID,0)),""))</f>
        <v/>
      </c>
      <c r="H109" s="54" t="str">
        <f aca="false">IF(OR(A109="",E109=""),"",IFERROR(IF(ISNUMBER(MATCH(D109,{"Low","Medium","High"},0)),IF(MATCH(D109,{"Low","Medium","High"},0)&gt;=MATCH(INDEX(QB_MINTIER,MATCH(E109,QB_ID,0)),{"Low","Medium","High"},0),"Recommended for tier","Optional for tier"),"Tier not determined"),"Check question"))</f>
        <v/>
      </c>
      <c r="I109" s="34"/>
      <c r="J109" s="50"/>
      <c r="K109" s="34"/>
      <c r="L109" s="34"/>
      <c r="M109" s="62" t="str">
        <f aca="false">IF(L109="","",SUMPRODUCT(ISNUMBER(SEARCH(","&amp;EV_ID&amp;",",","&amp;SUBSTITUTE(L109," ","")&amp;","))*(EV_ID&lt;&gt;"")))</f>
        <v/>
      </c>
      <c r="N109" s="54" t="str">
        <f aca="false">IF(A109="","",IF(I109&lt;&gt;"Applicable",IF(I109="","Applicability not set","Not in scope ("&amp;I109&amp;")"),IF(OR(J109="",J109="Not answered"),"Awaiting supplier response",IF(J109="Not applicable","Supplier states not applicable - analyst to confirm",IF(L109="","Evidence insufficient - none referenced",IF(M109=0,"Evidence insufficient - referenced ID not found",IF(SUMPRODUCT(ISNUMBER(SEARCH(","&amp;EV_ID&amp;",",","&amp;SUBSTITUTE(L109," ","")&amp;","))*(EV_ID&lt;&gt;"")*(EV_SUFF="Sufficient"))&gt;0,"Evidence reviewed - sufficient",IF(SUMPRODUCT(ISNUMBER(SEARCH(","&amp;EV_ID&amp;",",","&amp;SUBSTITUTE(L109," ","")&amp;","))*(EV_ID&lt;&gt;"")*(EV_SUFF="Partially sufficient"))&gt;0,"Evidence partially sufficient","Evidence insufficient - referenced evidence not sufficient"))))))))</f>
        <v/>
      </c>
      <c r="O109" s="50"/>
      <c r="P109" s="34"/>
      <c r="Q109" s="34"/>
      <c r="R109" s="50"/>
      <c r="S109" s="51"/>
      <c r="T109" s="51"/>
      <c r="U109" s="52" t="str">
        <f aca="false">IF(OR(A109="",Q109=""),"",IF(AND(ISNUMBER(S109),S109&lt;AsOf,O109&lt;&gt;"Reviewed"),"Overdue",""))</f>
        <v/>
      </c>
      <c r="V109" s="54" t="str">
        <f aca="false">IF(A109="","",IF(COUNTIF(QA_ID,A109)&gt;1,"CHECK: duplicate ID",IF(B109="","CHECK: Supplier ID missing",IF(COUNTIF(INV_ID,B109)=0,"CHECK: Supplier ID not in inventory",IF(E109="","CHECK: Question ID missing",IF(COUNTIF(QB_ID,E109)=0,"CHECK: Question ID not in bank","OK"))))))</f>
        <v/>
      </c>
    </row>
    <row r="110" customFormat="false" ht="15" hidden="false" customHeight="false" outlineLevel="0" collapsed="false">
      <c r="A110" s="50"/>
      <c r="B110" s="50"/>
      <c r="C110" s="59" t="str">
        <f aca="false">IF(B110="","",IFERROR(INDEX(INV_NAME,MATCH(B110,INV_ID,0)),"CHECK: Supplier ID not found"))</f>
        <v/>
      </c>
      <c r="D110" s="63" t="str">
        <f aca="false">IF(B110="","",IFERROR(INDEX(INV_TIER,MATCH(B110,INV_ID,0)),""))</f>
        <v/>
      </c>
      <c r="E110" s="50"/>
      <c r="F110" s="59" t="str">
        <f aca="false">IF(E110="","",IFERROR(INDEX(QB_Q,MATCH(E110,QB_ID,0)),"CHECK: Question ID not found"))</f>
        <v/>
      </c>
      <c r="G110" s="59" t="str">
        <f aca="false">IF(E110="","",IFERROR(INDEX(QB_DOMAIN,MATCH(E110,QB_ID,0)),""))</f>
        <v/>
      </c>
      <c r="H110" s="54" t="str">
        <f aca="false">IF(OR(A110="",E110=""),"",IFERROR(IF(ISNUMBER(MATCH(D110,{"Low","Medium","High"},0)),IF(MATCH(D110,{"Low","Medium","High"},0)&gt;=MATCH(INDEX(QB_MINTIER,MATCH(E110,QB_ID,0)),{"Low","Medium","High"},0),"Recommended for tier","Optional for tier"),"Tier not determined"),"Check question"))</f>
        <v/>
      </c>
      <c r="I110" s="34"/>
      <c r="J110" s="50"/>
      <c r="K110" s="34"/>
      <c r="L110" s="34"/>
      <c r="M110" s="62" t="str">
        <f aca="false">IF(L110="","",SUMPRODUCT(ISNUMBER(SEARCH(","&amp;EV_ID&amp;",",","&amp;SUBSTITUTE(L110," ","")&amp;","))*(EV_ID&lt;&gt;"")))</f>
        <v/>
      </c>
      <c r="N110" s="54" t="str">
        <f aca="false">IF(A110="","",IF(I110&lt;&gt;"Applicable",IF(I110="","Applicability not set","Not in scope ("&amp;I110&amp;")"),IF(OR(J110="",J110="Not answered"),"Awaiting supplier response",IF(J110="Not applicable","Supplier states not applicable - analyst to confirm",IF(L110="","Evidence insufficient - none referenced",IF(M110=0,"Evidence insufficient - referenced ID not found",IF(SUMPRODUCT(ISNUMBER(SEARCH(","&amp;EV_ID&amp;",",","&amp;SUBSTITUTE(L110," ","")&amp;","))*(EV_ID&lt;&gt;"")*(EV_SUFF="Sufficient"))&gt;0,"Evidence reviewed - sufficient",IF(SUMPRODUCT(ISNUMBER(SEARCH(","&amp;EV_ID&amp;",",","&amp;SUBSTITUTE(L110," ","")&amp;","))*(EV_ID&lt;&gt;"")*(EV_SUFF="Partially sufficient"))&gt;0,"Evidence partially sufficient","Evidence insufficient - referenced evidence not sufficient"))))))))</f>
        <v/>
      </c>
      <c r="O110" s="50"/>
      <c r="P110" s="34"/>
      <c r="Q110" s="34"/>
      <c r="R110" s="50"/>
      <c r="S110" s="51"/>
      <c r="T110" s="51"/>
      <c r="U110" s="52" t="str">
        <f aca="false">IF(OR(A110="",Q110=""),"",IF(AND(ISNUMBER(S110),S110&lt;AsOf,O110&lt;&gt;"Reviewed"),"Overdue",""))</f>
        <v/>
      </c>
      <c r="V110" s="54" t="str">
        <f aca="false">IF(A110="","",IF(COUNTIF(QA_ID,A110)&gt;1,"CHECK: duplicate ID",IF(B110="","CHECK: Supplier ID missing",IF(COUNTIF(INV_ID,B110)=0,"CHECK: Supplier ID not in inventory",IF(E110="","CHECK: Question ID missing",IF(COUNTIF(QB_ID,E110)=0,"CHECK: Question ID not in bank","OK"))))))</f>
        <v/>
      </c>
    </row>
    <row r="111" customFormat="false" ht="15" hidden="false" customHeight="false" outlineLevel="0" collapsed="false">
      <c r="A111" s="50"/>
      <c r="B111" s="50"/>
      <c r="C111" s="59" t="str">
        <f aca="false">IF(B111="","",IFERROR(INDEX(INV_NAME,MATCH(B111,INV_ID,0)),"CHECK: Supplier ID not found"))</f>
        <v/>
      </c>
      <c r="D111" s="63" t="str">
        <f aca="false">IF(B111="","",IFERROR(INDEX(INV_TIER,MATCH(B111,INV_ID,0)),""))</f>
        <v/>
      </c>
      <c r="E111" s="50"/>
      <c r="F111" s="59" t="str">
        <f aca="false">IF(E111="","",IFERROR(INDEX(QB_Q,MATCH(E111,QB_ID,0)),"CHECK: Question ID not found"))</f>
        <v/>
      </c>
      <c r="G111" s="59" t="str">
        <f aca="false">IF(E111="","",IFERROR(INDEX(QB_DOMAIN,MATCH(E111,QB_ID,0)),""))</f>
        <v/>
      </c>
      <c r="H111" s="54" t="str">
        <f aca="false">IF(OR(A111="",E111=""),"",IFERROR(IF(ISNUMBER(MATCH(D111,{"Low","Medium","High"},0)),IF(MATCH(D111,{"Low","Medium","High"},0)&gt;=MATCH(INDEX(QB_MINTIER,MATCH(E111,QB_ID,0)),{"Low","Medium","High"},0),"Recommended for tier","Optional for tier"),"Tier not determined"),"Check question"))</f>
        <v/>
      </c>
      <c r="I111" s="34"/>
      <c r="J111" s="50"/>
      <c r="K111" s="34"/>
      <c r="L111" s="34"/>
      <c r="M111" s="62" t="str">
        <f aca="false">IF(L111="","",SUMPRODUCT(ISNUMBER(SEARCH(","&amp;EV_ID&amp;",",","&amp;SUBSTITUTE(L111," ","")&amp;","))*(EV_ID&lt;&gt;"")))</f>
        <v/>
      </c>
      <c r="N111" s="54" t="str">
        <f aca="false">IF(A111="","",IF(I111&lt;&gt;"Applicable",IF(I111="","Applicability not set","Not in scope ("&amp;I111&amp;")"),IF(OR(J111="",J111="Not answered"),"Awaiting supplier response",IF(J111="Not applicable","Supplier states not applicable - analyst to confirm",IF(L111="","Evidence insufficient - none referenced",IF(M111=0,"Evidence insufficient - referenced ID not found",IF(SUMPRODUCT(ISNUMBER(SEARCH(","&amp;EV_ID&amp;",",","&amp;SUBSTITUTE(L111," ","")&amp;","))*(EV_ID&lt;&gt;"")*(EV_SUFF="Sufficient"))&gt;0,"Evidence reviewed - sufficient",IF(SUMPRODUCT(ISNUMBER(SEARCH(","&amp;EV_ID&amp;",",","&amp;SUBSTITUTE(L111," ","")&amp;","))*(EV_ID&lt;&gt;"")*(EV_SUFF="Partially sufficient"))&gt;0,"Evidence partially sufficient","Evidence insufficient - referenced evidence not sufficient"))))))))</f>
        <v/>
      </c>
      <c r="O111" s="50"/>
      <c r="P111" s="34"/>
      <c r="Q111" s="34"/>
      <c r="R111" s="50"/>
      <c r="S111" s="51"/>
      <c r="T111" s="51"/>
      <c r="U111" s="52" t="str">
        <f aca="false">IF(OR(A111="",Q111=""),"",IF(AND(ISNUMBER(S111),S111&lt;AsOf,O111&lt;&gt;"Reviewed"),"Overdue",""))</f>
        <v/>
      </c>
      <c r="V111" s="54" t="str">
        <f aca="false">IF(A111="","",IF(COUNTIF(QA_ID,A111)&gt;1,"CHECK: duplicate ID",IF(B111="","CHECK: Supplier ID missing",IF(COUNTIF(INV_ID,B111)=0,"CHECK: Supplier ID not in inventory",IF(E111="","CHECK: Question ID missing",IF(COUNTIF(QB_ID,E111)=0,"CHECK: Question ID not in bank","OK"))))))</f>
        <v/>
      </c>
    </row>
    <row r="112" customFormat="false" ht="15" hidden="false" customHeight="false" outlineLevel="0" collapsed="false">
      <c r="A112" s="50"/>
      <c r="B112" s="50"/>
      <c r="C112" s="59" t="str">
        <f aca="false">IF(B112="","",IFERROR(INDEX(INV_NAME,MATCH(B112,INV_ID,0)),"CHECK: Supplier ID not found"))</f>
        <v/>
      </c>
      <c r="D112" s="63" t="str">
        <f aca="false">IF(B112="","",IFERROR(INDEX(INV_TIER,MATCH(B112,INV_ID,0)),""))</f>
        <v/>
      </c>
      <c r="E112" s="50"/>
      <c r="F112" s="59" t="str">
        <f aca="false">IF(E112="","",IFERROR(INDEX(QB_Q,MATCH(E112,QB_ID,0)),"CHECK: Question ID not found"))</f>
        <v/>
      </c>
      <c r="G112" s="59" t="str">
        <f aca="false">IF(E112="","",IFERROR(INDEX(QB_DOMAIN,MATCH(E112,QB_ID,0)),""))</f>
        <v/>
      </c>
      <c r="H112" s="54" t="str">
        <f aca="false">IF(OR(A112="",E112=""),"",IFERROR(IF(ISNUMBER(MATCH(D112,{"Low","Medium","High"},0)),IF(MATCH(D112,{"Low","Medium","High"},0)&gt;=MATCH(INDEX(QB_MINTIER,MATCH(E112,QB_ID,0)),{"Low","Medium","High"},0),"Recommended for tier","Optional for tier"),"Tier not determined"),"Check question"))</f>
        <v/>
      </c>
      <c r="I112" s="34"/>
      <c r="J112" s="50"/>
      <c r="K112" s="34"/>
      <c r="L112" s="34"/>
      <c r="M112" s="62" t="str">
        <f aca="false">IF(L112="","",SUMPRODUCT(ISNUMBER(SEARCH(","&amp;EV_ID&amp;",",","&amp;SUBSTITUTE(L112," ","")&amp;","))*(EV_ID&lt;&gt;"")))</f>
        <v/>
      </c>
      <c r="N112" s="54" t="str">
        <f aca="false">IF(A112="","",IF(I112&lt;&gt;"Applicable",IF(I112="","Applicability not set","Not in scope ("&amp;I112&amp;")"),IF(OR(J112="",J112="Not answered"),"Awaiting supplier response",IF(J112="Not applicable","Supplier states not applicable - analyst to confirm",IF(L112="","Evidence insufficient - none referenced",IF(M112=0,"Evidence insufficient - referenced ID not found",IF(SUMPRODUCT(ISNUMBER(SEARCH(","&amp;EV_ID&amp;",",","&amp;SUBSTITUTE(L112," ","")&amp;","))*(EV_ID&lt;&gt;"")*(EV_SUFF="Sufficient"))&gt;0,"Evidence reviewed - sufficient",IF(SUMPRODUCT(ISNUMBER(SEARCH(","&amp;EV_ID&amp;",",","&amp;SUBSTITUTE(L112," ","")&amp;","))*(EV_ID&lt;&gt;"")*(EV_SUFF="Partially sufficient"))&gt;0,"Evidence partially sufficient","Evidence insufficient - referenced evidence not sufficient"))))))))</f>
        <v/>
      </c>
      <c r="O112" s="50"/>
      <c r="P112" s="34"/>
      <c r="Q112" s="34"/>
      <c r="R112" s="50"/>
      <c r="S112" s="51"/>
      <c r="T112" s="51"/>
      <c r="U112" s="52" t="str">
        <f aca="false">IF(OR(A112="",Q112=""),"",IF(AND(ISNUMBER(S112),S112&lt;AsOf,O112&lt;&gt;"Reviewed"),"Overdue",""))</f>
        <v/>
      </c>
      <c r="V112" s="54" t="str">
        <f aca="false">IF(A112="","",IF(COUNTIF(QA_ID,A112)&gt;1,"CHECK: duplicate ID",IF(B112="","CHECK: Supplier ID missing",IF(COUNTIF(INV_ID,B112)=0,"CHECK: Supplier ID not in inventory",IF(E112="","CHECK: Question ID missing",IF(COUNTIF(QB_ID,E112)=0,"CHECK: Question ID not in bank","OK"))))))</f>
        <v/>
      </c>
    </row>
    <row r="113" customFormat="false" ht="15" hidden="false" customHeight="false" outlineLevel="0" collapsed="false">
      <c r="A113" s="50"/>
      <c r="B113" s="50"/>
      <c r="C113" s="59" t="str">
        <f aca="false">IF(B113="","",IFERROR(INDEX(INV_NAME,MATCH(B113,INV_ID,0)),"CHECK: Supplier ID not found"))</f>
        <v/>
      </c>
      <c r="D113" s="63" t="str">
        <f aca="false">IF(B113="","",IFERROR(INDEX(INV_TIER,MATCH(B113,INV_ID,0)),""))</f>
        <v/>
      </c>
      <c r="E113" s="50"/>
      <c r="F113" s="59" t="str">
        <f aca="false">IF(E113="","",IFERROR(INDEX(QB_Q,MATCH(E113,QB_ID,0)),"CHECK: Question ID not found"))</f>
        <v/>
      </c>
      <c r="G113" s="59" t="str">
        <f aca="false">IF(E113="","",IFERROR(INDEX(QB_DOMAIN,MATCH(E113,QB_ID,0)),""))</f>
        <v/>
      </c>
      <c r="H113" s="54" t="str">
        <f aca="false">IF(OR(A113="",E113=""),"",IFERROR(IF(ISNUMBER(MATCH(D113,{"Low","Medium","High"},0)),IF(MATCH(D113,{"Low","Medium","High"},0)&gt;=MATCH(INDEX(QB_MINTIER,MATCH(E113,QB_ID,0)),{"Low","Medium","High"},0),"Recommended for tier","Optional for tier"),"Tier not determined"),"Check question"))</f>
        <v/>
      </c>
      <c r="I113" s="34"/>
      <c r="J113" s="50"/>
      <c r="K113" s="34"/>
      <c r="L113" s="34"/>
      <c r="M113" s="62" t="str">
        <f aca="false">IF(L113="","",SUMPRODUCT(ISNUMBER(SEARCH(","&amp;EV_ID&amp;",",","&amp;SUBSTITUTE(L113," ","")&amp;","))*(EV_ID&lt;&gt;"")))</f>
        <v/>
      </c>
      <c r="N113" s="54" t="str">
        <f aca="false">IF(A113="","",IF(I113&lt;&gt;"Applicable",IF(I113="","Applicability not set","Not in scope ("&amp;I113&amp;")"),IF(OR(J113="",J113="Not answered"),"Awaiting supplier response",IF(J113="Not applicable","Supplier states not applicable - analyst to confirm",IF(L113="","Evidence insufficient - none referenced",IF(M113=0,"Evidence insufficient - referenced ID not found",IF(SUMPRODUCT(ISNUMBER(SEARCH(","&amp;EV_ID&amp;",",","&amp;SUBSTITUTE(L113," ","")&amp;","))*(EV_ID&lt;&gt;"")*(EV_SUFF="Sufficient"))&gt;0,"Evidence reviewed - sufficient",IF(SUMPRODUCT(ISNUMBER(SEARCH(","&amp;EV_ID&amp;",",","&amp;SUBSTITUTE(L113," ","")&amp;","))*(EV_ID&lt;&gt;"")*(EV_SUFF="Partially sufficient"))&gt;0,"Evidence partially sufficient","Evidence insufficient - referenced evidence not sufficient"))))))))</f>
        <v/>
      </c>
      <c r="O113" s="50"/>
      <c r="P113" s="34"/>
      <c r="Q113" s="34"/>
      <c r="R113" s="50"/>
      <c r="S113" s="51"/>
      <c r="T113" s="51"/>
      <c r="U113" s="52" t="str">
        <f aca="false">IF(OR(A113="",Q113=""),"",IF(AND(ISNUMBER(S113),S113&lt;AsOf,O113&lt;&gt;"Reviewed"),"Overdue",""))</f>
        <v/>
      </c>
      <c r="V113" s="54" t="str">
        <f aca="false">IF(A113="","",IF(COUNTIF(QA_ID,A113)&gt;1,"CHECK: duplicate ID",IF(B113="","CHECK: Supplier ID missing",IF(COUNTIF(INV_ID,B113)=0,"CHECK: Supplier ID not in inventory",IF(E113="","CHECK: Question ID missing",IF(COUNTIF(QB_ID,E113)=0,"CHECK: Question ID not in bank","OK"))))))</f>
        <v/>
      </c>
    </row>
    <row r="114" customFormat="false" ht="15" hidden="false" customHeight="false" outlineLevel="0" collapsed="false">
      <c r="A114" s="50"/>
      <c r="B114" s="50"/>
      <c r="C114" s="59" t="str">
        <f aca="false">IF(B114="","",IFERROR(INDEX(INV_NAME,MATCH(B114,INV_ID,0)),"CHECK: Supplier ID not found"))</f>
        <v/>
      </c>
      <c r="D114" s="63" t="str">
        <f aca="false">IF(B114="","",IFERROR(INDEX(INV_TIER,MATCH(B114,INV_ID,0)),""))</f>
        <v/>
      </c>
      <c r="E114" s="50"/>
      <c r="F114" s="59" t="str">
        <f aca="false">IF(E114="","",IFERROR(INDEX(QB_Q,MATCH(E114,QB_ID,0)),"CHECK: Question ID not found"))</f>
        <v/>
      </c>
      <c r="G114" s="59" t="str">
        <f aca="false">IF(E114="","",IFERROR(INDEX(QB_DOMAIN,MATCH(E114,QB_ID,0)),""))</f>
        <v/>
      </c>
      <c r="H114" s="54" t="str">
        <f aca="false">IF(OR(A114="",E114=""),"",IFERROR(IF(ISNUMBER(MATCH(D114,{"Low","Medium","High"},0)),IF(MATCH(D114,{"Low","Medium","High"},0)&gt;=MATCH(INDEX(QB_MINTIER,MATCH(E114,QB_ID,0)),{"Low","Medium","High"},0),"Recommended for tier","Optional for tier"),"Tier not determined"),"Check question"))</f>
        <v/>
      </c>
      <c r="I114" s="34"/>
      <c r="J114" s="50"/>
      <c r="K114" s="34"/>
      <c r="L114" s="34"/>
      <c r="M114" s="62" t="str">
        <f aca="false">IF(L114="","",SUMPRODUCT(ISNUMBER(SEARCH(","&amp;EV_ID&amp;",",","&amp;SUBSTITUTE(L114," ","")&amp;","))*(EV_ID&lt;&gt;"")))</f>
        <v/>
      </c>
      <c r="N114" s="54" t="str">
        <f aca="false">IF(A114="","",IF(I114&lt;&gt;"Applicable",IF(I114="","Applicability not set","Not in scope ("&amp;I114&amp;")"),IF(OR(J114="",J114="Not answered"),"Awaiting supplier response",IF(J114="Not applicable","Supplier states not applicable - analyst to confirm",IF(L114="","Evidence insufficient - none referenced",IF(M114=0,"Evidence insufficient - referenced ID not found",IF(SUMPRODUCT(ISNUMBER(SEARCH(","&amp;EV_ID&amp;",",","&amp;SUBSTITUTE(L114," ","")&amp;","))*(EV_ID&lt;&gt;"")*(EV_SUFF="Sufficient"))&gt;0,"Evidence reviewed - sufficient",IF(SUMPRODUCT(ISNUMBER(SEARCH(","&amp;EV_ID&amp;",",","&amp;SUBSTITUTE(L114," ","")&amp;","))*(EV_ID&lt;&gt;"")*(EV_SUFF="Partially sufficient"))&gt;0,"Evidence partially sufficient","Evidence insufficient - referenced evidence not sufficient"))))))))</f>
        <v/>
      </c>
      <c r="O114" s="50"/>
      <c r="P114" s="34"/>
      <c r="Q114" s="34"/>
      <c r="R114" s="50"/>
      <c r="S114" s="51"/>
      <c r="T114" s="51"/>
      <c r="U114" s="52" t="str">
        <f aca="false">IF(OR(A114="",Q114=""),"",IF(AND(ISNUMBER(S114),S114&lt;AsOf,O114&lt;&gt;"Reviewed"),"Overdue",""))</f>
        <v/>
      </c>
      <c r="V114" s="54" t="str">
        <f aca="false">IF(A114="","",IF(COUNTIF(QA_ID,A114)&gt;1,"CHECK: duplicate ID",IF(B114="","CHECK: Supplier ID missing",IF(COUNTIF(INV_ID,B114)=0,"CHECK: Supplier ID not in inventory",IF(E114="","CHECK: Question ID missing",IF(COUNTIF(QB_ID,E114)=0,"CHECK: Question ID not in bank","OK"))))))</f>
        <v/>
      </c>
    </row>
    <row r="115" customFormat="false" ht="15" hidden="false" customHeight="false" outlineLevel="0" collapsed="false">
      <c r="A115" s="50"/>
      <c r="B115" s="50"/>
      <c r="C115" s="59" t="str">
        <f aca="false">IF(B115="","",IFERROR(INDEX(INV_NAME,MATCH(B115,INV_ID,0)),"CHECK: Supplier ID not found"))</f>
        <v/>
      </c>
      <c r="D115" s="63" t="str">
        <f aca="false">IF(B115="","",IFERROR(INDEX(INV_TIER,MATCH(B115,INV_ID,0)),""))</f>
        <v/>
      </c>
      <c r="E115" s="50"/>
      <c r="F115" s="59" t="str">
        <f aca="false">IF(E115="","",IFERROR(INDEX(QB_Q,MATCH(E115,QB_ID,0)),"CHECK: Question ID not found"))</f>
        <v/>
      </c>
      <c r="G115" s="59" t="str">
        <f aca="false">IF(E115="","",IFERROR(INDEX(QB_DOMAIN,MATCH(E115,QB_ID,0)),""))</f>
        <v/>
      </c>
      <c r="H115" s="54" t="str">
        <f aca="false">IF(OR(A115="",E115=""),"",IFERROR(IF(ISNUMBER(MATCH(D115,{"Low","Medium","High"},0)),IF(MATCH(D115,{"Low","Medium","High"},0)&gt;=MATCH(INDEX(QB_MINTIER,MATCH(E115,QB_ID,0)),{"Low","Medium","High"},0),"Recommended for tier","Optional for tier"),"Tier not determined"),"Check question"))</f>
        <v/>
      </c>
      <c r="I115" s="34"/>
      <c r="J115" s="50"/>
      <c r="K115" s="34"/>
      <c r="L115" s="34"/>
      <c r="M115" s="62" t="str">
        <f aca="false">IF(L115="","",SUMPRODUCT(ISNUMBER(SEARCH(","&amp;EV_ID&amp;",",","&amp;SUBSTITUTE(L115," ","")&amp;","))*(EV_ID&lt;&gt;"")))</f>
        <v/>
      </c>
      <c r="N115" s="54" t="str">
        <f aca="false">IF(A115="","",IF(I115&lt;&gt;"Applicable",IF(I115="","Applicability not set","Not in scope ("&amp;I115&amp;")"),IF(OR(J115="",J115="Not answered"),"Awaiting supplier response",IF(J115="Not applicable","Supplier states not applicable - analyst to confirm",IF(L115="","Evidence insufficient - none referenced",IF(M115=0,"Evidence insufficient - referenced ID not found",IF(SUMPRODUCT(ISNUMBER(SEARCH(","&amp;EV_ID&amp;",",","&amp;SUBSTITUTE(L115," ","")&amp;","))*(EV_ID&lt;&gt;"")*(EV_SUFF="Sufficient"))&gt;0,"Evidence reviewed - sufficient",IF(SUMPRODUCT(ISNUMBER(SEARCH(","&amp;EV_ID&amp;",",","&amp;SUBSTITUTE(L115," ","")&amp;","))*(EV_ID&lt;&gt;"")*(EV_SUFF="Partially sufficient"))&gt;0,"Evidence partially sufficient","Evidence insufficient - referenced evidence not sufficient"))))))))</f>
        <v/>
      </c>
      <c r="O115" s="50"/>
      <c r="P115" s="34"/>
      <c r="Q115" s="34"/>
      <c r="R115" s="50"/>
      <c r="S115" s="51"/>
      <c r="T115" s="51"/>
      <c r="U115" s="52" t="str">
        <f aca="false">IF(OR(A115="",Q115=""),"",IF(AND(ISNUMBER(S115),S115&lt;AsOf,O115&lt;&gt;"Reviewed"),"Overdue",""))</f>
        <v/>
      </c>
      <c r="V115" s="54" t="str">
        <f aca="false">IF(A115="","",IF(COUNTIF(QA_ID,A115)&gt;1,"CHECK: duplicate ID",IF(B115="","CHECK: Supplier ID missing",IF(COUNTIF(INV_ID,B115)=0,"CHECK: Supplier ID not in inventory",IF(E115="","CHECK: Question ID missing",IF(COUNTIF(QB_ID,E115)=0,"CHECK: Question ID not in bank","OK"))))))</f>
        <v/>
      </c>
    </row>
    <row r="116" customFormat="false" ht="15" hidden="false" customHeight="false" outlineLevel="0" collapsed="false">
      <c r="A116" s="50"/>
      <c r="B116" s="50"/>
      <c r="C116" s="59" t="str">
        <f aca="false">IF(B116="","",IFERROR(INDEX(INV_NAME,MATCH(B116,INV_ID,0)),"CHECK: Supplier ID not found"))</f>
        <v/>
      </c>
      <c r="D116" s="63" t="str">
        <f aca="false">IF(B116="","",IFERROR(INDEX(INV_TIER,MATCH(B116,INV_ID,0)),""))</f>
        <v/>
      </c>
      <c r="E116" s="50"/>
      <c r="F116" s="59" t="str">
        <f aca="false">IF(E116="","",IFERROR(INDEX(QB_Q,MATCH(E116,QB_ID,0)),"CHECK: Question ID not found"))</f>
        <v/>
      </c>
      <c r="G116" s="59" t="str">
        <f aca="false">IF(E116="","",IFERROR(INDEX(QB_DOMAIN,MATCH(E116,QB_ID,0)),""))</f>
        <v/>
      </c>
      <c r="H116" s="54" t="str">
        <f aca="false">IF(OR(A116="",E116=""),"",IFERROR(IF(ISNUMBER(MATCH(D116,{"Low","Medium","High"},0)),IF(MATCH(D116,{"Low","Medium","High"},0)&gt;=MATCH(INDEX(QB_MINTIER,MATCH(E116,QB_ID,0)),{"Low","Medium","High"},0),"Recommended for tier","Optional for tier"),"Tier not determined"),"Check question"))</f>
        <v/>
      </c>
      <c r="I116" s="34"/>
      <c r="J116" s="50"/>
      <c r="K116" s="34"/>
      <c r="L116" s="34"/>
      <c r="M116" s="62" t="str">
        <f aca="false">IF(L116="","",SUMPRODUCT(ISNUMBER(SEARCH(","&amp;EV_ID&amp;",",","&amp;SUBSTITUTE(L116," ","")&amp;","))*(EV_ID&lt;&gt;"")))</f>
        <v/>
      </c>
      <c r="N116" s="54" t="str">
        <f aca="false">IF(A116="","",IF(I116&lt;&gt;"Applicable",IF(I116="","Applicability not set","Not in scope ("&amp;I116&amp;")"),IF(OR(J116="",J116="Not answered"),"Awaiting supplier response",IF(J116="Not applicable","Supplier states not applicable - analyst to confirm",IF(L116="","Evidence insufficient - none referenced",IF(M116=0,"Evidence insufficient - referenced ID not found",IF(SUMPRODUCT(ISNUMBER(SEARCH(","&amp;EV_ID&amp;",",","&amp;SUBSTITUTE(L116," ","")&amp;","))*(EV_ID&lt;&gt;"")*(EV_SUFF="Sufficient"))&gt;0,"Evidence reviewed - sufficient",IF(SUMPRODUCT(ISNUMBER(SEARCH(","&amp;EV_ID&amp;",",","&amp;SUBSTITUTE(L116," ","")&amp;","))*(EV_ID&lt;&gt;"")*(EV_SUFF="Partially sufficient"))&gt;0,"Evidence partially sufficient","Evidence insufficient - referenced evidence not sufficient"))))))))</f>
        <v/>
      </c>
      <c r="O116" s="50"/>
      <c r="P116" s="34"/>
      <c r="Q116" s="34"/>
      <c r="R116" s="50"/>
      <c r="S116" s="51"/>
      <c r="T116" s="51"/>
      <c r="U116" s="52" t="str">
        <f aca="false">IF(OR(A116="",Q116=""),"",IF(AND(ISNUMBER(S116),S116&lt;AsOf,O116&lt;&gt;"Reviewed"),"Overdue",""))</f>
        <v/>
      </c>
      <c r="V116" s="54" t="str">
        <f aca="false">IF(A116="","",IF(COUNTIF(QA_ID,A116)&gt;1,"CHECK: duplicate ID",IF(B116="","CHECK: Supplier ID missing",IF(COUNTIF(INV_ID,B116)=0,"CHECK: Supplier ID not in inventory",IF(E116="","CHECK: Question ID missing",IF(COUNTIF(QB_ID,E116)=0,"CHECK: Question ID not in bank","OK"))))))</f>
        <v/>
      </c>
    </row>
    <row r="117" customFormat="false" ht="15" hidden="false" customHeight="false" outlineLevel="0" collapsed="false">
      <c r="A117" s="50"/>
      <c r="B117" s="50"/>
      <c r="C117" s="59" t="str">
        <f aca="false">IF(B117="","",IFERROR(INDEX(INV_NAME,MATCH(B117,INV_ID,0)),"CHECK: Supplier ID not found"))</f>
        <v/>
      </c>
      <c r="D117" s="63" t="str">
        <f aca="false">IF(B117="","",IFERROR(INDEX(INV_TIER,MATCH(B117,INV_ID,0)),""))</f>
        <v/>
      </c>
      <c r="E117" s="50"/>
      <c r="F117" s="59" t="str">
        <f aca="false">IF(E117="","",IFERROR(INDEX(QB_Q,MATCH(E117,QB_ID,0)),"CHECK: Question ID not found"))</f>
        <v/>
      </c>
      <c r="G117" s="59" t="str">
        <f aca="false">IF(E117="","",IFERROR(INDEX(QB_DOMAIN,MATCH(E117,QB_ID,0)),""))</f>
        <v/>
      </c>
      <c r="H117" s="54" t="str">
        <f aca="false">IF(OR(A117="",E117=""),"",IFERROR(IF(ISNUMBER(MATCH(D117,{"Low","Medium","High"},0)),IF(MATCH(D117,{"Low","Medium","High"},0)&gt;=MATCH(INDEX(QB_MINTIER,MATCH(E117,QB_ID,0)),{"Low","Medium","High"},0),"Recommended for tier","Optional for tier"),"Tier not determined"),"Check question"))</f>
        <v/>
      </c>
      <c r="I117" s="34"/>
      <c r="J117" s="50"/>
      <c r="K117" s="34"/>
      <c r="L117" s="34"/>
      <c r="M117" s="62" t="str">
        <f aca="false">IF(L117="","",SUMPRODUCT(ISNUMBER(SEARCH(","&amp;EV_ID&amp;",",","&amp;SUBSTITUTE(L117," ","")&amp;","))*(EV_ID&lt;&gt;"")))</f>
        <v/>
      </c>
      <c r="N117" s="54" t="str">
        <f aca="false">IF(A117="","",IF(I117&lt;&gt;"Applicable",IF(I117="","Applicability not set","Not in scope ("&amp;I117&amp;")"),IF(OR(J117="",J117="Not answered"),"Awaiting supplier response",IF(J117="Not applicable","Supplier states not applicable - analyst to confirm",IF(L117="","Evidence insufficient - none referenced",IF(M117=0,"Evidence insufficient - referenced ID not found",IF(SUMPRODUCT(ISNUMBER(SEARCH(","&amp;EV_ID&amp;",",","&amp;SUBSTITUTE(L117," ","")&amp;","))*(EV_ID&lt;&gt;"")*(EV_SUFF="Sufficient"))&gt;0,"Evidence reviewed - sufficient",IF(SUMPRODUCT(ISNUMBER(SEARCH(","&amp;EV_ID&amp;",",","&amp;SUBSTITUTE(L117," ","")&amp;","))*(EV_ID&lt;&gt;"")*(EV_SUFF="Partially sufficient"))&gt;0,"Evidence partially sufficient","Evidence insufficient - referenced evidence not sufficient"))))))))</f>
        <v/>
      </c>
      <c r="O117" s="50"/>
      <c r="P117" s="34"/>
      <c r="Q117" s="34"/>
      <c r="R117" s="50"/>
      <c r="S117" s="51"/>
      <c r="T117" s="51"/>
      <c r="U117" s="52" t="str">
        <f aca="false">IF(OR(A117="",Q117=""),"",IF(AND(ISNUMBER(S117),S117&lt;AsOf,O117&lt;&gt;"Reviewed"),"Overdue",""))</f>
        <v/>
      </c>
      <c r="V117" s="54" t="str">
        <f aca="false">IF(A117="","",IF(COUNTIF(QA_ID,A117)&gt;1,"CHECK: duplicate ID",IF(B117="","CHECK: Supplier ID missing",IF(COUNTIF(INV_ID,B117)=0,"CHECK: Supplier ID not in inventory",IF(E117="","CHECK: Question ID missing",IF(COUNTIF(QB_ID,E117)=0,"CHECK: Question ID not in bank","OK"))))))</f>
        <v/>
      </c>
    </row>
    <row r="118" customFormat="false" ht="15" hidden="false" customHeight="false" outlineLevel="0" collapsed="false">
      <c r="A118" s="50"/>
      <c r="B118" s="50"/>
      <c r="C118" s="59" t="str">
        <f aca="false">IF(B118="","",IFERROR(INDEX(INV_NAME,MATCH(B118,INV_ID,0)),"CHECK: Supplier ID not found"))</f>
        <v/>
      </c>
      <c r="D118" s="63" t="str">
        <f aca="false">IF(B118="","",IFERROR(INDEX(INV_TIER,MATCH(B118,INV_ID,0)),""))</f>
        <v/>
      </c>
      <c r="E118" s="50"/>
      <c r="F118" s="59" t="str">
        <f aca="false">IF(E118="","",IFERROR(INDEX(QB_Q,MATCH(E118,QB_ID,0)),"CHECK: Question ID not found"))</f>
        <v/>
      </c>
      <c r="G118" s="59" t="str">
        <f aca="false">IF(E118="","",IFERROR(INDEX(QB_DOMAIN,MATCH(E118,QB_ID,0)),""))</f>
        <v/>
      </c>
      <c r="H118" s="54" t="str">
        <f aca="false">IF(OR(A118="",E118=""),"",IFERROR(IF(ISNUMBER(MATCH(D118,{"Low","Medium","High"},0)),IF(MATCH(D118,{"Low","Medium","High"},0)&gt;=MATCH(INDEX(QB_MINTIER,MATCH(E118,QB_ID,0)),{"Low","Medium","High"},0),"Recommended for tier","Optional for tier"),"Tier not determined"),"Check question"))</f>
        <v/>
      </c>
      <c r="I118" s="34"/>
      <c r="J118" s="50"/>
      <c r="K118" s="34"/>
      <c r="L118" s="34"/>
      <c r="M118" s="62" t="str">
        <f aca="false">IF(L118="","",SUMPRODUCT(ISNUMBER(SEARCH(","&amp;EV_ID&amp;",",","&amp;SUBSTITUTE(L118," ","")&amp;","))*(EV_ID&lt;&gt;"")))</f>
        <v/>
      </c>
      <c r="N118" s="54" t="str">
        <f aca="false">IF(A118="","",IF(I118&lt;&gt;"Applicable",IF(I118="","Applicability not set","Not in scope ("&amp;I118&amp;")"),IF(OR(J118="",J118="Not answered"),"Awaiting supplier response",IF(J118="Not applicable","Supplier states not applicable - analyst to confirm",IF(L118="","Evidence insufficient - none referenced",IF(M118=0,"Evidence insufficient - referenced ID not found",IF(SUMPRODUCT(ISNUMBER(SEARCH(","&amp;EV_ID&amp;",",","&amp;SUBSTITUTE(L118," ","")&amp;","))*(EV_ID&lt;&gt;"")*(EV_SUFF="Sufficient"))&gt;0,"Evidence reviewed - sufficient",IF(SUMPRODUCT(ISNUMBER(SEARCH(","&amp;EV_ID&amp;",",","&amp;SUBSTITUTE(L118," ","")&amp;","))*(EV_ID&lt;&gt;"")*(EV_SUFF="Partially sufficient"))&gt;0,"Evidence partially sufficient","Evidence insufficient - referenced evidence not sufficient"))))))))</f>
        <v/>
      </c>
      <c r="O118" s="50"/>
      <c r="P118" s="34"/>
      <c r="Q118" s="34"/>
      <c r="R118" s="50"/>
      <c r="S118" s="51"/>
      <c r="T118" s="51"/>
      <c r="U118" s="52" t="str">
        <f aca="false">IF(OR(A118="",Q118=""),"",IF(AND(ISNUMBER(S118),S118&lt;AsOf,O118&lt;&gt;"Reviewed"),"Overdue",""))</f>
        <v/>
      </c>
      <c r="V118" s="54" t="str">
        <f aca="false">IF(A118="","",IF(COUNTIF(QA_ID,A118)&gt;1,"CHECK: duplicate ID",IF(B118="","CHECK: Supplier ID missing",IF(COUNTIF(INV_ID,B118)=0,"CHECK: Supplier ID not in inventory",IF(E118="","CHECK: Question ID missing",IF(COUNTIF(QB_ID,E118)=0,"CHECK: Question ID not in bank","OK"))))))</f>
        <v/>
      </c>
    </row>
    <row r="119" customFormat="false" ht="15" hidden="false" customHeight="false" outlineLevel="0" collapsed="false">
      <c r="A119" s="50"/>
      <c r="B119" s="50"/>
      <c r="C119" s="59" t="str">
        <f aca="false">IF(B119="","",IFERROR(INDEX(INV_NAME,MATCH(B119,INV_ID,0)),"CHECK: Supplier ID not found"))</f>
        <v/>
      </c>
      <c r="D119" s="63" t="str">
        <f aca="false">IF(B119="","",IFERROR(INDEX(INV_TIER,MATCH(B119,INV_ID,0)),""))</f>
        <v/>
      </c>
      <c r="E119" s="50"/>
      <c r="F119" s="59" t="str">
        <f aca="false">IF(E119="","",IFERROR(INDEX(QB_Q,MATCH(E119,QB_ID,0)),"CHECK: Question ID not found"))</f>
        <v/>
      </c>
      <c r="G119" s="59" t="str">
        <f aca="false">IF(E119="","",IFERROR(INDEX(QB_DOMAIN,MATCH(E119,QB_ID,0)),""))</f>
        <v/>
      </c>
      <c r="H119" s="54" t="str">
        <f aca="false">IF(OR(A119="",E119=""),"",IFERROR(IF(ISNUMBER(MATCH(D119,{"Low","Medium","High"},0)),IF(MATCH(D119,{"Low","Medium","High"},0)&gt;=MATCH(INDEX(QB_MINTIER,MATCH(E119,QB_ID,0)),{"Low","Medium","High"},0),"Recommended for tier","Optional for tier"),"Tier not determined"),"Check question"))</f>
        <v/>
      </c>
      <c r="I119" s="34"/>
      <c r="J119" s="50"/>
      <c r="K119" s="34"/>
      <c r="L119" s="34"/>
      <c r="M119" s="62" t="str">
        <f aca="false">IF(L119="","",SUMPRODUCT(ISNUMBER(SEARCH(","&amp;EV_ID&amp;",",","&amp;SUBSTITUTE(L119," ","")&amp;","))*(EV_ID&lt;&gt;"")))</f>
        <v/>
      </c>
      <c r="N119" s="54" t="str">
        <f aca="false">IF(A119="","",IF(I119&lt;&gt;"Applicable",IF(I119="","Applicability not set","Not in scope ("&amp;I119&amp;")"),IF(OR(J119="",J119="Not answered"),"Awaiting supplier response",IF(J119="Not applicable","Supplier states not applicable - analyst to confirm",IF(L119="","Evidence insufficient - none referenced",IF(M119=0,"Evidence insufficient - referenced ID not found",IF(SUMPRODUCT(ISNUMBER(SEARCH(","&amp;EV_ID&amp;",",","&amp;SUBSTITUTE(L119," ","")&amp;","))*(EV_ID&lt;&gt;"")*(EV_SUFF="Sufficient"))&gt;0,"Evidence reviewed - sufficient",IF(SUMPRODUCT(ISNUMBER(SEARCH(","&amp;EV_ID&amp;",",","&amp;SUBSTITUTE(L119," ","")&amp;","))*(EV_ID&lt;&gt;"")*(EV_SUFF="Partially sufficient"))&gt;0,"Evidence partially sufficient","Evidence insufficient - referenced evidence not sufficient"))))))))</f>
        <v/>
      </c>
      <c r="O119" s="50"/>
      <c r="P119" s="34"/>
      <c r="Q119" s="34"/>
      <c r="R119" s="50"/>
      <c r="S119" s="51"/>
      <c r="T119" s="51"/>
      <c r="U119" s="52" t="str">
        <f aca="false">IF(OR(A119="",Q119=""),"",IF(AND(ISNUMBER(S119),S119&lt;AsOf,O119&lt;&gt;"Reviewed"),"Overdue",""))</f>
        <v/>
      </c>
      <c r="V119" s="54" t="str">
        <f aca="false">IF(A119="","",IF(COUNTIF(QA_ID,A119)&gt;1,"CHECK: duplicate ID",IF(B119="","CHECK: Supplier ID missing",IF(COUNTIF(INV_ID,B119)=0,"CHECK: Supplier ID not in inventory",IF(E119="","CHECK: Question ID missing",IF(COUNTIF(QB_ID,E119)=0,"CHECK: Question ID not in bank","OK"))))))</f>
        <v/>
      </c>
    </row>
    <row r="120" customFormat="false" ht="15" hidden="false" customHeight="false" outlineLevel="0" collapsed="false">
      <c r="A120" s="50"/>
      <c r="B120" s="50"/>
      <c r="C120" s="59" t="str">
        <f aca="false">IF(B120="","",IFERROR(INDEX(INV_NAME,MATCH(B120,INV_ID,0)),"CHECK: Supplier ID not found"))</f>
        <v/>
      </c>
      <c r="D120" s="63" t="str">
        <f aca="false">IF(B120="","",IFERROR(INDEX(INV_TIER,MATCH(B120,INV_ID,0)),""))</f>
        <v/>
      </c>
      <c r="E120" s="50"/>
      <c r="F120" s="59" t="str">
        <f aca="false">IF(E120="","",IFERROR(INDEX(QB_Q,MATCH(E120,QB_ID,0)),"CHECK: Question ID not found"))</f>
        <v/>
      </c>
      <c r="G120" s="59" t="str">
        <f aca="false">IF(E120="","",IFERROR(INDEX(QB_DOMAIN,MATCH(E120,QB_ID,0)),""))</f>
        <v/>
      </c>
      <c r="H120" s="54" t="str">
        <f aca="false">IF(OR(A120="",E120=""),"",IFERROR(IF(ISNUMBER(MATCH(D120,{"Low","Medium","High"},0)),IF(MATCH(D120,{"Low","Medium","High"},0)&gt;=MATCH(INDEX(QB_MINTIER,MATCH(E120,QB_ID,0)),{"Low","Medium","High"},0),"Recommended for tier","Optional for tier"),"Tier not determined"),"Check question"))</f>
        <v/>
      </c>
      <c r="I120" s="34"/>
      <c r="J120" s="50"/>
      <c r="K120" s="34"/>
      <c r="L120" s="34"/>
      <c r="M120" s="62" t="str">
        <f aca="false">IF(L120="","",SUMPRODUCT(ISNUMBER(SEARCH(","&amp;EV_ID&amp;",",","&amp;SUBSTITUTE(L120," ","")&amp;","))*(EV_ID&lt;&gt;"")))</f>
        <v/>
      </c>
      <c r="N120" s="54" t="str">
        <f aca="false">IF(A120="","",IF(I120&lt;&gt;"Applicable",IF(I120="","Applicability not set","Not in scope ("&amp;I120&amp;")"),IF(OR(J120="",J120="Not answered"),"Awaiting supplier response",IF(J120="Not applicable","Supplier states not applicable - analyst to confirm",IF(L120="","Evidence insufficient - none referenced",IF(M120=0,"Evidence insufficient - referenced ID not found",IF(SUMPRODUCT(ISNUMBER(SEARCH(","&amp;EV_ID&amp;",",","&amp;SUBSTITUTE(L120," ","")&amp;","))*(EV_ID&lt;&gt;"")*(EV_SUFF="Sufficient"))&gt;0,"Evidence reviewed - sufficient",IF(SUMPRODUCT(ISNUMBER(SEARCH(","&amp;EV_ID&amp;",",","&amp;SUBSTITUTE(L120," ","")&amp;","))*(EV_ID&lt;&gt;"")*(EV_SUFF="Partially sufficient"))&gt;0,"Evidence partially sufficient","Evidence insufficient - referenced evidence not sufficient"))))))))</f>
        <v/>
      </c>
      <c r="O120" s="50"/>
      <c r="P120" s="34"/>
      <c r="Q120" s="34"/>
      <c r="R120" s="50"/>
      <c r="S120" s="51"/>
      <c r="T120" s="51"/>
      <c r="U120" s="52" t="str">
        <f aca="false">IF(OR(A120="",Q120=""),"",IF(AND(ISNUMBER(S120),S120&lt;AsOf,O120&lt;&gt;"Reviewed"),"Overdue",""))</f>
        <v/>
      </c>
      <c r="V120" s="54" t="str">
        <f aca="false">IF(A120="","",IF(COUNTIF(QA_ID,A120)&gt;1,"CHECK: duplicate ID",IF(B120="","CHECK: Supplier ID missing",IF(COUNTIF(INV_ID,B120)=0,"CHECK: Supplier ID not in inventory",IF(E120="","CHECK: Question ID missing",IF(COUNTIF(QB_ID,E120)=0,"CHECK: Question ID not in bank","OK"))))))</f>
        <v/>
      </c>
    </row>
    <row r="121" customFormat="false" ht="15" hidden="false" customHeight="false" outlineLevel="0" collapsed="false">
      <c r="A121" s="50"/>
      <c r="B121" s="50"/>
      <c r="C121" s="59" t="str">
        <f aca="false">IF(B121="","",IFERROR(INDEX(INV_NAME,MATCH(B121,INV_ID,0)),"CHECK: Supplier ID not found"))</f>
        <v/>
      </c>
      <c r="D121" s="63" t="str">
        <f aca="false">IF(B121="","",IFERROR(INDEX(INV_TIER,MATCH(B121,INV_ID,0)),""))</f>
        <v/>
      </c>
      <c r="E121" s="50"/>
      <c r="F121" s="59" t="str">
        <f aca="false">IF(E121="","",IFERROR(INDEX(QB_Q,MATCH(E121,QB_ID,0)),"CHECK: Question ID not found"))</f>
        <v/>
      </c>
      <c r="G121" s="59" t="str">
        <f aca="false">IF(E121="","",IFERROR(INDEX(QB_DOMAIN,MATCH(E121,QB_ID,0)),""))</f>
        <v/>
      </c>
      <c r="H121" s="54" t="str">
        <f aca="false">IF(OR(A121="",E121=""),"",IFERROR(IF(ISNUMBER(MATCH(D121,{"Low","Medium","High"},0)),IF(MATCH(D121,{"Low","Medium","High"},0)&gt;=MATCH(INDEX(QB_MINTIER,MATCH(E121,QB_ID,0)),{"Low","Medium","High"},0),"Recommended for tier","Optional for tier"),"Tier not determined"),"Check question"))</f>
        <v/>
      </c>
      <c r="I121" s="34"/>
      <c r="J121" s="50"/>
      <c r="K121" s="34"/>
      <c r="L121" s="34"/>
      <c r="M121" s="62" t="str">
        <f aca="false">IF(L121="","",SUMPRODUCT(ISNUMBER(SEARCH(","&amp;EV_ID&amp;",",","&amp;SUBSTITUTE(L121," ","")&amp;","))*(EV_ID&lt;&gt;"")))</f>
        <v/>
      </c>
      <c r="N121" s="54" t="str">
        <f aca="false">IF(A121="","",IF(I121&lt;&gt;"Applicable",IF(I121="","Applicability not set","Not in scope ("&amp;I121&amp;")"),IF(OR(J121="",J121="Not answered"),"Awaiting supplier response",IF(J121="Not applicable","Supplier states not applicable - analyst to confirm",IF(L121="","Evidence insufficient - none referenced",IF(M121=0,"Evidence insufficient - referenced ID not found",IF(SUMPRODUCT(ISNUMBER(SEARCH(","&amp;EV_ID&amp;",",","&amp;SUBSTITUTE(L121," ","")&amp;","))*(EV_ID&lt;&gt;"")*(EV_SUFF="Sufficient"))&gt;0,"Evidence reviewed - sufficient",IF(SUMPRODUCT(ISNUMBER(SEARCH(","&amp;EV_ID&amp;",",","&amp;SUBSTITUTE(L121," ","")&amp;","))*(EV_ID&lt;&gt;"")*(EV_SUFF="Partially sufficient"))&gt;0,"Evidence partially sufficient","Evidence insufficient - referenced evidence not sufficient"))))))))</f>
        <v/>
      </c>
      <c r="O121" s="50"/>
      <c r="P121" s="34"/>
      <c r="Q121" s="34"/>
      <c r="R121" s="50"/>
      <c r="S121" s="51"/>
      <c r="T121" s="51"/>
      <c r="U121" s="52" t="str">
        <f aca="false">IF(OR(A121="",Q121=""),"",IF(AND(ISNUMBER(S121),S121&lt;AsOf,O121&lt;&gt;"Reviewed"),"Overdue",""))</f>
        <v/>
      </c>
      <c r="V121" s="54" t="str">
        <f aca="false">IF(A121="","",IF(COUNTIF(QA_ID,A121)&gt;1,"CHECK: duplicate ID",IF(B121="","CHECK: Supplier ID missing",IF(COUNTIF(INV_ID,B121)=0,"CHECK: Supplier ID not in inventory",IF(E121="","CHECK: Question ID missing",IF(COUNTIF(QB_ID,E121)=0,"CHECK: Question ID not in bank","OK"))))))</f>
        <v/>
      </c>
    </row>
    <row r="122" customFormat="false" ht="15" hidden="false" customHeight="false" outlineLevel="0" collapsed="false">
      <c r="A122" s="50"/>
      <c r="B122" s="50"/>
      <c r="C122" s="59" t="str">
        <f aca="false">IF(B122="","",IFERROR(INDEX(INV_NAME,MATCH(B122,INV_ID,0)),"CHECK: Supplier ID not found"))</f>
        <v/>
      </c>
      <c r="D122" s="63" t="str">
        <f aca="false">IF(B122="","",IFERROR(INDEX(INV_TIER,MATCH(B122,INV_ID,0)),""))</f>
        <v/>
      </c>
      <c r="E122" s="50"/>
      <c r="F122" s="59" t="str">
        <f aca="false">IF(E122="","",IFERROR(INDEX(QB_Q,MATCH(E122,QB_ID,0)),"CHECK: Question ID not found"))</f>
        <v/>
      </c>
      <c r="G122" s="59" t="str">
        <f aca="false">IF(E122="","",IFERROR(INDEX(QB_DOMAIN,MATCH(E122,QB_ID,0)),""))</f>
        <v/>
      </c>
      <c r="H122" s="54" t="str">
        <f aca="false">IF(OR(A122="",E122=""),"",IFERROR(IF(ISNUMBER(MATCH(D122,{"Low","Medium","High"},0)),IF(MATCH(D122,{"Low","Medium","High"},0)&gt;=MATCH(INDEX(QB_MINTIER,MATCH(E122,QB_ID,0)),{"Low","Medium","High"},0),"Recommended for tier","Optional for tier"),"Tier not determined"),"Check question"))</f>
        <v/>
      </c>
      <c r="I122" s="34"/>
      <c r="J122" s="50"/>
      <c r="K122" s="34"/>
      <c r="L122" s="34"/>
      <c r="M122" s="62" t="str">
        <f aca="false">IF(L122="","",SUMPRODUCT(ISNUMBER(SEARCH(","&amp;EV_ID&amp;",",","&amp;SUBSTITUTE(L122," ","")&amp;","))*(EV_ID&lt;&gt;"")))</f>
        <v/>
      </c>
      <c r="N122" s="54" t="str">
        <f aca="false">IF(A122="","",IF(I122&lt;&gt;"Applicable",IF(I122="","Applicability not set","Not in scope ("&amp;I122&amp;")"),IF(OR(J122="",J122="Not answered"),"Awaiting supplier response",IF(J122="Not applicable","Supplier states not applicable - analyst to confirm",IF(L122="","Evidence insufficient - none referenced",IF(M122=0,"Evidence insufficient - referenced ID not found",IF(SUMPRODUCT(ISNUMBER(SEARCH(","&amp;EV_ID&amp;",",","&amp;SUBSTITUTE(L122," ","")&amp;","))*(EV_ID&lt;&gt;"")*(EV_SUFF="Sufficient"))&gt;0,"Evidence reviewed - sufficient",IF(SUMPRODUCT(ISNUMBER(SEARCH(","&amp;EV_ID&amp;",",","&amp;SUBSTITUTE(L122," ","")&amp;","))*(EV_ID&lt;&gt;"")*(EV_SUFF="Partially sufficient"))&gt;0,"Evidence partially sufficient","Evidence insufficient - referenced evidence not sufficient"))))))))</f>
        <v/>
      </c>
      <c r="O122" s="50"/>
      <c r="P122" s="34"/>
      <c r="Q122" s="34"/>
      <c r="R122" s="50"/>
      <c r="S122" s="51"/>
      <c r="T122" s="51"/>
      <c r="U122" s="52" t="str">
        <f aca="false">IF(OR(A122="",Q122=""),"",IF(AND(ISNUMBER(S122),S122&lt;AsOf,O122&lt;&gt;"Reviewed"),"Overdue",""))</f>
        <v/>
      </c>
      <c r="V122" s="54" t="str">
        <f aca="false">IF(A122="","",IF(COUNTIF(QA_ID,A122)&gt;1,"CHECK: duplicate ID",IF(B122="","CHECK: Supplier ID missing",IF(COUNTIF(INV_ID,B122)=0,"CHECK: Supplier ID not in inventory",IF(E122="","CHECK: Question ID missing",IF(COUNTIF(QB_ID,E122)=0,"CHECK: Question ID not in bank","OK"))))))</f>
        <v/>
      </c>
    </row>
    <row r="123" customFormat="false" ht="15" hidden="false" customHeight="false" outlineLevel="0" collapsed="false">
      <c r="A123" s="50"/>
      <c r="B123" s="50"/>
      <c r="C123" s="59" t="str">
        <f aca="false">IF(B123="","",IFERROR(INDEX(INV_NAME,MATCH(B123,INV_ID,0)),"CHECK: Supplier ID not found"))</f>
        <v/>
      </c>
      <c r="D123" s="63" t="str">
        <f aca="false">IF(B123="","",IFERROR(INDEX(INV_TIER,MATCH(B123,INV_ID,0)),""))</f>
        <v/>
      </c>
      <c r="E123" s="50"/>
      <c r="F123" s="59" t="str">
        <f aca="false">IF(E123="","",IFERROR(INDEX(QB_Q,MATCH(E123,QB_ID,0)),"CHECK: Question ID not found"))</f>
        <v/>
      </c>
      <c r="G123" s="59" t="str">
        <f aca="false">IF(E123="","",IFERROR(INDEX(QB_DOMAIN,MATCH(E123,QB_ID,0)),""))</f>
        <v/>
      </c>
      <c r="H123" s="54" t="str">
        <f aca="false">IF(OR(A123="",E123=""),"",IFERROR(IF(ISNUMBER(MATCH(D123,{"Low","Medium","High"},0)),IF(MATCH(D123,{"Low","Medium","High"},0)&gt;=MATCH(INDEX(QB_MINTIER,MATCH(E123,QB_ID,0)),{"Low","Medium","High"},0),"Recommended for tier","Optional for tier"),"Tier not determined"),"Check question"))</f>
        <v/>
      </c>
      <c r="I123" s="34"/>
      <c r="J123" s="50"/>
      <c r="K123" s="34"/>
      <c r="L123" s="34"/>
      <c r="M123" s="62" t="str">
        <f aca="false">IF(L123="","",SUMPRODUCT(ISNUMBER(SEARCH(","&amp;EV_ID&amp;",",","&amp;SUBSTITUTE(L123," ","")&amp;","))*(EV_ID&lt;&gt;"")))</f>
        <v/>
      </c>
      <c r="N123" s="54" t="str">
        <f aca="false">IF(A123="","",IF(I123&lt;&gt;"Applicable",IF(I123="","Applicability not set","Not in scope ("&amp;I123&amp;")"),IF(OR(J123="",J123="Not answered"),"Awaiting supplier response",IF(J123="Not applicable","Supplier states not applicable - analyst to confirm",IF(L123="","Evidence insufficient - none referenced",IF(M123=0,"Evidence insufficient - referenced ID not found",IF(SUMPRODUCT(ISNUMBER(SEARCH(","&amp;EV_ID&amp;",",","&amp;SUBSTITUTE(L123," ","")&amp;","))*(EV_ID&lt;&gt;"")*(EV_SUFF="Sufficient"))&gt;0,"Evidence reviewed - sufficient",IF(SUMPRODUCT(ISNUMBER(SEARCH(","&amp;EV_ID&amp;",",","&amp;SUBSTITUTE(L123," ","")&amp;","))*(EV_ID&lt;&gt;"")*(EV_SUFF="Partially sufficient"))&gt;0,"Evidence partially sufficient","Evidence insufficient - referenced evidence not sufficient"))))))))</f>
        <v/>
      </c>
      <c r="O123" s="50"/>
      <c r="P123" s="34"/>
      <c r="Q123" s="34"/>
      <c r="R123" s="50"/>
      <c r="S123" s="51"/>
      <c r="T123" s="51"/>
      <c r="U123" s="52" t="str">
        <f aca="false">IF(OR(A123="",Q123=""),"",IF(AND(ISNUMBER(S123),S123&lt;AsOf,O123&lt;&gt;"Reviewed"),"Overdue",""))</f>
        <v/>
      </c>
      <c r="V123" s="54" t="str">
        <f aca="false">IF(A123="","",IF(COUNTIF(QA_ID,A123)&gt;1,"CHECK: duplicate ID",IF(B123="","CHECK: Supplier ID missing",IF(COUNTIF(INV_ID,B123)=0,"CHECK: Supplier ID not in inventory",IF(E123="","CHECK: Question ID missing",IF(COUNTIF(QB_ID,E123)=0,"CHECK: Question ID not in bank","OK"))))))</f>
        <v/>
      </c>
    </row>
    <row r="124" customFormat="false" ht="15" hidden="false" customHeight="false" outlineLevel="0" collapsed="false">
      <c r="A124" s="50"/>
      <c r="B124" s="50"/>
      <c r="C124" s="59" t="str">
        <f aca="false">IF(B124="","",IFERROR(INDEX(INV_NAME,MATCH(B124,INV_ID,0)),"CHECK: Supplier ID not found"))</f>
        <v/>
      </c>
      <c r="D124" s="63" t="str">
        <f aca="false">IF(B124="","",IFERROR(INDEX(INV_TIER,MATCH(B124,INV_ID,0)),""))</f>
        <v/>
      </c>
      <c r="E124" s="50"/>
      <c r="F124" s="59" t="str">
        <f aca="false">IF(E124="","",IFERROR(INDEX(QB_Q,MATCH(E124,QB_ID,0)),"CHECK: Question ID not found"))</f>
        <v/>
      </c>
      <c r="G124" s="59" t="str">
        <f aca="false">IF(E124="","",IFERROR(INDEX(QB_DOMAIN,MATCH(E124,QB_ID,0)),""))</f>
        <v/>
      </c>
      <c r="H124" s="54" t="str">
        <f aca="false">IF(OR(A124="",E124=""),"",IFERROR(IF(ISNUMBER(MATCH(D124,{"Low","Medium","High"},0)),IF(MATCH(D124,{"Low","Medium","High"},0)&gt;=MATCH(INDEX(QB_MINTIER,MATCH(E124,QB_ID,0)),{"Low","Medium","High"},0),"Recommended for tier","Optional for tier"),"Tier not determined"),"Check question"))</f>
        <v/>
      </c>
      <c r="I124" s="34"/>
      <c r="J124" s="50"/>
      <c r="K124" s="34"/>
      <c r="L124" s="34"/>
      <c r="M124" s="62" t="str">
        <f aca="false">IF(L124="","",SUMPRODUCT(ISNUMBER(SEARCH(","&amp;EV_ID&amp;",",","&amp;SUBSTITUTE(L124," ","")&amp;","))*(EV_ID&lt;&gt;"")))</f>
        <v/>
      </c>
      <c r="N124" s="54" t="str">
        <f aca="false">IF(A124="","",IF(I124&lt;&gt;"Applicable",IF(I124="","Applicability not set","Not in scope ("&amp;I124&amp;")"),IF(OR(J124="",J124="Not answered"),"Awaiting supplier response",IF(J124="Not applicable","Supplier states not applicable - analyst to confirm",IF(L124="","Evidence insufficient - none referenced",IF(M124=0,"Evidence insufficient - referenced ID not found",IF(SUMPRODUCT(ISNUMBER(SEARCH(","&amp;EV_ID&amp;",",","&amp;SUBSTITUTE(L124," ","")&amp;","))*(EV_ID&lt;&gt;"")*(EV_SUFF="Sufficient"))&gt;0,"Evidence reviewed - sufficient",IF(SUMPRODUCT(ISNUMBER(SEARCH(","&amp;EV_ID&amp;",",","&amp;SUBSTITUTE(L124," ","")&amp;","))*(EV_ID&lt;&gt;"")*(EV_SUFF="Partially sufficient"))&gt;0,"Evidence partially sufficient","Evidence insufficient - referenced evidence not sufficient"))))))))</f>
        <v/>
      </c>
      <c r="O124" s="50"/>
      <c r="P124" s="34"/>
      <c r="Q124" s="34"/>
      <c r="R124" s="50"/>
      <c r="S124" s="51"/>
      <c r="T124" s="51"/>
      <c r="U124" s="52" t="str">
        <f aca="false">IF(OR(A124="",Q124=""),"",IF(AND(ISNUMBER(S124),S124&lt;AsOf,O124&lt;&gt;"Reviewed"),"Overdue",""))</f>
        <v/>
      </c>
      <c r="V124" s="54" t="str">
        <f aca="false">IF(A124="","",IF(COUNTIF(QA_ID,A124)&gt;1,"CHECK: duplicate ID",IF(B124="","CHECK: Supplier ID missing",IF(COUNTIF(INV_ID,B124)=0,"CHECK: Supplier ID not in inventory",IF(E124="","CHECK: Question ID missing",IF(COUNTIF(QB_ID,E124)=0,"CHECK: Question ID not in bank","OK"))))))</f>
        <v/>
      </c>
    </row>
    <row r="125" customFormat="false" ht="15" hidden="false" customHeight="false" outlineLevel="0" collapsed="false">
      <c r="A125" s="50"/>
      <c r="B125" s="50"/>
      <c r="C125" s="59" t="str">
        <f aca="false">IF(B125="","",IFERROR(INDEX(INV_NAME,MATCH(B125,INV_ID,0)),"CHECK: Supplier ID not found"))</f>
        <v/>
      </c>
      <c r="D125" s="63" t="str">
        <f aca="false">IF(B125="","",IFERROR(INDEX(INV_TIER,MATCH(B125,INV_ID,0)),""))</f>
        <v/>
      </c>
      <c r="E125" s="50"/>
      <c r="F125" s="59" t="str">
        <f aca="false">IF(E125="","",IFERROR(INDEX(QB_Q,MATCH(E125,QB_ID,0)),"CHECK: Question ID not found"))</f>
        <v/>
      </c>
      <c r="G125" s="59" t="str">
        <f aca="false">IF(E125="","",IFERROR(INDEX(QB_DOMAIN,MATCH(E125,QB_ID,0)),""))</f>
        <v/>
      </c>
      <c r="H125" s="54" t="str">
        <f aca="false">IF(OR(A125="",E125=""),"",IFERROR(IF(ISNUMBER(MATCH(D125,{"Low","Medium","High"},0)),IF(MATCH(D125,{"Low","Medium","High"},0)&gt;=MATCH(INDEX(QB_MINTIER,MATCH(E125,QB_ID,0)),{"Low","Medium","High"},0),"Recommended for tier","Optional for tier"),"Tier not determined"),"Check question"))</f>
        <v/>
      </c>
      <c r="I125" s="34"/>
      <c r="J125" s="50"/>
      <c r="K125" s="34"/>
      <c r="L125" s="34"/>
      <c r="M125" s="62" t="str">
        <f aca="false">IF(L125="","",SUMPRODUCT(ISNUMBER(SEARCH(","&amp;EV_ID&amp;",",","&amp;SUBSTITUTE(L125," ","")&amp;","))*(EV_ID&lt;&gt;"")))</f>
        <v/>
      </c>
      <c r="N125" s="54" t="str">
        <f aca="false">IF(A125="","",IF(I125&lt;&gt;"Applicable",IF(I125="","Applicability not set","Not in scope ("&amp;I125&amp;")"),IF(OR(J125="",J125="Not answered"),"Awaiting supplier response",IF(J125="Not applicable","Supplier states not applicable - analyst to confirm",IF(L125="","Evidence insufficient - none referenced",IF(M125=0,"Evidence insufficient - referenced ID not found",IF(SUMPRODUCT(ISNUMBER(SEARCH(","&amp;EV_ID&amp;",",","&amp;SUBSTITUTE(L125," ","")&amp;","))*(EV_ID&lt;&gt;"")*(EV_SUFF="Sufficient"))&gt;0,"Evidence reviewed - sufficient",IF(SUMPRODUCT(ISNUMBER(SEARCH(","&amp;EV_ID&amp;",",","&amp;SUBSTITUTE(L125," ","")&amp;","))*(EV_ID&lt;&gt;"")*(EV_SUFF="Partially sufficient"))&gt;0,"Evidence partially sufficient","Evidence insufficient - referenced evidence not sufficient"))))))))</f>
        <v/>
      </c>
      <c r="O125" s="50"/>
      <c r="P125" s="34"/>
      <c r="Q125" s="34"/>
      <c r="R125" s="50"/>
      <c r="S125" s="51"/>
      <c r="T125" s="51"/>
      <c r="U125" s="52" t="str">
        <f aca="false">IF(OR(A125="",Q125=""),"",IF(AND(ISNUMBER(S125),S125&lt;AsOf,O125&lt;&gt;"Reviewed"),"Overdue",""))</f>
        <v/>
      </c>
      <c r="V125" s="54" t="str">
        <f aca="false">IF(A125="","",IF(COUNTIF(QA_ID,A125)&gt;1,"CHECK: duplicate ID",IF(B125="","CHECK: Supplier ID missing",IF(COUNTIF(INV_ID,B125)=0,"CHECK: Supplier ID not in inventory",IF(E125="","CHECK: Question ID missing",IF(COUNTIF(QB_ID,E125)=0,"CHECK: Question ID not in bank","OK"))))))</f>
        <v/>
      </c>
    </row>
    <row r="126" customFormat="false" ht="15" hidden="false" customHeight="false" outlineLevel="0" collapsed="false">
      <c r="A126" s="50"/>
      <c r="B126" s="50"/>
      <c r="C126" s="59" t="str">
        <f aca="false">IF(B126="","",IFERROR(INDEX(INV_NAME,MATCH(B126,INV_ID,0)),"CHECK: Supplier ID not found"))</f>
        <v/>
      </c>
      <c r="D126" s="63" t="str">
        <f aca="false">IF(B126="","",IFERROR(INDEX(INV_TIER,MATCH(B126,INV_ID,0)),""))</f>
        <v/>
      </c>
      <c r="E126" s="50"/>
      <c r="F126" s="59" t="str">
        <f aca="false">IF(E126="","",IFERROR(INDEX(QB_Q,MATCH(E126,QB_ID,0)),"CHECK: Question ID not found"))</f>
        <v/>
      </c>
      <c r="G126" s="59" t="str">
        <f aca="false">IF(E126="","",IFERROR(INDEX(QB_DOMAIN,MATCH(E126,QB_ID,0)),""))</f>
        <v/>
      </c>
      <c r="H126" s="54" t="str">
        <f aca="false">IF(OR(A126="",E126=""),"",IFERROR(IF(ISNUMBER(MATCH(D126,{"Low","Medium","High"},0)),IF(MATCH(D126,{"Low","Medium","High"},0)&gt;=MATCH(INDEX(QB_MINTIER,MATCH(E126,QB_ID,0)),{"Low","Medium","High"},0),"Recommended for tier","Optional for tier"),"Tier not determined"),"Check question"))</f>
        <v/>
      </c>
      <c r="I126" s="34"/>
      <c r="J126" s="50"/>
      <c r="K126" s="34"/>
      <c r="L126" s="34"/>
      <c r="M126" s="62" t="str">
        <f aca="false">IF(L126="","",SUMPRODUCT(ISNUMBER(SEARCH(","&amp;EV_ID&amp;",",","&amp;SUBSTITUTE(L126," ","")&amp;","))*(EV_ID&lt;&gt;"")))</f>
        <v/>
      </c>
      <c r="N126" s="54" t="str">
        <f aca="false">IF(A126="","",IF(I126&lt;&gt;"Applicable",IF(I126="","Applicability not set","Not in scope ("&amp;I126&amp;")"),IF(OR(J126="",J126="Not answered"),"Awaiting supplier response",IF(J126="Not applicable","Supplier states not applicable - analyst to confirm",IF(L126="","Evidence insufficient - none referenced",IF(M126=0,"Evidence insufficient - referenced ID not found",IF(SUMPRODUCT(ISNUMBER(SEARCH(","&amp;EV_ID&amp;",",","&amp;SUBSTITUTE(L126," ","")&amp;","))*(EV_ID&lt;&gt;"")*(EV_SUFF="Sufficient"))&gt;0,"Evidence reviewed - sufficient",IF(SUMPRODUCT(ISNUMBER(SEARCH(","&amp;EV_ID&amp;",",","&amp;SUBSTITUTE(L126," ","")&amp;","))*(EV_ID&lt;&gt;"")*(EV_SUFF="Partially sufficient"))&gt;0,"Evidence partially sufficient","Evidence insufficient - referenced evidence not sufficient"))))))))</f>
        <v/>
      </c>
      <c r="O126" s="50"/>
      <c r="P126" s="34"/>
      <c r="Q126" s="34"/>
      <c r="R126" s="50"/>
      <c r="S126" s="51"/>
      <c r="T126" s="51"/>
      <c r="U126" s="52" t="str">
        <f aca="false">IF(OR(A126="",Q126=""),"",IF(AND(ISNUMBER(S126),S126&lt;AsOf,O126&lt;&gt;"Reviewed"),"Overdue",""))</f>
        <v/>
      </c>
      <c r="V126" s="54" t="str">
        <f aca="false">IF(A126="","",IF(COUNTIF(QA_ID,A126)&gt;1,"CHECK: duplicate ID",IF(B126="","CHECK: Supplier ID missing",IF(COUNTIF(INV_ID,B126)=0,"CHECK: Supplier ID not in inventory",IF(E126="","CHECK: Question ID missing",IF(COUNTIF(QB_ID,E126)=0,"CHECK: Question ID not in bank","OK"))))))</f>
        <v/>
      </c>
    </row>
    <row r="127" customFormat="false" ht="15" hidden="false" customHeight="false" outlineLevel="0" collapsed="false">
      <c r="A127" s="50"/>
      <c r="B127" s="50"/>
      <c r="C127" s="59" t="str">
        <f aca="false">IF(B127="","",IFERROR(INDEX(INV_NAME,MATCH(B127,INV_ID,0)),"CHECK: Supplier ID not found"))</f>
        <v/>
      </c>
      <c r="D127" s="63" t="str">
        <f aca="false">IF(B127="","",IFERROR(INDEX(INV_TIER,MATCH(B127,INV_ID,0)),""))</f>
        <v/>
      </c>
      <c r="E127" s="50"/>
      <c r="F127" s="59" t="str">
        <f aca="false">IF(E127="","",IFERROR(INDEX(QB_Q,MATCH(E127,QB_ID,0)),"CHECK: Question ID not found"))</f>
        <v/>
      </c>
      <c r="G127" s="59" t="str">
        <f aca="false">IF(E127="","",IFERROR(INDEX(QB_DOMAIN,MATCH(E127,QB_ID,0)),""))</f>
        <v/>
      </c>
      <c r="H127" s="54" t="str">
        <f aca="false">IF(OR(A127="",E127=""),"",IFERROR(IF(ISNUMBER(MATCH(D127,{"Low","Medium","High"},0)),IF(MATCH(D127,{"Low","Medium","High"},0)&gt;=MATCH(INDEX(QB_MINTIER,MATCH(E127,QB_ID,0)),{"Low","Medium","High"},0),"Recommended for tier","Optional for tier"),"Tier not determined"),"Check question"))</f>
        <v/>
      </c>
      <c r="I127" s="34"/>
      <c r="J127" s="50"/>
      <c r="K127" s="34"/>
      <c r="L127" s="34"/>
      <c r="M127" s="62" t="str">
        <f aca="false">IF(L127="","",SUMPRODUCT(ISNUMBER(SEARCH(","&amp;EV_ID&amp;",",","&amp;SUBSTITUTE(L127," ","")&amp;","))*(EV_ID&lt;&gt;"")))</f>
        <v/>
      </c>
      <c r="N127" s="54" t="str">
        <f aca="false">IF(A127="","",IF(I127&lt;&gt;"Applicable",IF(I127="","Applicability not set","Not in scope ("&amp;I127&amp;")"),IF(OR(J127="",J127="Not answered"),"Awaiting supplier response",IF(J127="Not applicable","Supplier states not applicable - analyst to confirm",IF(L127="","Evidence insufficient - none referenced",IF(M127=0,"Evidence insufficient - referenced ID not found",IF(SUMPRODUCT(ISNUMBER(SEARCH(","&amp;EV_ID&amp;",",","&amp;SUBSTITUTE(L127," ","")&amp;","))*(EV_ID&lt;&gt;"")*(EV_SUFF="Sufficient"))&gt;0,"Evidence reviewed - sufficient",IF(SUMPRODUCT(ISNUMBER(SEARCH(","&amp;EV_ID&amp;",",","&amp;SUBSTITUTE(L127," ","")&amp;","))*(EV_ID&lt;&gt;"")*(EV_SUFF="Partially sufficient"))&gt;0,"Evidence partially sufficient","Evidence insufficient - referenced evidence not sufficient"))))))))</f>
        <v/>
      </c>
      <c r="O127" s="50"/>
      <c r="P127" s="34"/>
      <c r="Q127" s="34"/>
      <c r="R127" s="50"/>
      <c r="S127" s="51"/>
      <c r="T127" s="51"/>
      <c r="U127" s="52" t="str">
        <f aca="false">IF(OR(A127="",Q127=""),"",IF(AND(ISNUMBER(S127),S127&lt;AsOf,O127&lt;&gt;"Reviewed"),"Overdue",""))</f>
        <v/>
      </c>
      <c r="V127" s="54" t="str">
        <f aca="false">IF(A127="","",IF(COUNTIF(QA_ID,A127)&gt;1,"CHECK: duplicate ID",IF(B127="","CHECK: Supplier ID missing",IF(COUNTIF(INV_ID,B127)=0,"CHECK: Supplier ID not in inventory",IF(E127="","CHECK: Question ID missing",IF(COUNTIF(QB_ID,E127)=0,"CHECK: Question ID not in bank","OK"))))))</f>
        <v/>
      </c>
    </row>
    <row r="128" customFormat="false" ht="15" hidden="false" customHeight="false" outlineLevel="0" collapsed="false">
      <c r="A128" s="50"/>
      <c r="B128" s="50"/>
      <c r="C128" s="59" t="str">
        <f aca="false">IF(B128="","",IFERROR(INDEX(INV_NAME,MATCH(B128,INV_ID,0)),"CHECK: Supplier ID not found"))</f>
        <v/>
      </c>
      <c r="D128" s="63" t="str">
        <f aca="false">IF(B128="","",IFERROR(INDEX(INV_TIER,MATCH(B128,INV_ID,0)),""))</f>
        <v/>
      </c>
      <c r="E128" s="50"/>
      <c r="F128" s="59" t="str">
        <f aca="false">IF(E128="","",IFERROR(INDEX(QB_Q,MATCH(E128,QB_ID,0)),"CHECK: Question ID not found"))</f>
        <v/>
      </c>
      <c r="G128" s="59" t="str">
        <f aca="false">IF(E128="","",IFERROR(INDEX(QB_DOMAIN,MATCH(E128,QB_ID,0)),""))</f>
        <v/>
      </c>
      <c r="H128" s="54" t="str">
        <f aca="false">IF(OR(A128="",E128=""),"",IFERROR(IF(ISNUMBER(MATCH(D128,{"Low","Medium","High"},0)),IF(MATCH(D128,{"Low","Medium","High"},0)&gt;=MATCH(INDEX(QB_MINTIER,MATCH(E128,QB_ID,0)),{"Low","Medium","High"},0),"Recommended for tier","Optional for tier"),"Tier not determined"),"Check question"))</f>
        <v/>
      </c>
      <c r="I128" s="34"/>
      <c r="J128" s="50"/>
      <c r="K128" s="34"/>
      <c r="L128" s="34"/>
      <c r="M128" s="62" t="str">
        <f aca="false">IF(L128="","",SUMPRODUCT(ISNUMBER(SEARCH(","&amp;EV_ID&amp;",",","&amp;SUBSTITUTE(L128," ","")&amp;","))*(EV_ID&lt;&gt;"")))</f>
        <v/>
      </c>
      <c r="N128" s="54" t="str">
        <f aca="false">IF(A128="","",IF(I128&lt;&gt;"Applicable",IF(I128="","Applicability not set","Not in scope ("&amp;I128&amp;")"),IF(OR(J128="",J128="Not answered"),"Awaiting supplier response",IF(J128="Not applicable","Supplier states not applicable - analyst to confirm",IF(L128="","Evidence insufficient - none referenced",IF(M128=0,"Evidence insufficient - referenced ID not found",IF(SUMPRODUCT(ISNUMBER(SEARCH(","&amp;EV_ID&amp;",",","&amp;SUBSTITUTE(L128," ","")&amp;","))*(EV_ID&lt;&gt;"")*(EV_SUFF="Sufficient"))&gt;0,"Evidence reviewed - sufficient",IF(SUMPRODUCT(ISNUMBER(SEARCH(","&amp;EV_ID&amp;",",","&amp;SUBSTITUTE(L128," ","")&amp;","))*(EV_ID&lt;&gt;"")*(EV_SUFF="Partially sufficient"))&gt;0,"Evidence partially sufficient","Evidence insufficient - referenced evidence not sufficient"))))))))</f>
        <v/>
      </c>
      <c r="O128" s="50"/>
      <c r="P128" s="34"/>
      <c r="Q128" s="34"/>
      <c r="R128" s="50"/>
      <c r="S128" s="51"/>
      <c r="T128" s="51"/>
      <c r="U128" s="52" t="str">
        <f aca="false">IF(OR(A128="",Q128=""),"",IF(AND(ISNUMBER(S128),S128&lt;AsOf,O128&lt;&gt;"Reviewed"),"Overdue",""))</f>
        <v/>
      </c>
      <c r="V128" s="54" t="str">
        <f aca="false">IF(A128="","",IF(COUNTIF(QA_ID,A128)&gt;1,"CHECK: duplicate ID",IF(B128="","CHECK: Supplier ID missing",IF(COUNTIF(INV_ID,B128)=0,"CHECK: Supplier ID not in inventory",IF(E128="","CHECK: Question ID missing",IF(COUNTIF(QB_ID,E128)=0,"CHECK: Question ID not in bank","OK"))))))</f>
        <v/>
      </c>
    </row>
    <row r="129" customFormat="false" ht="15" hidden="false" customHeight="false" outlineLevel="0" collapsed="false">
      <c r="A129" s="50"/>
      <c r="B129" s="50"/>
      <c r="C129" s="59" t="str">
        <f aca="false">IF(B129="","",IFERROR(INDEX(INV_NAME,MATCH(B129,INV_ID,0)),"CHECK: Supplier ID not found"))</f>
        <v/>
      </c>
      <c r="D129" s="63" t="str">
        <f aca="false">IF(B129="","",IFERROR(INDEX(INV_TIER,MATCH(B129,INV_ID,0)),""))</f>
        <v/>
      </c>
      <c r="E129" s="50"/>
      <c r="F129" s="59" t="str">
        <f aca="false">IF(E129="","",IFERROR(INDEX(QB_Q,MATCH(E129,QB_ID,0)),"CHECK: Question ID not found"))</f>
        <v/>
      </c>
      <c r="G129" s="59" t="str">
        <f aca="false">IF(E129="","",IFERROR(INDEX(QB_DOMAIN,MATCH(E129,QB_ID,0)),""))</f>
        <v/>
      </c>
      <c r="H129" s="54" t="str">
        <f aca="false">IF(OR(A129="",E129=""),"",IFERROR(IF(ISNUMBER(MATCH(D129,{"Low","Medium","High"},0)),IF(MATCH(D129,{"Low","Medium","High"},0)&gt;=MATCH(INDEX(QB_MINTIER,MATCH(E129,QB_ID,0)),{"Low","Medium","High"},0),"Recommended for tier","Optional for tier"),"Tier not determined"),"Check question"))</f>
        <v/>
      </c>
      <c r="I129" s="34"/>
      <c r="J129" s="50"/>
      <c r="K129" s="34"/>
      <c r="L129" s="34"/>
      <c r="M129" s="62" t="str">
        <f aca="false">IF(L129="","",SUMPRODUCT(ISNUMBER(SEARCH(","&amp;EV_ID&amp;",",","&amp;SUBSTITUTE(L129," ","")&amp;","))*(EV_ID&lt;&gt;"")))</f>
        <v/>
      </c>
      <c r="N129" s="54" t="str">
        <f aca="false">IF(A129="","",IF(I129&lt;&gt;"Applicable",IF(I129="","Applicability not set","Not in scope ("&amp;I129&amp;")"),IF(OR(J129="",J129="Not answered"),"Awaiting supplier response",IF(J129="Not applicable","Supplier states not applicable - analyst to confirm",IF(L129="","Evidence insufficient - none referenced",IF(M129=0,"Evidence insufficient - referenced ID not found",IF(SUMPRODUCT(ISNUMBER(SEARCH(","&amp;EV_ID&amp;",",","&amp;SUBSTITUTE(L129," ","")&amp;","))*(EV_ID&lt;&gt;"")*(EV_SUFF="Sufficient"))&gt;0,"Evidence reviewed - sufficient",IF(SUMPRODUCT(ISNUMBER(SEARCH(","&amp;EV_ID&amp;",",","&amp;SUBSTITUTE(L129," ","")&amp;","))*(EV_ID&lt;&gt;"")*(EV_SUFF="Partially sufficient"))&gt;0,"Evidence partially sufficient","Evidence insufficient - referenced evidence not sufficient"))))))))</f>
        <v/>
      </c>
      <c r="O129" s="50"/>
      <c r="P129" s="34"/>
      <c r="Q129" s="34"/>
      <c r="R129" s="50"/>
      <c r="S129" s="51"/>
      <c r="T129" s="51"/>
      <c r="U129" s="52" t="str">
        <f aca="false">IF(OR(A129="",Q129=""),"",IF(AND(ISNUMBER(S129),S129&lt;AsOf,O129&lt;&gt;"Reviewed"),"Overdue",""))</f>
        <v/>
      </c>
      <c r="V129" s="54" t="str">
        <f aca="false">IF(A129="","",IF(COUNTIF(QA_ID,A129)&gt;1,"CHECK: duplicate ID",IF(B129="","CHECK: Supplier ID missing",IF(COUNTIF(INV_ID,B129)=0,"CHECK: Supplier ID not in inventory",IF(E129="","CHECK: Question ID missing",IF(COUNTIF(QB_ID,E129)=0,"CHECK: Question ID not in bank","OK"))))))</f>
        <v/>
      </c>
    </row>
    <row r="130" customFormat="false" ht="15" hidden="false" customHeight="false" outlineLevel="0" collapsed="false">
      <c r="A130" s="50"/>
      <c r="B130" s="50"/>
      <c r="C130" s="59" t="str">
        <f aca="false">IF(B130="","",IFERROR(INDEX(INV_NAME,MATCH(B130,INV_ID,0)),"CHECK: Supplier ID not found"))</f>
        <v/>
      </c>
      <c r="D130" s="63" t="str">
        <f aca="false">IF(B130="","",IFERROR(INDEX(INV_TIER,MATCH(B130,INV_ID,0)),""))</f>
        <v/>
      </c>
      <c r="E130" s="50"/>
      <c r="F130" s="59" t="str">
        <f aca="false">IF(E130="","",IFERROR(INDEX(QB_Q,MATCH(E130,QB_ID,0)),"CHECK: Question ID not found"))</f>
        <v/>
      </c>
      <c r="G130" s="59" t="str">
        <f aca="false">IF(E130="","",IFERROR(INDEX(QB_DOMAIN,MATCH(E130,QB_ID,0)),""))</f>
        <v/>
      </c>
      <c r="H130" s="54" t="str">
        <f aca="false">IF(OR(A130="",E130=""),"",IFERROR(IF(ISNUMBER(MATCH(D130,{"Low","Medium","High"},0)),IF(MATCH(D130,{"Low","Medium","High"},0)&gt;=MATCH(INDEX(QB_MINTIER,MATCH(E130,QB_ID,0)),{"Low","Medium","High"},0),"Recommended for tier","Optional for tier"),"Tier not determined"),"Check question"))</f>
        <v/>
      </c>
      <c r="I130" s="34"/>
      <c r="J130" s="50"/>
      <c r="K130" s="34"/>
      <c r="L130" s="34"/>
      <c r="M130" s="62" t="str">
        <f aca="false">IF(L130="","",SUMPRODUCT(ISNUMBER(SEARCH(","&amp;EV_ID&amp;",",","&amp;SUBSTITUTE(L130," ","")&amp;","))*(EV_ID&lt;&gt;"")))</f>
        <v/>
      </c>
      <c r="N130" s="54" t="str">
        <f aca="false">IF(A130="","",IF(I130&lt;&gt;"Applicable",IF(I130="","Applicability not set","Not in scope ("&amp;I130&amp;")"),IF(OR(J130="",J130="Not answered"),"Awaiting supplier response",IF(J130="Not applicable","Supplier states not applicable - analyst to confirm",IF(L130="","Evidence insufficient - none referenced",IF(M130=0,"Evidence insufficient - referenced ID not found",IF(SUMPRODUCT(ISNUMBER(SEARCH(","&amp;EV_ID&amp;",",","&amp;SUBSTITUTE(L130," ","")&amp;","))*(EV_ID&lt;&gt;"")*(EV_SUFF="Sufficient"))&gt;0,"Evidence reviewed - sufficient",IF(SUMPRODUCT(ISNUMBER(SEARCH(","&amp;EV_ID&amp;",",","&amp;SUBSTITUTE(L130," ","")&amp;","))*(EV_ID&lt;&gt;"")*(EV_SUFF="Partially sufficient"))&gt;0,"Evidence partially sufficient","Evidence insufficient - referenced evidence not sufficient"))))))))</f>
        <v/>
      </c>
      <c r="O130" s="50"/>
      <c r="P130" s="34"/>
      <c r="Q130" s="34"/>
      <c r="R130" s="50"/>
      <c r="S130" s="51"/>
      <c r="T130" s="51"/>
      <c r="U130" s="52" t="str">
        <f aca="false">IF(OR(A130="",Q130=""),"",IF(AND(ISNUMBER(S130),S130&lt;AsOf,O130&lt;&gt;"Reviewed"),"Overdue",""))</f>
        <v/>
      </c>
      <c r="V130" s="54" t="str">
        <f aca="false">IF(A130="","",IF(COUNTIF(QA_ID,A130)&gt;1,"CHECK: duplicate ID",IF(B130="","CHECK: Supplier ID missing",IF(COUNTIF(INV_ID,B130)=0,"CHECK: Supplier ID not in inventory",IF(E130="","CHECK: Question ID missing",IF(COUNTIF(QB_ID,E130)=0,"CHECK: Question ID not in bank","OK"))))))</f>
        <v/>
      </c>
    </row>
    <row r="131" customFormat="false" ht="15" hidden="false" customHeight="false" outlineLevel="0" collapsed="false">
      <c r="A131" s="50"/>
      <c r="B131" s="50"/>
      <c r="C131" s="59" t="str">
        <f aca="false">IF(B131="","",IFERROR(INDEX(INV_NAME,MATCH(B131,INV_ID,0)),"CHECK: Supplier ID not found"))</f>
        <v/>
      </c>
      <c r="D131" s="63" t="str">
        <f aca="false">IF(B131="","",IFERROR(INDEX(INV_TIER,MATCH(B131,INV_ID,0)),""))</f>
        <v/>
      </c>
      <c r="E131" s="50"/>
      <c r="F131" s="59" t="str">
        <f aca="false">IF(E131="","",IFERROR(INDEX(QB_Q,MATCH(E131,QB_ID,0)),"CHECK: Question ID not found"))</f>
        <v/>
      </c>
      <c r="G131" s="59" t="str">
        <f aca="false">IF(E131="","",IFERROR(INDEX(QB_DOMAIN,MATCH(E131,QB_ID,0)),""))</f>
        <v/>
      </c>
      <c r="H131" s="54" t="str">
        <f aca="false">IF(OR(A131="",E131=""),"",IFERROR(IF(ISNUMBER(MATCH(D131,{"Low","Medium","High"},0)),IF(MATCH(D131,{"Low","Medium","High"},0)&gt;=MATCH(INDEX(QB_MINTIER,MATCH(E131,QB_ID,0)),{"Low","Medium","High"},0),"Recommended for tier","Optional for tier"),"Tier not determined"),"Check question"))</f>
        <v/>
      </c>
      <c r="I131" s="34"/>
      <c r="J131" s="50"/>
      <c r="K131" s="34"/>
      <c r="L131" s="34"/>
      <c r="M131" s="62" t="str">
        <f aca="false">IF(L131="","",SUMPRODUCT(ISNUMBER(SEARCH(","&amp;EV_ID&amp;",",","&amp;SUBSTITUTE(L131," ","")&amp;","))*(EV_ID&lt;&gt;"")))</f>
        <v/>
      </c>
      <c r="N131" s="54" t="str">
        <f aca="false">IF(A131="","",IF(I131&lt;&gt;"Applicable",IF(I131="","Applicability not set","Not in scope ("&amp;I131&amp;")"),IF(OR(J131="",J131="Not answered"),"Awaiting supplier response",IF(J131="Not applicable","Supplier states not applicable - analyst to confirm",IF(L131="","Evidence insufficient - none referenced",IF(M131=0,"Evidence insufficient - referenced ID not found",IF(SUMPRODUCT(ISNUMBER(SEARCH(","&amp;EV_ID&amp;",",","&amp;SUBSTITUTE(L131," ","")&amp;","))*(EV_ID&lt;&gt;"")*(EV_SUFF="Sufficient"))&gt;0,"Evidence reviewed - sufficient",IF(SUMPRODUCT(ISNUMBER(SEARCH(","&amp;EV_ID&amp;",",","&amp;SUBSTITUTE(L131," ","")&amp;","))*(EV_ID&lt;&gt;"")*(EV_SUFF="Partially sufficient"))&gt;0,"Evidence partially sufficient","Evidence insufficient - referenced evidence not sufficient"))))))))</f>
        <v/>
      </c>
      <c r="O131" s="50"/>
      <c r="P131" s="34"/>
      <c r="Q131" s="34"/>
      <c r="R131" s="50"/>
      <c r="S131" s="51"/>
      <c r="T131" s="51"/>
      <c r="U131" s="52" t="str">
        <f aca="false">IF(OR(A131="",Q131=""),"",IF(AND(ISNUMBER(S131),S131&lt;AsOf,O131&lt;&gt;"Reviewed"),"Overdue",""))</f>
        <v/>
      </c>
      <c r="V131" s="54" t="str">
        <f aca="false">IF(A131="","",IF(COUNTIF(QA_ID,A131)&gt;1,"CHECK: duplicate ID",IF(B131="","CHECK: Supplier ID missing",IF(COUNTIF(INV_ID,B131)=0,"CHECK: Supplier ID not in inventory",IF(E131="","CHECK: Question ID missing",IF(COUNTIF(QB_ID,E131)=0,"CHECK: Question ID not in bank","OK"))))))</f>
        <v/>
      </c>
    </row>
    <row r="132" customFormat="false" ht="15" hidden="false" customHeight="false" outlineLevel="0" collapsed="false">
      <c r="A132" s="50"/>
      <c r="B132" s="50"/>
      <c r="C132" s="59" t="str">
        <f aca="false">IF(B132="","",IFERROR(INDEX(INV_NAME,MATCH(B132,INV_ID,0)),"CHECK: Supplier ID not found"))</f>
        <v/>
      </c>
      <c r="D132" s="63" t="str">
        <f aca="false">IF(B132="","",IFERROR(INDEX(INV_TIER,MATCH(B132,INV_ID,0)),""))</f>
        <v/>
      </c>
      <c r="E132" s="50"/>
      <c r="F132" s="59" t="str">
        <f aca="false">IF(E132="","",IFERROR(INDEX(QB_Q,MATCH(E132,QB_ID,0)),"CHECK: Question ID not found"))</f>
        <v/>
      </c>
      <c r="G132" s="59" t="str">
        <f aca="false">IF(E132="","",IFERROR(INDEX(QB_DOMAIN,MATCH(E132,QB_ID,0)),""))</f>
        <v/>
      </c>
      <c r="H132" s="54" t="str">
        <f aca="false">IF(OR(A132="",E132=""),"",IFERROR(IF(ISNUMBER(MATCH(D132,{"Low","Medium","High"},0)),IF(MATCH(D132,{"Low","Medium","High"},0)&gt;=MATCH(INDEX(QB_MINTIER,MATCH(E132,QB_ID,0)),{"Low","Medium","High"},0),"Recommended for tier","Optional for tier"),"Tier not determined"),"Check question"))</f>
        <v/>
      </c>
      <c r="I132" s="34"/>
      <c r="J132" s="50"/>
      <c r="K132" s="34"/>
      <c r="L132" s="34"/>
      <c r="M132" s="62" t="str">
        <f aca="false">IF(L132="","",SUMPRODUCT(ISNUMBER(SEARCH(","&amp;EV_ID&amp;",",","&amp;SUBSTITUTE(L132," ","")&amp;","))*(EV_ID&lt;&gt;"")))</f>
        <v/>
      </c>
      <c r="N132" s="54" t="str">
        <f aca="false">IF(A132="","",IF(I132&lt;&gt;"Applicable",IF(I132="","Applicability not set","Not in scope ("&amp;I132&amp;")"),IF(OR(J132="",J132="Not answered"),"Awaiting supplier response",IF(J132="Not applicable","Supplier states not applicable - analyst to confirm",IF(L132="","Evidence insufficient - none referenced",IF(M132=0,"Evidence insufficient - referenced ID not found",IF(SUMPRODUCT(ISNUMBER(SEARCH(","&amp;EV_ID&amp;",",","&amp;SUBSTITUTE(L132," ","")&amp;","))*(EV_ID&lt;&gt;"")*(EV_SUFF="Sufficient"))&gt;0,"Evidence reviewed - sufficient",IF(SUMPRODUCT(ISNUMBER(SEARCH(","&amp;EV_ID&amp;",",","&amp;SUBSTITUTE(L132," ","")&amp;","))*(EV_ID&lt;&gt;"")*(EV_SUFF="Partially sufficient"))&gt;0,"Evidence partially sufficient","Evidence insufficient - referenced evidence not sufficient"))))))))</f>
        <v/>
      </c>
      <c r="O132" s="50"/>
      <c r="P132" s="34"/>
      <c r="Q132" s="34"/>
      <c r="R132" s="50"/>
      <c r="S132" s="51"/>
      <c r="T132" s="51"/>
      <c r="U132" s="52" t="str">
        <f aca="false">IF(OR(A132="",Q132=""),"",IF(AND(ISNUMBER(S132),S132&lt;AsOf,O132&lt;&gt;"Reviewed"),"Overdue",""))</f>
        <v/>
      </c>
      <c r="V132" s="54" t="str">
        <f aca="false">IF(A132="","",IF(COUNTIF(QA_ID,A132)&gt;1,"CHECK: duplicate ID",IF(B132="","CHECK: Supplier ID missing",IF(COUNTIF(INV_ID,B132)=0,"CHECK: Supplier ID not in inventory",IF(E132="","CHECK: Question ID missing",IF(COUNTIF(QB_ID,E132)=0,"CHECK: Question ID not in bank","OK"))))))</f>
        <v/>
      </c>
    </row>
    <row r="133" customFormat="false" ht="15" hidden="false" customHeight="false" outlineLevel="0" collapsed="false">
      <c r="A133" s="50"/>
      <c r="B133" s="50"/>
      <c r="C133" s="59" t="str">
        <f aca="false">IF(B133="","",IFERROR(INDEX(INV_NAME,MATCH(B133,INV_ID,0)),"CHECK: Supplier ID not found"))</f>
        <v/>
      </c>
      <c r="D133" s="63" t="str">
        <f aca="false">IF(B133="","",IFERROR(INDEX(INV_TIER,MATCH(B133,INV_ID,0)),""))</f>
        <v/>
      </c>
      <c r="E133" s="50"/>
      <c r="F133" s="59" t="str">
        <f aca="false">IF(E133="","",IFERROR(INDEX(QB_Q,MATCH(E133,QB_ID,0)),"CHECK: Question ID not found"))</f>
        <v/>
      </c>
      <c r="G133" s="59" t="str">
        <f aca="false">IF(E133="","",IFERROR(INDEX(QB_DOMAIN,MATCH(E133,QB_ID,0)),""))</f>
        <v/>
      </c>
      <c r="H133" s="54" t="str">
        <f aca="false">IF(OR(A133="",E133=""),"",IFERROR(IF(ISNUMBER(MATCH(D133,{"Low","Medium","High"},0)),IF(MATCH(D133,{"Low","Medium","High"},0)&gt;=MATCH(INDEX(QB_MINTIER,MATCH(E133,QB_ID,0)),{"Low","Medium","High"},0),"Recommended for tier","Optional for tier"),"Tier not determined"),"Check question"))</f>
        <v/>
      </c>
      <c r="I133" s="34"/>
      <c r="J133" s="50"/>
      <c r="K133" s="34"/>
      <c r="L133" s="34"/>
      <c r="M133" s="62" t="str">
        <f aca="false">IF(L133="","",SUMPRODUCT(ISNUMBER(SEARCH(","&amp;EV_ID&amp;",",","&amp;SUBSTITUTE(L133," ","")&amp;","))*(EV_ID&lt;&gt;"")))</f>
        <v/>
      </c>
      <c r="N133" s="54" t="str">
        <f aca="false">IF(A133="","",IF(I133&lt;&gt;"Applicable",IF(I133="","Applicability not set","Not in scope ("&amp;I133&amp;")"),IF(OR(J133="",J133="Not answered"),"Awaiting supplier response",IF(J133="Not applicable","Supplier states not applicable - analyst to confirm",IF(L133="","Evidence insufficient - none referenced",IF(M133=0,"Evidence insufficient - referenced ID not found",IF(SUMPRODUCT(ISNUMBER(SEARCH(","&amp;EV_ID&amp;",",","&amp;SUBSTITUTE(L133," ","")&amp;","))*(EV_ID&lt;&gt;"")*(EV_SUFF="Sufficient"))&gt;0,"Evidence reviewed - sufficient",IF(SUMPRODUCT(ISNUMBER(SEARCH(","&amp;EV_ID&amp;",",","&amp;SUBSTITUTE(L133," ","")&amp;","))*(EV_ID&lt;&gt;"")*(EV_SUFF="Partially sufficient"))&gt;0,"Evidence partially sufficient","Evidence insufficient - referenced evidence not sufficient"))))))))</f>
        <v/>
      </c>
      <c r="O133" s="50"/>
      <c r="P133" s="34"/>
      <c r="Q133" s="34"/>
      <c r="R133" s="50"/>
      <c r="S133" s="51"/>
      <c r="T133" s="51"/>
      <c r="U133" s="52" t="str">
        <f aca="false">IF(OR(A133="",Q133=""),"",IF(AND(ISNUMBER(S133),S133&lt;AsOf,O133&lt;&gt;"Reviewed"),"Overdue",""))</f>
        <v/>
      </c>
      <c r="V133" s="54" t="str">
        <f aca="false">IF(A133="","",IF(COUNTIF(QA_ID,A133)&gt;1,"CHECK: duplicate ID",IF(B133="","CHECK: Supplier ID missing",IF(COUNTIF(INV_ID,B133)=0,"CHECK: Supplier ID not in inventory",IF(E133="","CHECK: Question ID missing",IF(COUNTIF(QB_ID,E133)=0,"CHECK: Question ID not in bank","OK"))))))</f>
        <v/>
      </c>
    </row>
    <row r="134" customFormat="false" ht="15" hidden="false" customHeight="false" outlineLevel="0" collapsed="false">
      <c r="A134" s="50"/>
      <c r="B134" s="50"/>
      <c r="C134" s="59" t="str">
        <f aca="false">IF(B134="","",IFERROR(INDEX(INV_NAME,MATCH(B134,INV_ID,0)),"CHECK: Supplier ID not found"))</f>
        <v/>
      </c>
      <c r="D134" s="63" t="str">
        <f aca="false">IF(B134="","",IFERROR(INDEX(INV_TIER,MATCH(B134,INV_ID,0)),""))</f>
        <v/>
      </c>
      <c r="E134" s="50"/>
      <c r="F134" s="59" t="str">
        <f aca="false">IF(E134="","",IFERROR(INDEX(QB_Q,MATCH(E134,QB_ID,0)),"CHECK: Question ID not found"))</f>
        <v/>
      </c>
      <c r="G134" s="59" t="str">
        <f aca="false">IF(E134="","",IFERROR(INDEX(QB_DOMAIN,MATCH(E134,QB_ID,0)),""))</f>
        <v/>
      </c>
      <c r="H134" s="54" t="str">
        <f aca="false">IF(OR(A134="",E134=""),"",IFERROR(IF(ISNUMBER(MATCH(D134,{"Low","Medium","High"},0)),IF(MATCH(D134,{"Low","Medium","High"},0)&gt;=MATCH(INDEX(QB_MINTIER,MATCH(E134,QB_ID,0)),{"Low","Medium","High"},0),"Recommended for tier","Optional for tier"),"Tier not determined"),"Check question"))</f>
        <v/>
      </c>
      <c r="I134" s="34"/>
      <c r="J134" s="50"/>
      <c r="K134" s="34"/>
      <c r="L134" s="34"/>
      <c r="M134" s="62" t="str">
        <f aca="false">IF(L134="","",SUMPRODUCT(ISNUMBER(SEARCH(","&amp;EV_ID&amp;",",","&amp;SUBSTITUTE(L134," ","")&amp;","))*(EV_ID&lt;&gt;"")))</f>
        <v/>
      </c>
      <c r="N134" s="54" t="str">
        <f aca="false">IF(A134="","",IF(I134&lt;&gt;"Applicable",IF(I134="","Applicability not set","Not in scope ("&amp;I134&amp;")"),IF(OR(J134="",J134="Not answered"),"Awaiting supplier response",IF(J134="Not applicable","Supplier states not applicable - analyst to confirm",IF(L134="","Evidence insufficient - none referenced",IF(M134=0,"Evidence insufficient - referenced ID not found",IF(SUMPRODUCT(ISNUMBER(SEARCH(","&amp;EV_ID&amp;",",","&amp;SUBSTITUTE(L134," ","")&amp;","))*(EV_ID&lt;&gt;"")*(EV_SUFF="Sufficient"))&gt;0,"Evidence reviewed - sufficient",IF(SUMPRODUCT(ISNUMBER(SEARCH(","&amp;EV_ID&amp;",",","&amp;SUBSTITUTE(L134," ","")&amp;","))*(EV_ID&lt;&gt;"")*(EV_SUFF="Partially sufficient"))&gt;0,"Evidence partially sufficient","Evidence insufficient - referenced evidence not sufficient"))))))))</f>
        <v/>
      </c>
      <c r="O134" s="50"/>
      <c r="P134" s="34"/>
      <c r="Q134" s="34"/>
      <c r="R134" s="50"/>
      <c r="S134" s="51"/>
      <c r="T134" s="51"/>
      <c r="U134" s="52" t="str">
        <f aca="false">IF(OR(A134="",Q134=""),"",IF(AND(ISNUMBER(S134),S134&lt;AsOf,O134&lt;&gt;"Reviewed"),"Overdue",""))</f>
        <v/>
      </c>
      <c r="V134" s="54" t="str">
        <f aca="false">IF(A134="","",IF(COUNTIF(QA_ID,A134)&gt;1,"CHECK: duplicate ID",IF(B134="","CHECK: Supplier ID missing",IF(COUNTIF(INV_ID,B134)=0,"CHECK: Supplier ID not in inventory",IF(E134="","CHECK: Question ID missing",IF(COUNTIF(QB_ID,E134)=0,"CHECK: Question ID not in bank","OK"))))))</f>
        <v/>
      </c>
    </row>
    <row r="135" customFormat="false" ht="15" hidden="false" customHeight="false" outlineLevel="0" collapsed="false">
      <c r="A135" s="50"/>
      <c r="B135" s="50"/>
      <c r="C135" s="59" t="str">
        <f aca="false">IF(B135="","",IFERROR(INDEX(INV_NAME,MATCH(B135,INV_ID,0)),"CHECK: Supplier ID not found"))</f>
        <v/>
      </c>
      <c r="D135" s="63" t="str">
        <f aca="false">IF(B135="","",IFERROR(INDEX(INV_TIER,MATCH(B135,INV_ID,0)),""))</f>
        <v/>
      </c>
      <c r="E135" s="50"/>
      <c r="F135" s="59" t="str">
        <f aca="false">IF(E135="","",IFERROR(INDEX(QB_Q,MATCH(E135,QB_ID,0)),"CHECK: Question ID not found"))</f>
        <v/>
      </c>
      <c r="G135" s="59" t="str">
        <f aca="false">IF(E135="","",IFERROR(INDEX(QB_DOMAIN,MATCH(E135,QB_ID,0)),""))</f>
        <v/>
      </c>
      <c r="H135" s="54" t="str">
        <f aca="false">IF(OR(A135="",E135=""),"",IFERROR(IF(ISNUMBER(MATCH(D135,{"Low","Medium","High"},0)),IF(MATCH(D135,{"Low","Medium","High"},0)&gt;=MATCH(INDEX(QB_MINTIER,MATCH(E135,QB_ID,0)),{"Low","Medium","High"},0),"Recommended for tier","Optional for tier"),"Tier not determined"),"Check question"))</f>
        <v/>
      </c>
      <c r="I135" s="34"/>
      <c r="J135" s="50"/>
      <c r="K135" s="34"/>
      <c r="L135" s="34"/>
      <c r="M135" s="62" t="str">
        <f aca="false">IF(L135="","",SUMPRODUCT(ISNUMBER(SEARCH(","&amp;EV_ID&amp;",",","&amp;SUBSTITUTE(L135," ","")&amp;","))*(EV_ID&lt;&gt;"")))</f>
        <v/>
      </c>
      <c r="N135" s="54" t="str">
        <f aca="false">IF(A135="","",IF(I135&lt;&gt;"Applicable",IF(I135="","Applicability not set","Not in scope ("&amp;I135&amp;")"),IF(OR(J135="",J135="Not answered"),"Awaiting supplier response",IF(J135="Not applicable","Supplier states not applicable - analyst to confirm",IF(L135="","Evidence insufficient - none referenced",IF(M135=0,"Evidence insufficient - referenced ID not found",IF(SUMPRODUCT(ISNUMBER(SEARCH(","&amp;EV_ID&amp;",",","&amp;SUBSTITUTE(L135," ","")&amp;","))*(EV_ID&lt;&gt;"")*(EV_SUFF="Sufficient"))&gt;0,"Evidence reviewed - sufficient",IF(SUMPRODUCT(ISNUMBER(SEARCH(","&amp;EV_ID&amp;",",","&amp;SUBSTITUTE(L135," ","")&amp;","))*(EV_ID&lt;&gt;"")*(EV_SUFF="Partially sufficient"))&gt;0,"Evidence partially sufficient","Evidence insufficient - referenced evidence not sufficient"))))))))</f>
        <v/>
      </c>
      <c r="O135" s="50"/>
      <c r="P135" s="34"/>
      <c r="Q135" s="34"/>
      <c r="R135" s="50"/>
      <c r="S135" s="51"/>
      <c r="T135" s="51"/>
      <c r="U135" s="52" t="str">
        <f aca="false">IF(OR(A135="",Q135=""),"",IF(AND(ISNUMBER(S135),S135&lt;AsOf,O135&lt;&gt;"Reviewed"),"Overdue",""))</f>
        <v/>
      </c>
      <c r="V135" s="54" t="str">
        <f aca="false">IF(A135="","",IF(COUNTIF(QA_ID,A135)&gt;1,"CHECK: duplicate ID",IF(B135="","CHECK: Supplier ID missing",IF(COUNTIF(INV_ID,B135)=0,"CHECK: Supplier ID not in inventory",IF(E135="","CHECK: Question ID missing",IF(COUNTIF(QB_ID,E135)=0,"CHECK: Question ID not in bank","OK"))))))</f>
        <v/>
      </c>
    </row>
    <row r="136" customFormat="false" ht="15" hidden="false" customHeight="false" outlineLevel="0" collapsed="false">
      <c r="A136" s="50"/>
      <c r="B136" s="50"/>
      <c r="C136" s="59" t="str">
        <f aca="false">IF(B136="","",IFERROR(INDEX(INV_NAME,MATCH(B136,INV_ID,0)),"CHECK: Supplier ID not found"))</f>
        <v/>
      </c>
      <c r="D136" s="63" t="str">
        <f aca="false">IF(B136="","",IFERROR(INDEX(INV_TIER,MATCH(B136,INV_ID,0)),""))</f>
        <v/>
      </c>
      <c r="E136" s="50"/>
      <c r="F136" s="59" t="str">
        <f aca="false">IF(E136="","",IFERROR(INDEX(QB_Q,MATCH(E136,QB_ID,0)),"CHECK: Question ID not found"))</f>
        <v/>
      </c>
      <c r="G136" s="59" t="str">
        <f aca="false">IF(E136="","",IFERROR(INDEX(QB_DOMAIN,MATCH(E136,QB_ID,0)),""))</f>
        <v/>
      </c>
      <c r="H136" s="54" t="str">
        <f aca="false">IF(OR(A136="",E136=""),"",IFERROR(IF(ISNUMBER(MATCH(D136,{"Low","Medium","High"},0)),IF(MATCH(D136,{"Low","Medium","High"},0)&gt;=MATCH(INDEX(QB_MINTIER,MATCH(E136,QB_ID,0)),{"Low","Medium","High"},0),"Recommended for tier","Optional for tier"),"Tier not determined"),"Check question"))</f>
        <v/>
      </c>
      <c r="I136" s="34"/>
      <c r="J136" s="50"/>
      <c r="K136" s="34"/>
      <c r="L136" s="34"/>
      <c r="M136" s="62" t="str">
        <f aca="false">IF(L136="","",SUMPRODUCT(ISNUMBER(SEARCH(","&amp;EV_ID&amp;",",","&amp;SUBSTITUTE(L136," ","")&amp;","))*(EV_ID&lt;&gt;"")))</f>
        <v/>
      </c>
      <c r="N136" s="54" t="str">
        <f aca="false">IF(A136="","",IF(I136&lt;&gt;"Applicable",IF(I136="","Applicability not set","Not in scope ("&amp;I136&amp;")"),IF(OR(J136="",J136="Not answered"),"Awaiting supplier response",IF(J136="Not applicable","Supplier states not applicable - analyst to confirm",IF(L136="","Evidence insufficient - none referenced",IF(M136=0,"Evidence insufficient - referenced ID not found",IF(SUMPRODUCT(ISNUMBER(SEARCH(","&amp;EV_ID&amp;",",","&amp;SUBSTITUTE(L136," ","")&amp;","))*(EV_ID&lt;&gt;"")*(EV_SUFF="Sufficient"))&gt;0,"Evidence reviewed - sufficient",IF(SUMPRODUCT(ISNUMBER(SEARCH(","&amp;EV_ID&amp;",",","&amp;SUBSTITUTE(L136," ","")&amp;","))*(EV_ID&lt;&gt;"")*(EV_SUFF="Partially sufficient"))&gt;0,"Evidence partially sufficient","Evidence insufficient - referenced evidence not sufficient"))))))))</f>
        <v/>
      </c>
      <c r="O136" s="50"/>
      <c r="P136" s="34"/>
      <c r="Q136" s="34"/>
      <c r="R136" s="50"/>
      <c r="S136" s="51"/>
      <c r="T136" s="51"/>
      <c r="U136" s="52" t="str">
        <f aca="false">IF(OR(A136="",Q136=""),"",IF(AND(ISNUMBER(S136),S136&lt;AsOf,O136&lt;&gt;"Reviewed"),"Overdue",""))</f>
        <v/>
      </c>
      <c r="V136" s="54" t="str">
        <f aca="false">IF(A136="","",IF(COUNTIF(QA_ID,A136)&gt;1,"CHECK: duplicate ID",IF(B136="","CHECK: Supplier ID missing",IF(COUNTIF(INV_ID,B136)=0,"CHECK: Supplier ID not in inventory",IF(E136="","CHECK: Question ID missing",IF(COUNTIF(QB_ID,E136)=0,"CHECK: Question ID not in bank","OK"))))))</f>
        <v/>
      </c>
    </row>
    <row r="137" customFormat="false" ht="15" hidden="false" customHeight="false" outlineLevel="0" collapsed="false">
      <c r="A137" s="50"/>
      <c r="B137" s="50"/>
      <c r="C137" s="59" t="str">
        <f aca="false">IF(B137="","",IFERROR(INDEX(INV_NAME,MATCH(B137,INV_ID,0)),"CHECK: Supplier ID not found"))</f>
        <v/>
      </c>
      <c r="D137" s="63" t="str">
        <f aca="false">IF(B137="","",IFERROR(INDEX(INV_TIER,MATCH(B137,INV_ID,0)),""))</f>
        <v/>
      </c>
      <c r="E137" s="50"/>
      <c r="F137" s="59" t="str">
        <f aca="false">IF(E137="","",IFERROR(INDEX(QB_Q,MATCH(E137,QB_ID,0)),"CHECK: Question ID not found"))</f>
        <v/>
      </c>
      <c r="G137" s="59" t="str">
        <f aca="false">IF(E137="","",IFERROR(INDEX(QB_DOMAIN,MATCH(E137,QB_ID,0)),""))</f>
        <v/>
      </c>
      <c r="H137" s="54" t="str">
        <f aca="false">IF(OR(A137="",E137=""),"",IFERROR(IF(ISNUMBER(MATCH(D137,{"Low","Medium","High"},0)),IF(MATCH(D137,{"Low","Medium","High"},0)&gt;=MATCH(INDEX(QB_MINTIER,MATCH(E137,QB_ID,0)),{"Low","Medium","High"},0),"Recommended for tier","Optional for tier"),"Tier not determined"),"Check question"))</f>
        <v/>
      </c>
      <c r="I137" s="34"/>
      <c r="J137" s="50"/>
      <c r="K137" s="34"/>
      <c r="L137" s="34"/>
      <c r="M137" s="62" t="str">
        <f aca="false">IF(L137="","",SUMPRODUCT(ISNUMBER(SEARCH(","&amp;EV_ID&amp;",",","&amp;SUBSTITUTE(L137," ","")&amp;","))*(EV_ID&lt;&gt;"")))</f>
        <v/>
      </c>
      <c r="N137" s="54" t="str">
        <f aca="false">IF(A137="","",IF(I137&lt;&gt;"Applicable",IF(I137="","Applicability not set","Not in scope ("&amp;I137&amp;")"),IF(OR(J137="",J137="Not answered"),"Awaiting supplier response",IF(J137="Not applicable","Supplier states not applicable - analyst to confirm",IF(L137="","Evidence insufficient - none referenced",IF(M137=0,"Evidence insufficient - referenced ID not found",IF(SUMPRODUCT(ISNUMBER(SEARCH(","&amp;EV_ID&amp;",",","&amp;SUBSTITUTE(L137," ","")&amp;","))*(EV_ID&lt;&gt;"")*(EV_SUFF="Sufficient"))&gt;0,"Evidence reviewed - sufficient",IF(SUMPRODUCT(ISNUMBER(SEARCH(","&amp;EV_ID&amp;",",","&amp;SUBSTITUTE(L137," ","")&amp;","))*(EV_ID&lt;&gt;"")*(EV_SUFF="Partially sufficient"))&gt;0,"Evidence partially sufficient","Evidence insufficient - referenced evidence not sufficient"))))))))</f>
        <v/>
      </c>
      <c r="O137" s="50"/>
      <c r="P137" s="34"/>
      <c r="Q137" s="34"/>
      <c r="R137" s="50"/>
      <c r="S137" s="51"/>
      <c r="T137" s="51"/>
      <c r="U137" s="52" t="str">
        <f aca="false">IF(OR(A137="",Q137=""),"",IF(AND(ISNUMBER(S137),S137&lt;AsOf,O137&lt;&gt;"Reviewed"),"Overdue",""))</f>
        <v/>
      </c>
      <c r="V137" s="54" t="str">
        <f aca="false">IF(A137="","",IF(COUNTIF(QA_ID,A137)&gt;1,"CHECK: duplicate ID",IF(B137="","CHECK: Supplier ID missing",IF(COUNTIF(INV_ID,B137)=0,"CHECK: Supplier ID not in inventory",IF(E137="","CHECK: Question ID missing",IF(COUNTIF(QB_ID,E137)=0,"CHECK: Question ID not in bank","OK"))))))</f>
        <v/>
      </c>
    </row>
    <row r="138" customFormat="false" ht="15" hidden="false" customHeight="false" outlineLevel="0" collapsed="false">
      <c r="A138" s="50"/>
      <c r="B138" s="50"/>
      <c r="C138" s="59" t="str">
        <f aca="false">IF(B138="","",IFERROR(INDEX(INV_NAME,MATCH(B138,INV_ID,0)),"CHECK: Supplier ID not found"))</f>
        <v/>
      </c>
      <c r="D138" s="63" t="str">
        <f aca="false">IF(B138="","",IFERROR(INDEX(INV_TIER,MATCH(B138,INV_ID,0)),""))</f>
        <v/>
      </c>
      <c r="E138" s="50"/>
      <c r="F138" s="59" t="str">
        <f aca="false">IF(E138="","",IFERROR(INDEX(QB_Q,MATCH(E138,QB_ID,0)),"CHECK: Question ID not found"))</f>
        <v/>
      </c>
      <c r="G138" s="59" t="str">
        <f aca="false">IF(E138="","",IFERROR(INDEX(QB_DOMAIN,MATCH(E138,QB_ID,0)),""))</f>
        <v/>
      </c>
      <c r="H138" s="54" t="str">
        <f aca="false">IF(OR(A138="",E138=""),"",IFERROR(IF(ISNUMBER(MATCH(D138,{"Low","Medium","High"},0)),IF(MATCH(D138,{"Low","Medium","High"},0)&gt;=MATCH(INDEX(QB_MINTIER,MATCH(E138,QB_ID,0)),{"Low","Medium","High"},0),"Recommended for tier","Optional for tier"),"Tier not determined"),"Check question"))</f>
        <v/>
      </c>
      <c r="I138" s="34"/>
      <c r="J138" s="50"/>
      <c r="K138" s="34"/>
      <c r="L138" s="34"/>
      <c r="M138" s="62" t="str">
        <f aca="false">IF(L138="","",SUMPRODUCT(ISNUMBER(SEARCH(","&amp;EV_ID&amp;",",","&amp;SUBSTITUTE(L138," ","")&amp;","))*(EV_ID&lt;&gt;"")))</f>
        <v/>
      </c>
      <c r="N138" s="54" t="str">
        <f aca="false">IF(A138="","",IF(I138&lt;&gt;"Applicable",IF(I138="","Applicability not set","Not in scope ("&amp;I138&amp;")"),IF(OR(J138="",J138="Not answered"),"Awaiting supplier response",IF(J138="Not applicable","Supplier states not applicable - analyst to confirm",IF(L138="","Evidence insufficient - none referenced",IF(M138=0,"Evidence insufficient - referenced ID not found",IF(SUMPRODUCT(ISNUMBER(SEARCH(","&amp;EV_ID&amp;",",","&amp;SUBSTITUTE(L138," ","")&amp;","))*(EV_ID&lt;&gt;"")*(EV_SUFF="Sufficient"))&gt;0,"Evidence reviewed - sufficient",IF(SUMPRODUCT(ISNUMBER(SEARCH(","&amp;EV_ID&amp;",",","&amp;SUBSTITUTE(L138," ","")&amp;","))*(EV_ID&lt;&gt;"")*(EV_SUFF="Partially sufficient"))&gt;0,"Evidence partially sufficient","Evidence insufficient - referenced evidence not sufficient"))))))))</f>
        <v/>
      </c>
      <c r="O138" s="50"/>
      <c r="P138" s="34"/>
      <c r="Q138" s="34"/>
      <c r="R138" s="50"/>
      <c r="S138" s="51"/>
      <c r="T138" s="51"/>
      <c r="U138" s="52" t="str">
        <f aca="false">IF(OR(A138="",Q138=""),"",IF(AND(ISNUMBER(S138),S138&lt;AsOf,O138&lt;&gt;"Reviewed"),"Overdue",""))</f>
        <v/>
      </c>
      <c r="V138" s="54" t="str">
        <f aca="false">IF(A138="","",IF(COUNTIF(QA_ID,A138)&gt;1,"CHECK: duplicate ID",IF(B138="","CHECK: Supplier ID missing",IF(COUNTIF(INV_ID,B138)=0,"CHECK: Supplier ID not in inventory",IF(E138="","CHECK: Question ID missing",IF(COUNTIF(QB_ID,E138)=0,"CHECK: Question ID not in bank","OK"))))))</f>
        <v/>
      </c>
    </row>
    <row r="139" customFormat="false" ht="15" hidden="false" customHeight="false" outlineLevel="0" collapsed="false">
      <c r="A139" s="50"/>
      <c r="B139" s="50"/>
      <c r="C139" s="59" t="str">
        <f aca="false">IF(B139="","",IFERROR(INDEX(INV_NAME,MATCH(B139,INV_ID,0)),"CHECK: Supplier ID not found"))</f>
        <v/>
      </c>
      <c r="D139" s="63" t="str">
        <f aca="false">IF(B139="","",IFERROR(INDEX(INV_TIER,MATCH(B139,INV_ID,0)),""))</f>
        <v/>
      </c>
      <c r="E139" s="50"/>
      <c r="F139" s="59" t="str">
        <f aca="false">IF(E139="","",IFERROR(INDEX(QB_Q,MATCH(E139,QB_ID,0)),"CHECK: Question ID not found"))</f>
        <v/>
      </c>
      <c r="G139" s="59" t="str">
        <f aca="false">IF(E139="","",IFERROR(INDEX(QB_DOMAIN,MATCH(E139,QB_ID,0)),""))</f>
        <v/>
      </c>
      <c r="H139" s="54" t="str">
        <f aca="false">IF(OR(A139="",E139=""),"",IFERROR(IF(ISNUMBER(MATCH(D139,{"Low","Medium","High"},0)),IF(MATCH(D139,{"Low","Medium","High"},0)&gt;=MATCH(INDEX(QB_MINTIER,MATCH(E139,QB_ID,0)),{"Low","Medium","High"},0),"Recommended for tier","Optional for tier"),"Tier not determined"),"Check question"))</f>
        <v/>
      </c>
      <c r="I139" s="34"/>
      <c r="J139" s="50"/>
      <c r="K139" s="34"/>
      <c r="L139" s="34"/>
      <c r="M139" s="62" t="str">
        <f aca="false">IF(L139="","",SUMPRODUCT(ISNUMBER(SEARCH(","&amp;EV_ID&amp;",",","&amp;SUBSTITUTE(L139," ","")&amp;","))*(EV_ID&lt;&gt;"")))</f>
        <v/>
      </c>
      <c r="N139" s="54" t="str">
        <f aca="false">IF(A139="","",IF(I139&lt;&gt;"Applicable",IF(I139="","Applicability not set","Not in scope ("&amp;I139&amp;")"),IF(OR(J139="",J139="Not answered"),"Awaiting supplier response",IF(J139="Not applicable","Supplier states not applicable - analyst to confirm",IF(L139="","Evidence insufficient - none referenced",IF(M139=0,"Evidence insufficient - referenced ID not found",IF(SUMPRODUCT(ISNUMBER(SEARCH(","&amp;EV_ID&amp;",",","&amp;SUBSTITUTE(L139," ","")&amp;","))*(EV_ID&lt;&gt;"")*(EV_SUFF="Sufficient"))&gt;0,"Evidence reviewed - sufficient",IF(SUMPRODUCT(ISNUMBER(SEARCH(","&amp;EV_ID&amp;",",","&amp;SUBSTITUTE(L139," ","")&amp;","))*(EV_ID&lt;&gt;"")*(EV_SUFF="Partially sufficient"))&gt;0,"Evidence partially sufficient","Evidence insufficient - referenced evidence not sufficient"))))))))</f>
        <v/>
      </c>
      <c r="O139" s="50"/>
      <c r="P139" s="34"/>
      <c r="Q139" s="34"/>
      <c r="R139" s="50"/>
      <c r="S139" s="51"/>
      <c r="T139" s="51"/>
      <c r="U139" s="52" t="str">
        <f aca="false">IF(OR(A139="",Q139=""),"",IF(AND(ISNUMBER(S139),S139&lt;AsOf,O139&lt;&gt;"Reviewed"),"Overdue",""))</f>
        <v/>
      </c>
      <c r="V139" s="54" t="str">
        <f aca="false">IF(A139="","",IF(COUNTIF(QA_ID,A139)&gt;1,"CHECK: duplicate ID",IF(B139="","CHECK: Supplier ID missing",IF(COUNTIF(INV_ID,B139)=0,"CHECK: Supplier ID not in inventory",IF(E139="","CHECK: Question ID missing",IF(COUNTIF(QB_ID,E139)=0,"CHECK: Question ID not in bank","OK"))))))</f>
        <v/>
      </c>
    </row>
    <row r="140" customFormat="false" ht="15" hidden="false" customHeight="false" outlineLevel="0" collapsed="false">
      <c r="A140" s="50"/>
      <c r="B140" s="50"/>
      <c r="C140" s="59" t="str">
        <f aca="false">IF(B140="","",IFERROR(INDEX(INV_NAME,MATCH(B140,INV_ID,0)),"CHECK: Supplier ID not found"))</f>
        <v/>
      </c>
      <c r="D140" s="63" t="str">
        <f aca="false">IF(B140="","",IFERROR(INDEX(INV_TIER,MATCH(B140,INV_ID,0)),""))</f>
        <v/>
      </c>
      <c r="E140" s="50"/>
      <c r="F140" s="59" t="str">
        <f aca="false">IF(E140="","",IFERROR(INDEX(QB_Q,MATCH(E140,QB_ID,0)),"CHECK: Question ID not found"))</f>
        <v/>
      </c>
      <c r="G140" s="59" t="str">
        <f aca="false">IF(E140="","",IFERROR(INDEX(QB_DOMAIN,MATCH(E140,QB_ID,0)),""))</f>
        <v/>
      </c>
      <c r="H140" s="54" t="str">
        <f aca="false">IF(OR(A140="",E140=""),"",IFERROR(IF(ISNUMBER(MATCH(D140,{"Low","Medium","High"},0)),IF(MATCH(D140,{"Low","Medium","High"},0)&gt;=MATCH(INDEX(QB_MINTIER,MATCH(E140,QB_ID,0)),{"Low","Medium","High"},0),"Recommended for tier","Optional for tier"),"Tier not determined"),"Check question"))</f>
        <v/>
      </c>
      <c r="I140" s="34"/>
      <c r="J140" s="50"/>
      <c r="K140" s="34"/>
      <c r="L140" s="34"/>
      <c r="M140" s="62" t="str">
        <f aca="false">IF(L140="","",SUMPRODUCT(ISNUMBER(SEARCH(","&amp;EV_ID&amp;",",","&amp;SUBSTITUTE(L140," ","")&amp;","))*(EV_ID&lt;&gt;"")))</f>
        <v/>
      </c>
      <c r="N140" s="54" t="str">
        <f aca="false">IF(A140="","",IF(I140&lt;&gt;"Applicable",IF(I140="","Applicability not set","Not in scope ("&amp;I140&amp;")"),IF(OR(J140="",J140="Not answered"),"Awaiting supplier response",IF(J140="Not applicable","Supplier states not applicable - analyst to confirm",IF(L140="","Evidence insufficient - none referenced",IF(M140=0,"Evidence insufficient - referenced ID not found",IF(SUMPRODUCT(ISNUMBER(SEARCH(","&amp;EV_ID&amp;",",","&amp;SUBSTITUTE(L140," ","")&amp;","))*(EV_ID&lt;&gt;"")*(EV_SUFF="Sufficient"))&gt;0,"Evidence reviewed - sufficient",IF(SUMPRODUCT(ISNUMBER(SEARCH(","&amp;EV_ID&amp;",",","&amp;SUBSTITUTE(L140," ","")&amp;","))*(EV_ID&lt;&gt;"")*(EV_SUFF="Partially sufficient"))&gt;0,"Evidence partially sufficient","Evidence insufficient - referenced evidence not sufficient"))))))))</f>
        <v/>
      </c>
      <c r="O140" s="50"/>
      <c r="P140" s="34"/>
      <c r="Q140" s="34"/>
      <c r="R140" s="50"/>
      <c r="S140" s="51"/>
      <c r="T140" s="51"/>
      <c r="U140" s="52" t="str">
        <f aca="false">IF(OR(A140="",Q140=""),"",IF(AND(ISNUMBER(S140),S140&lt;AsOf,O140&lt;&gt;"Reviewed"),"Overdue",""))</f>
        <v/>
      </c>
      <c r="V140" s="54" t="str">
        <f aca="false">IF(A140="","",IF(COUNTIF(QA_ID,A140)&gt;1,"CHECK: duplicate ID",IF(B140="","CHECK: Supplier ID missing",IF(COUNTIF(INV_ID,B140)=0,"CHECK: Supplier ID not in inventory",IF(E140="","CHECK: Question ID missing",IF(COUNTIF(QB_ID,E140)=0,"CHECK: Question ID not in bank","OK"))))))</f>
        <v/>
      </c>
    </row>
    <row r="141" customFormat="false" ht="15" hidden="false" customHeight="false" outlineLevel="0" collapsed="false">
      <c r="A141" s="50"/>
      <c r="B141" s="50"/>
      <c r="C141" s="59" t="str">
        <f aca="false">IF(B141="","",IFERROR(INDEX(INV_NAME,MATCH(B141,INV_ID,0)),"CHECK: Supplier ID not found"))</f>
        <v/>
      </c>
      <c r="D141" s="63" t="str">
        <f aca="false">IF(B141="","",IFERROR(INDEX(INV_TIER,MATCH(B141,INV_ID,0)),""))</f>
        <v/>
      </c>
      <c r="E141" s="50"/>
      <c r="F141" s="59" t="str">
        <f aca="false">IF(E141="","",IFERROR(INDEX(QB_Q,MATCH(E141,QB_ID,0)),"CHECK: Question ID not found"))</f>
        <v/>
      </c>
      <c r="G141" s="59" t="str">
        <f aca="false">IF(E141="","",IFERROR(INDEX(QB_DOMAIN,MATCH(E141,QB_ID,0)),""))</f>
        <v/>
      </c>
      <c r="H141" s="54" t="str">
        <f aca="false">IF(OR(A141="",E141=""),"",IFERROR(IF(ISNUMBER(MATCH(D141,{"Low","Medium","High"},0)),IF(MATCH(D141,{"Low","Medium","High"},0)&gt;=MATCH(INDEX(QB_MINTIER,MATCH(E141,QB_ID,0)),{"Low","Medium","High"},0),"Recommended for tier","Optional for tier"),"Tier not determined"),"Check question"))</f>
        <v/>
      </c>
      <c r="I141" s="34"/>
      <c r="J141" s="50"/>
      <c r="K141" s="34"/>
      <c r="L141" s="34"/>
      <c r="M141" s="62" t="str">
        <f aca="false">IF(L141="","",SUMPRODUCT(ISNUMBER(SEARCH(","&amp;EV_ID&amp;",",","&amp;SUBSTITUTE(L141," ","")&amp;","))*(EV_ID&lt;&gt;"")))</f>
        <v/>
      </c>
      <c r="N141" s="54" t="str">
        <f aca="false">IF(A141="","",IF(I141&lt;&gt;"Applicable",IF(I141="","Applicability not set","Not in scope ("&amp;I141&amp;")"),IF(OR(J141="",J141="Not answered"),"Awaiting supplier response",IF(J141="Not applicable","Supplier states not applicable - analyst to confirm",IF(L141="","Evidence insufficient - none referenced",IF(M141=0,"Evidence insufficient - referenced ID not found",IF(SUMPRODUCT(ISNUMBER(SEARCH(","&amp;EV_ID&amp;",",","&amp;SUBSTITUTE(L141," ","")&amp;","))*(EV_ID&lt;&gt;"")*(EV_SUFF="Sufficient"))&gt;0,"Evidence reviewed - sufficient",IF(SUMPRODUCT(ISNUMBER(SEARCH(","&amp;EV_ID&amp;",",","&amp;SUBSTITUTE(L141," ","")&amp;","))*(EV_ID&lt;&gt;"")*(EV_SUFF="Partially sufficient"))&gt;0,"Evidence partially sufficient","Evidence insufficient - referenced evidence not sufficient"))))))))</f>
        <v/>
      </c>
      <c r="O141" s="50"/>
      <c r="P141" s="34"/>
      <c r="Q141" s="34"/>
      <c r="R141" s="50"/>
      <c r="S141" s="51"/>
      <c r="T141" s="51"/>
      <c r="U141" s="52" t="str">
        <f aca="false">IF(OR(A141="",Q141=""),"",IF(AND(ISNUMBER(S141),S141&lt;AsOf,O141&lt;&gt;"Reviewed"),"Overdue",""))</f>
        <v/>
      </c>
      <c r="V141" s="54" t="str">
        <f aca="false">IF(A141="","",IF(COUNTIF(QA_ID,A141)&gt;1,"CHECK: duplicate ID",IF(B141="","CHECK: Supplier ID missing",IF(COUNTIF(INV_ID,B141)=0,"CHECK: Supplier ID not in inventory",IF(E141="","CHECK: Question ID missing",IF(COUNTIF(QB_ID,E141)=0,"CHECK: Question ID not in bank","OK"))))))</f>
        <v/>
      </c>
    </row>
    <row r="142" customFormat="false" ht="15" hidden="false" customHeight="false" outlineLevel="0" collapsed="false">
      <c r="A142" s="50"/>
      <c r="B142" s="50"/>
      <c r="C142" s="59" t="str">
        <f aca="false">IF(B142="","",IFERROR(INDEX(INV_NAME,MATCH(B142,INV_ID,0)),"CHECK: Supplier ID not found"))</f>
        <v/>
      </c>
      <c r="D142" s="63" t="str">
        <f aca="false">IF(B142="","",IFERROR(INDEX(INV_TIER,MATCH(B142,INV_ID,0)),""))</f>
        <v/>
      </c>
      <c r="E142" s="50"/>
      <c r="F142" s="59" t="str">
        <f aca="false">IF(E142="","",IFERROR(INDEX(QB_Q,MATCH(E142,QB_ID,0)),"CHECK: Question ID not found"))</f>
        <v/>
      </c>
      <c r="G142" s="59" t="str">
        <f aca="false">IF(E142="","",IFERROR(INDEX(QB_DOMAIN,MATCH(E142,QB_ID,0)),""))</f>
        <v/>
      </c>
      <c r="H142" s="54" t="str">
        <f aca="false">IF(OR(A142="",E142=""),"",IFERROR(IF(ISNUMBER(MATCH(D142,{"Low","Medium","High"},0)),IF(MATCH(D142,{"Low","Medium","High"},0)&gt;=MATCH(INDEX(QB_MINTIER,MATCH(E142,QB_ID,0)),{"Low","Medium","High"},0),"Recommended for tier","Optional for tier"),"Tier not determined"),"Check question"))</f>
        <v/>
      </c>
      <c r="I142" s="34"/>
      <c r="J142" s="50"/>
      <c r="K142" s="34"/>
      <c r="L142" s="34"/>
      <c r="M142" s="62" t="str">
        <f aca="false">IF(L142="","",SUMPRODUCT(ISNUMBER(SEARCH(","&amp;EV_ID&amp;",",","&amp;SUBSTITUTE(L142," ","")&amp;","))*(EV_ID&lt;&gt;"")))</f>
        <v/>
      </c>
      <c r="N142" s="54" t="str">
        <f aca="false">IF(A142="","",IF(I142&lt;&gt;"Applicable",IF(I142="","Applicability not set","Not in scope ("&amp;I142&amp;")"),IF(OR(J142="",J142="Not answered"),"Awaiting supplier response",IF(J142="Not applicable","Supplier states not applicable - analyst to confirm",IF(L142="","Evidence insufficient - none referenced",IF(M142=0,"Evidence insufficient - referenced ID not found",IF(SUMPRODUCT(ISNUMBER(SEARCH(","&amp;EV_ID&amp;",",","&amp;SUBSTITUTE(L142," ","")&amp;","))*(EV_ID&lt;&gt;"")*(EV_SUFF="Sufficient"))&gt;0,"Evidence reviewed - sufficient",IF(SUMPRODUCT(ISNUMBER(SEARCH(","&amp;EV_ID&amp;",",","&amp;SUBSTITUTE(L142," ","")&amp;","))*(EV_ID&lt;&gt;"")*(EV_SUFF="Partially sufficient"))&gt;0,"Evidence partially sufficient","Evidence insufficient - referenced evidence not sufficient"))))))))</f>
        <v/>
      </c>
      <c r="O142" s="50"/>
      <c r="P142" s="34"/>
      <c r="Q142" s="34"/>
      <c r="R142" s="50"/>
      <c r="S142" s="51"/>
      <c r="T142" s="51"/>
      <c r="U142" s="52" t="str">
        <f aca="false">IF(OR(A142="",Q142=""),"",IF(AND(ISNUMBER(S142),S142&lt;AsOf,O142&lt;&gt;"Reviewed"),"Overdue",""))</f>
        <v/>
      </c>
      <c r="V142" s="54" t="str">
        <f aca="false">IF(A142="","",IF(COUNTIF(QA_ID,A142)&gt;1,"CHECK: duplicate ID",IF(B142="","CHECK: Supplier ID missing",IF(COUNTIF(INV_ID,B142)=0,"CHECK: Supplier ID not in inventory",IF(E142="","CHECK: Question ID missing",IF(COUNTIF(QB_ID,E142)=0,"CHECK: Question ID not in bank","OK"))))))</f>
        <v/>
      </c>
    </row>
    <row r="143" customFormat="false" ht="15" hidden="false" customHeight="false" outlineLevel="0" collapsed="false">
      <c r="A143" s="50"/>
      <c r="B143" s="50"/>
      <c r="C143" s="59" t="str">
        <f aca="false">IF(B143="","",IFERROR(INDEX(INV_NAME,MATCH(B143,INV_ID,0)),"CHECK: Supplier ID not found"))</f>
        <v/>
      </c>
      <c r="D143" s="63" t="str">
        <f aca="false">IF(B143="","",IFERROR(INDEX(INV_TIER,MATCH(B143,INV_ID,0)),""))</f>
        <v/>
      </c>
      <c r="E143" s="50"/>
      <c r="F143" s="59" t="str">
        <f aca="false">IF(E143="","",IFERROR(INDEX(QB_Q,MATCH(E143,QB_ID,0)),"CHECK: Question ID not found"))</f>
        <v/>
      </c>
      <c r="G143" s="59" t="str">
        <f aca="false">IF(E143="","",IFERROR(INDEX(QB_DOMAIN,MATCH(E143,QB_ID,0)),""))</f>
        <v/>
      </c>
      <c r="H143" s="54" t="str">
        <f aca="false">IF(OR(A143="",E143=""),"",IFERROR(IF(ISNUMBER(MATCH(D143,{"Low","Medium","High"},0)),IF(MATCH(D143,{"Low","Medium","High"},0)&gt;=MATCH(INDEX(QB_MINTIER,MATCH(E143,QB_ID,0)),{"Low","Medium","High"},0),"Recommended for tier","Optional for tier"),"Tier not determined"),"Check question"))</f>
        <v/>
      </c>
      <c r="I143" s="34"/>
      <c r="J143" s="50"/>
      <c r="K143" s="34"/>
      <c r="L143" s="34"/>
      <c r="M143" s="62" t="str">
        <f aca="false">IF(L143="","",SUMPRODUCT(ISNUMBER(SEARCH(","&amp;EV_ID&amp;",",","&amp;SUBSTITUTE(L143," ","")&amp;","))*(EV_ID&lt;&gt;"")))</f>
        <v/>
      </c>
      <c r="N143" s="54" t="str">
        <f aca="false">IF(A143="","",IF(I143&lt;&gt;"Applicable",IF(I143="","Applicability not set","Not in scope ("&amp;I143&amp;")"),IF(OR(J143="",J143="Not answered"),"Awaiting supplier response",IF(J143="Not applicable","Supplier states not applicable - analyst to confirm",IF(L143="","Evidence insufficient - none referenced",IF(M143=0,"Evidence insufficient - referenced ID not found",IF(SUMPRODUCT(ISNUMBER(SEARCH(","&amp;EV_ID&amp;",",","&amp;SUBSTITUTE(L143," ","")&amp;","))*(EV_ID&lt;&gt;"")*(EV_SUFF="Sufficient"))&gt;0,"Evidence reviewed - sufficient",IF(SUMPRODUCT(ISNUMBER(SEARCH(","&amp;EV_ID&amp;",",","&amp;SUBSTITUTE(L143," ","")&amp;","))*(EV_ID&lt;&gt;"")*(EV_SUFF="Partially sufficient"))&gt;0,"Evidence partially sufficient","Evidence insufficient - referenced evidence not sufficient"))))))))</f>
        <v/>
      </c>
      <c r="O143" s="50"/>
      <c r="P143" s="34"/>
      <c r="Q143" s="34"/>
      <c r="R143" s="50"/>
      <c r="S143" s="51"/>
      <c r="T143" s="51"/>
      <c r="U143" s="52" t="str">
        <f aca="false">IF(OR(A143="",Q143=""),"",IF(AND(ISNUMBER(S143),S143&lt;AsOf,O143&lt;&gt;"Reviewed"),"Overdue",""))</f>
        <v/>
      </c>
      <c r="V143" s="54" t="str">
        <f aca="false">IF(A143="","",IF(COUNTIF(QA_ID,A143)&gt;1,"CHECK: duplicate ID",IF(B143="","CHECK: Supplier ID missing",IF(COUNTIF(INV_ID,B143)=0,"CHECK: Supplier ID not in inventory",IF(E143="","CHECK: Question ID missing",IF(COUNTIF(QB_ID,E143)=0,"CHECK: Question ID not in bank","OK"))))))</f>
        <v/>
      </c>
    </row>
    <row r="144" customFormat="false" ht="15" hidden="false" customHeight="false" outlineLevel="0" collapsed="false">
      <c r="A144" s="50"/>
      <c r="B144" s="50"/>
      <c r="C144" s="59" t="str">
        <f aca="false">IF(B144="","",IFERROR(INDEX(INV_NAME,MATCH(B144,INV_ID,0)),"CHECK: Supplier ID not found"))</f>
        <v/>
      </c>
      <c r="D144" s="63" t="str">
        <f aca="false">IF(B144="","",IFERROR(INDEX(INV_TIER,MATCH(B144,INV_ID,0)),""))</f>
        <v/>
      </c>
      <c r="E144" s="50"/>
      <c r="F144" s="59" t="str">
        <f aca="false">IF(E144="","",IFERROR(INDEX(QB_Q,MATCH(E144,QB_ID,0)),"CHECK: Question ID not found"))</f>
        <v/>
      </c>
      <c r="G144" s="59" t="str">
        <f aca="false">IF(E144="","",IFERROR(INDEX(QB_DOMAIN,MATCH(E144,QB_ID,0)),""))</f>
        <v/>
      </c>
      <c r="H144" s="54" t="str">
        <f aca="false">IF(OR(A144="",E144=""),"",IFERROR(IF(ISNUMBER(MATCH(D144,{"Low","Medium","High"},0)),IF(MATCH(D144,{"Low","Medium","High"},0)&gt;=MATCH(INDEX(QB_MINTIER,MATCH(E144,QB_ID,0)),{"Low","Medium","High"},0),"Recommended for tier","Optional for tier"),"Tier not determined"),"Check question"))</f>
        <v/>
      </c>
      <c r="I144" s="34"/>
      <c r="J144" s="50"/>
      <c r="K144" s="34"/>
      <c r="L144" s="34"/>
      <c r="M144" s="62" t="str">
        <f aca="false">IF(L144="","",SUMPRODUCT(ISNUMBER(SEARCH(","&amp;EV_ID&amp;",",","&amp;SUBSTITUTE(L144," ","")&amp;","))*(EV_ID&lt;&gt;"")))</f>
        <v/>
      </c>
      <c r="N144" s="54" t="str">
        <f aca="false">IF(A144="","",IF(I144&lt;&gt;"Applicable",IF(I144="","Applicability not set","Not in scope ("&amp;I144&amp;")"),IF(OR(J144="",J144="Not answered"),"Awaiting supplier response",IF(J144="Not applicable","Supplier states not applicable - analyst to confirm",IF(L144="","Evidence insufficient - none referenced",IF(M144=0,"Evidence insufficient - referenced ID not found",IF(SUMPRODUCT(ISNUMBER(SEARCH(","&amp;EV_ID&amp;",",","&amp;SUBSTITUTE(L144," ","")&amp;","))*(EV_ID&lt;&gt;"")*(EV_SUFF="Sufficient"))&gt;0,"Evidence reviewed - sufficient",IF(SUMPRODUCT(ISNUMBER(SEARCH(","&amp;EV_ID&amp;",",","&amp;SUBSTITUTE(L144," ","")&amp;","))*(EV_ID&lt;&gt;"")*(EV_SUFF="Partially sufficient"))&gt;0,"Evidence partially sufficient","Evidence insufficient - referenced evidence not sufficient"))))))))</f>
        <v/>
      </c>
      <c r="O144" s="50"/>
      <c r="P144" s="34"/>
      <c r="Q144" s="34"/>
      <c r="R144" s="50"/>
      <c r="S144" s="51"/>
      <c r="T144" s="51"/>
      <c r="U144" s="52" t="str">
        <f aca="false">IF(OR(A144="",Q144=""),"",IF(AND(ISNUMBER(S144),S144&lt;AsOf,O144&lt;&gt;"Reviewed"),"Overdue",""))</f>
        <v/>
      </c>
      <c r="V144" s="54" t="str">
        <f aca="false">IF(A144="","",IF(COUNTIF(QA_ID,A144)&gt;1,"CHECK: duplicate ID",IF(B144="","CHECK: Supplier ID missing",IF(COUNTIF(INV_ID,B144)=0,"CHECK: Supplier ID not in inventory",IF(E144="","CHECK: Question ID missing",IF(COUNTIF(QB_ID,E144)=0,"CHECK: Question ID not in bank","OK"))))))</f>
        <v/>
      </c>
    </row>
    <row r="145" customFormat="false" ht="15" hidden="false" customHeight="false" outlineLevel="0" collapsed="false">
      <c r="A145" s="50"/>
      <c r="B145" s="50"/>
      <c r="C145" s="59" t="str">
        <f aca="false">IF(B145="","",IFERROR(INDEX(INV_NAME,MATCH(B145,INV_ID,0)),"CHECK: Supplier ID not found"))</f>
        <v/>
      </c>
      <c r="D145" s="63" t="str">
        <f aca="false">IF(B145="","",IFERROR(INDEX(INV_TIER,MATCH(B145,INV_ID,0)),""))</f>
        <v/>
      </c>
      <c r="E145" s="50"/>
      <c r="F145" s="59" t="str">
        <f aca="false">IF(E145="","",IFERROR(INDEX(QB_Q,MATCH(E145,QB_ID,0)),"CHECK: Question ID not found"))</f>
        <v/>
      </c>
      <c r="G145" s="59" t="str">
        <f aca="false">IF(E145="","",IFERROR(INDEX(QB_DOMAIN,MATCH(E145,QB_ID,0)),""))</f>
        <v/>
      </c>
      <c r="H145" s="54" t="str">
        <f aca="false">IF(OR(A145="",E145=""),"",IFERROR(IF(ISNUMBER(MATCH(D145,{"Low","Medium","High"},0)),IF(MATCH(D145,{"Low","Medium","High"},0)&gt;=MATCH(INDEX(QB_MINTIER,MATCH(E145,QB_ID,0)),{"Low","Medium","High"},0),"Recommended for tier","Optional for tier"),"Tier not determined"),"Check question"))</f>
        <v/>
      </c>
      <c r="I145" s="34"/>
      <c r="J145" s="50"/>
      <c r="K145" s="34"/>
      <c r="L145" s="34"/>
      <c r="M145" s="62" t="str">
        <f aca="false">IF(L145="","",SUMPRODUCT(ISNUMBER(SEARCH(","&amp;EV_ID&amp;",",","&amp;SUBSTITUTE(L145," ","")&amp;","))*(EV_ID&lt;&gt;"")))</f>
        <v/>
      </c>
      <c r="N145" s="54" t="str">
        <f aca="false">IF(A145="","",IF(I145&lt;&gt;"Applicable",IF(I145="","Applicability not set","Not in scope ("&amp;I145&amp;")"),IF(OR(J145="",J145="Not answered"),"Awaiting supplier response",IF(J145="Not applicable","Supplier states not applicable - analyst to confirm",IF(L145="","Evidence insufficient - none referenced",IF(M145=0,"Evidence insufficient - referenced ID not found",IF(SUMPRODUCT(ISNUMBER(SEARCH(","&amp;EV_ID&amp;",",","&amp;SUBSTITUTE(L145," ","")&amp;","))*(EV_ID&lt;&gt;"")*(EV_SUFF="Sufficient"))&gt;0,"Evidence reviewed - sufficient",IF(SUMPRODUCT(ISNUMBER(SEARCH(","&amp;EV_ID&amp;",",","&amp;SUBSTITUTE(L145," ","")&amp;","))*(EV_ID&lt;&gt;"")*(EV_SUFF="Partially sufficient"))&gt;0,"Evidence partially sufficient","Evidence insufficient - referenced evidence not sufficient"))))))))</f>
        <v/>
      </c>
      <c r="O145" s="50"/>
      <c r="P145" s="34"/>
      <c r="Q145" s="34"/>
      <c r="R145" s="50"/>
      <c r="S145" s="51"/>
      <c r="T145" s="51"/>
      <c r="U145" s="52" t="str">
        <f aca="false">IF(OR(A145="",Q145=""),"",IF(AND(ISNUMBER(S145),S145&lt;AsOf,O145&lt;&gt;"Reviewed"),"Overdue",""))</f>
        <v/>
      </c>
      <c r="V145" s="54" t="str">
        <f aca="false">IF(A145="","",IF(COUNTIF(QA_ID,A145)&gt;1,"CHECK: duplicate ID",IF(B145="","CHECK: Supplier ID missing",IF(COUNTIF(INV_ID,B145)=0,"CHECK: Supplier ID not in inventory",IF(E145="","CHECK: Question ID missing",IF(COUNTIF(QB_ID,E145)=0,"CHECK: Question ID not in bank","OK"))))))</f>
        <v/>
      </c>
    </row>
    <row r="146" customFormat="false" ht="15" hidden="false" customHeight="false" outlineLevel="0" collapsed="false">
      <c r="A146" s="50"/>
      <c r="B146" s="50"/>
      <c r="C146" s="59" t="str">
        <f aca="false">IF(B146="","",IFERROR(INDEX(INV_NAME,MATCH(B146,INV_ID,0)),"CHECK: Supplier ID not found"))</f>
        <v/>
      </c>
      <c r="D146" s="63" t="str">
        <f aca="false">IF(B146="","",IFERROR(INDEX(INV_TIER,MATCH(B146,INV_ID,0)),""))</f>
        <v/>
      </c>
      <c r="E146" s="50"/>
      <c r="F146" s="59" t="str">
        <f aca="false">IF(E146="","",IFERROR(INDEX(QB_Q,MATCH(E146,QB_ID,0)),"CHECK: Question ID not found"))</f>
        <v/>
      </c>
      <c r="G146" s="59" t="str">
        <f aca="false">IF(E146="","",IFERROR(INDEX(QB_DOMAIN,MATCH(E146,QB_ID,0)),""))</f>
        <v/>
      </c>
      <c r="H146" s="54" t="str">
        <f aca="false">IF(OR(A146="",E146=""),"",IFERROR(IF(ISNUMBER(MATCH(D146,{"Low","Medium","High"},0)),IF(MATCH(D146,{"Low","Medium","High"},0)&gt;=MATCH(INDEX(QB_MINTIER,MATCH(E146,QB_ID,0)),{"Low","Medium","High"},0),"Recommended for tier","Optional for tier"),"Tier not determined"),"Check question"))</f>
        <v/>
      </c>
      <c r="I146" s="34"/>
      <c r="J146" s="50"/>
      <c r="K146" s="34"/>
      <c r="L146" s="34"/>
      <c r="M146" s="62" t="str">
        <f aca="false">IF(L146="","",SUMPRODUCT(ISNUMBER(SEARCH(","&amp;EV_ID&amp;",",","&amp;SUBSTITUTE(L146," ","")&amp;","))*(EV_ID&lt;&gt;"")))</f>
        <v/>
      </c>
      <c r="N146" s="54" t="str">
        <f aca="false">IF(A146="","",IF(I146&lt;&gt;"Applicable",IF(I146="","Applicability not set","Not in scope ("&amp;I146&amp;")"),IF(OR(J146="",J146="Not answered"),"Awaiting supplier response",IF(J146="Not applicable","Supplier states not applicable - analyst to confirm",IF(L146="","Evidence insufficient - none referenced",IF(M146=0,"Evidence insufficient - referenced ID not found",IF(SUMPRODUCT(ISNUMBER(SEARCH(","&amp;EV_ID&amp;",",","&amp;SUBSTITUTE(L146," ","")&amp;","))*(EV_ID&lt;&gt;"")*(EV_SUFF="Sufficient"))&gt;0,"Evidence reviewed - sufficient",IF(SUMPRODUCT(ISNUMBER(SEARCH(","&amp;EV_ID&amp;",",","&amp;SUBSTITUTE(L146," ","")&amp;","))*(EV_ID&lt;&gt;"")*(EV_SUFF="Partially sufficient"))&gt;0,"Evidence partially sufficient","Evidence insufficient - referenced evidence not sufficient"))))))))</f>
        <v/>
      </c>
      <c r="O146" s="50"/>
      <c r="P146" s="34"/>
      <c r="Q146" s="34"/>
      <c r="R146" s="50"/>
      <c r="S146" s="51"/>
      <c r="T146" s="51"/>
      <c r="U146" s="52" t="str">
        <f aca="false">IF(OR(A146="",Q146=""),"",IF(AND(ISNUMBER(S146),S146&lt;AsOf,O146&lt;&gt;"Reviewed"),"Overdue",""))</f>
        <v/>
      </c>
      <c r="V146" s="54" t="str">
        <f aca="false">IF(A146="","",IF(COUNTIF(QA_ID,A146)&gt;1,"CHECK: duplicate ID",IF(B146="","CHECK: Supplier ID missing",IF(COUNTIF(INV_ID,B146)=0,"CHECK: Supplier ID not in inventory",IF(E146="","CHECK: Question ID missing",IF(COUNTIF(QB_ID,E146)=0,"CHECK: Question ID not in bank","OK"))))))</f>
        <v/>
      </c>
    </row>
    <row r="147" customFormat="false" ht="15" hidden="false" customHeight="false" outlineLevel="0" collapsed="false">
      <c r="A147" s="50"/>
      <c r="B147" s="50"/>
      <c r="C147" s="59" t="str">
        <f aca="false">IF(B147="","",IFERROR(INDEX(INV_NAME,MATCH(B147,INV_ID,0)),"CHECK: Supplier ID not found"))</f>
        <v/>
      </c>
      <c r="D147" s="63" t="str">
        <f aca="false">IF(B147="","",IFERROR(INDEX(INV_TIER,MATCH(B147,INV_ID,0)),""))</f>
        <v/>
      </c>
      <c r="E147" s="50"/>
      <c r="F147" s="59" t="str">
        <f aca="false">IF(E147="","",IFERROR(INDEX(QB_Q,MATCH(E147,QB_ID,0)),"CHECK: Question ID not found"))</f>
        <v/>
      </c>
      <c r="G147" s="59" t="str">
        <f aca="false">IF(E147="","",IFERROR(INDEX(QB_DOMAIN,MATCH(E147,QB_ID,0)),""))</f>
        <v/>
      </c>
      <c r="H147" s="54" t="str">
        <f aca="false">IF(OR(A147="",E147=""),"",IFERROR(IF(ISNUMBER(MATCH(D147,{"Low","Medium","High"},0)),IF(MATCH(D147,{"Low","Medium","High"},0)&gt;=MATCH(INDEX(QB_MINTIER,MATCH(E147,QB_ID,0)),{"Low","Medium","High"},0),"Recommended for tier","Optional for tier"),"Tier not determined"),"Check question"))</f>
        <v/>
      </c>
      <c r="I147" s="34"/>
      <c r="J147" s="50"/>
      <c r="K147" s="34"/>
      <c r="L147" s="34"/>
      <c r="M147" s="62" t="str">
        <f aca="false">IF(L147="","",SUMPRODUCT(ISNUMBER(SEARCH(","&amp;EV_ID&amp;",",","&amp;SUBSTITUTE(L147," ","")&amp;","))*(EV_ID&lt;&gt;"")))</f>
        <v/>
      </c>
      <c r="N147" s="54" t="str">
        <f aca="false">IF(A147="","",IF(I147&lt;&gt;"Applicable",IF(I147="","Applicability not set","Not in scope ("&amp;I147&amp;")"),IF(OR(J147="",J147="Not answered"),"Awaiting supplier response",IF(J147="Not applicable","Supplier states not applicable - analyst to confirm",IF(L147="","Evidence insufficient - none referenced",IF(M147=0,"Evidence insufficient - referenced ID not found",IF(SUMPRODUCT(ISNUMBER(SEARCH(","&amp;EV_ID&amp;",",","&amp;SUBSTITUTE(L147," ","")&amp;","))*(EV_ID&lt;&gt;"")*(EV_SUFF="Sufficient"))&gt;0,"Evidence reviewed - sufficient",IF(SUMPRODUCT(ISNUMBER(SEARCH(","&amp;EV_ID&amp;",",","&amp;SUBSTITUTE(L147," ","")&amp;","))*(EV_ID&lt;&gt;"")*(EV_SUFF="Partially sufficient"))&gt;0,"Evidence partially sufficient","Evidence insufficient - referenced evidence not sufficient"))))))))</f>
        <v/>
      </c>
      <c r="O147" s="50"/>
      <c r="P147" s="34"/>
      <c r="Q147" s="34"/>
      <c r="R147" s="50"/>
      <c r="S147" s="51"/>
      <c r="T147" s="51"/>
      <c r="U147" s="52" t="str">
        <f aca="false">IF(OR(A147="",Q147=""),"",IF(AND(ISNUMBER(S147),S147&lt;AsOf,O147&lt;&gt;"Reviewed"),"Overdue",""))</f>
        <v/>
      </c>
      <c r="V147" s="54" t="str">
        <f aca="false">IF(A147="","",IF(COUNTIF(QA_ID,A147)&gt;1,"CHECK: duplicate ID",IF(B147="","CHECK: Supplier ID missing",IF(COUNTIF(INV_ID,B147)=0,"CHECK: Supplier ID not in inventory",IF(E147="","CHECK: Question ID missing",IF(COUNTIF(QB_ID,E147)=0,"CHECK: Question ID not in bank","OK"))))))</f>
        <v/>
      </c>
    </row>
    <row r="148" customFormat="false" ht="15" hidden="false" customHeight="false" outlineLevel="0" collapsed="false">
      <c r="A148" s="50"/>
      <c r="B148" s="50"/>
      <c r="C148" s="59" t="str">
        <f aca="false">IF(B148="","",IFERROR(INDEX(INV_NAME,MATCH(B148,INV_ID,0)),"CHECK: Supplier ID not found"))</f>
        <v/>
      </c>
      <c r="D148" s="63" t="str">
        <f aca="false">IF(B148="","",IFERROR(INDEX(INV_TIER,MATCH(B148,INV_ID,0)),""))</f>
        <v/>
      </c>
      <c r="E148" s="50"/>
      <c r="F148" s="59" t="str">
        <f aca="false">IF(E148="","",IFERROR(INDEX(QB_Q,MATCH(E148,QB_ID,0)),"CHECK: Question ID not found"))</f>
        <v/>
      </c>
      <c r="G148" s="59" t="str">
        <f aca="false">IF(E148="","",IFERROR(INDEX(QB_DOMAIN,MATCH(E148,QB_ID,0)),""))</f>
        <v/>
      </c>
      <c r="H148" s="54" t="str">
        <f aca="false">IF(OR(A148="",E148=""),"",IFERROR(IF(ISNUMBER(MATCH(D148,{"Low","Medium","High"},0)),IF(MATCH(D148,{"Low","Medium","High"},0)&gt;=MATCH(INDEX(QB_MINTIER,MATCH(E148,QB_ID,0)),{"Low","Medium","High"},0),"Recommended for tier","Optional for tier"),"Tier not determined"),"Check question"))</f>
        <v/>
      </c>
      <c r="I148" s="34"/>
      <c r="J148" s="50"/>
      <c r="K148" s="34"/>
      <c r="L148" s="34"/>
      <c r="M148" s="62" t="str">
        <f aca="false">IF(L148="","",SUMPRODUCT(ISNUMBER(SEARCH(","&amp;EV_ID&amp;",",","&amp;SUBSTITUTE(L148," ","")&amp;","))*(EV_ID&lt;&gt;"")))</f>
        <v/>
      </c>
      <c r="N148" s="54" t="str">
        <f aca="false">IF(A148="","",IF(I148&lt;&gt;"Applicable",IF(I148="","Applicability not set","Not in scope ("&amp;I148&amp;")"),IF(OR(J148="",J148="Not answered"),"Awaiting supplier response",IF(J148="Not applicable","Supplier states not applicable - analyst to confirm",IF(L148="","Evidence insufficient - none referenced",IF(M148=0,"Evidence insufficient - referenced ID not found",IF(SUMPRODUCT(ISNUMBER(SEARCH(","&amp;EV_ID&amp;",",","&amp;SUBSTITUTE(L148," ","")&amp;","))*(EV_ID&lt;&gt;"")*(EV_SUFF="Sufficient"))&gt;0,"Evidence reviewed - sufficient",IF(SUMPRODUCT(ISNUMBER(SEARCH(","&amp;EV_ID&amp;",",","&amp;SUBSTITUTE(L148," ","")&amp;","))*(EV_ID&lt;&gt;"")*(EV_SUFF="Partially sufficient"))&gt;0,"Evidence partially sufficient","Evidence insufficient - referenced evidence not sufficient"))))))))</f>
        <v/>
      </c>
      <c r="O148" s="50"/>
      <c r="P148" s="34"/>
      <c r="Q148" s="34"/>
      <c r="R148" s="50"/>
      <c r="S148" s="51"/>
      <c r="T148" s="51"/>
      <c r="U148" s="52" t="str">
        <f aca="false">IF(OR(A148="",Q148=""),"",IF(AND(ISNUMBER(S148),S148&lt;AsOf,O148&lt;&gt;"Reviewed"),"Overdue",""))</f>
        <v/>
      </c>
      <c r="V148" s="54" t="str">
        <f aca="false">IF(A148="","",IF(COUNTIF(QA_ID,A148)&gt;1,"CHECK: duplicate ID",IF(B148="","CHECK: Supplier ID missing",IF(COUNTIF(INV_ID,B148)=0,"CHECK: Supplier ID not in inventory",IF(E148="","CHECK: Question ID missing",IF(COUNTIF(QB_ID,E148)=0,"CHECK: Question ID not in bank","OK"))))))</f>
        <v/>
      </c>
    </row>
    <row r="149" customFormat="false" ht="15" hidden="false" customHeight="false" outlineLevel="0" collapsed="false">
      <c r="A149" s="50"/>
      <c r="B149" s="50"/>
      <c r="C149" s="59" t="str">
        <f aca="false">IF(B149="","",IFERROR(INDEX(INV_NAME,MATCH(B149,INV_ID,0)),"CHECK: Supplier ID not found"))</f>
        <v/>
      </c>
      <c r="D149" s="63" t="str">
        <f aca="false">IF(B149="","",IFERROR(INDEX(INV_TIER,MATCH(B149,INV_ID,0)),""))</f>
        <v/>
      </c>
      <c r="E149" s="50"/>
      <c r="F149" s="59" t="str">
        <f aca="false">IF(E149="","",IFERROR(INDEX(QB_Q,MATCH(E149,QB_ID,0)),"CHECK: Question ID not found"))</f>
        <v/>
      </c>
      <c r="G149" s="59" t="str">
        <f aca="false">IF(E149="","",IFERROR(INDEX(QB_DOMAIN,MATCH(E149,QB_ID,0)),""))</f>
        <v/>
      </c>
      <c r="H149" s="54" t="str">
        <f aca="false">IF(OR(A149="",E149=""),"",IFERROR(IF(ISNUMBER(MATCH(D149,{"Low","Medium","High"},0)),IF(MATCH(D149,{"Low","Medium","High"},0)&gt;=MATCH(INDEX(QB_MINTIER,MATCH(E149,QB_ID,0)),{"Low","Medium","High"},0),"Recommended for tier","Optional for tier"),"Tier not determined"),"Check question"))</f>
        <v/>
      </c>
      <c r="I149" s="34"/>
      <c r="J149" s="50"/>
      <c r="K149" s="34"/>
      <c r="L149" s="34"/>
      <c r="M149" s="62" t="str">
        <f aca="false">IF(L149="","",SUMPRODUCT(ISNUMBER(SEARCH(","&amp;EV_ID&amp;",",","&amp;SUBSTITUTE(L149," ","")&amp;","))*(EV_ID&lt;&gt;"")))</f>
        <v/>
      </c>
      <c r="N149" s="54" t="str">
        <f aca="false">IF(A149="","",IF(I149&lt;&gt;"Applicable",IF(I149="","Applicability not set","Not in scope ("&amp;I149&amp;")"),IF(OR(J149="",J149="Not answered"),"Awaiting supplier response",IF(J149="Not applicable","Supplier states not applicable - analyst to confirm",IF(L149="","Evidence insufficient - none referenced",IF(M149=0,"Evidence insufficient - referenced ID not found",IF(SUMPRODUCT(ISNUMBER(SEARCH(","&amp;EV_ID&amp;",",","&amp;SUBSTITUTE(L149," ","")&amp;","))*(EV_ID&lt;&gt;"")*(EV_SUFF="Sufficient"))&gt;0,"Evidence reviewed - sufficient",IF(SUMPRODUCT(ISNUMBER(SEARCH(","&amp;EV_ID&amp;",",","&amp;SUBSTITUTE(L149," ","")&amp;","))*(EV_ID&lt;&gt;"")*(EV_SUFF="Partially sufficient"))&gt;0,"Evidence partially sufficient","Evidence insufficient - referenced evidence not sufficient"))))))))</f>
        <v/>
      </c>
      <c r="O149" s="50"/>
      <c r="P149" s="34"/>
      <c r="Q149" s="34"/>
      <c r="R149" s="50"/>
      <c r="S149" s="51"/>
      <c r="T149" s="51"/>
      <c r="U149" s="52" t="str">
        <f aca="false">IF(OR(A149="",Q149=""),"",IF(AND(ISNUMBER(S149),S149&lt;AsOf,O149&lt;&gt;"Reviewed"),"Overdue",""))</f>
        <v/>
      </c>
      <c r="V149" s="54" t="str">
        <f aca="false">IF(A149="","",IF(COUNTIF(QA_ID,A149)&gt;1,"CHECK: duplicate ID",IF(B149="","CHECK: Supplier ID missing",IF(COUNTIF(INV_ID,B149)=0,"CHECK: Supplier ID not in inventory",IF(E149="","CHECK: Question ID missing",IF(COUNTIF(QB_ID,E149)=0,"CHECK: Question ID not in bank","OK"))))))</f>
        <v/>
      </c>
    </row>
    <row r="150" customFormat="false" ht="15" hidden="false" customHeight="false" outlineLevel="0" collapsed="false">
      <c r="A150" s="50"/>
      <c r="B150" s="50"/>
      <c r="C150" s="59" t="str">
        <f aca="false">IF(B150="","",IFERROR(INDEX(INV_NAME,MATCH(B150,INV_ID,0)),"CHECK: Supplier ID not found"))</f>
        <v/>
      </c>
      <c r="D150" s="63" t="str">
        <f aca="false">IF(B150="","",IFERROR(INDEX(INV_TIER,MATCH(B150,INV_ID,0)),""))</f>
        <v/>
      </c>
      <c r="E150" s="50"/>
      <c r="F150" s="59" t="str">
        <f aca="false">IF(E150="","",IFERROR(INDEX(QB_Q,MATCH(E150,QB_ID,0)),"CHECK: Question ID not found"))</f>
        <v/>
      </c>
      <c r="G150" s="59" t="str">
        <f aca="false">IF(E150="","",IFERROR(INDEX(QB_DOMAIN,MATCH(E150,QB_ID,0)),""))</f>
        <v/>
      </c>
      <c r="H150" s="54" t="str">
        <f aca="false">IF(OR(A150="",E150=""),"",IFERROR(IF(ISNUMBER(MATCH(D150,{"Low","Medium","High"},0)),IF(MATCH(D150,{"Low","Medium","High"},0)&gt;=MATCH(INDEX(QB_MINTIER,MATCH(E150,QB_ID,0)),{"Low","Medium","High"},0),"Recommended for tier","Optional for tier"),"Tier not determined"),"Check question"))</f>
        <v/>
      </c>
      <c r="I150" s="34"/>
      <c r="J150" s="50"/>
      <c r="K150" s="34"/>
      <c r="L150" s="34"/>
      <c r="M150" s="62" t="str">
        <f aca="false">IF(L150="","",SUMPRODUCT(ISNUMBER(SEARCH(","&amp;EV_ID&amp;",",","&amp;SUBSTITUTE(L150," ","")&amp;","))*(EV_ID&lt;&gt;"")))</f>
        <v/>
      </c>
      <c r="N150" s="54" t="str">
        <f aca="false">IF(A150="","",IF(I150&lt;&gt;"Applicable",IF(I150="","Applicability not set","Not in scope ("&amp;I150&amp;")"),IF(OR(J150="",J150="Not answered"),"Awaiting supplier response",IF(J150="Not applicable","Supplier states not applicable - analyst to confirm",IF(L150="","Evidence insufficient - none referenced",IF(M150=0,"Evidence insufficient - referenced ID not found",IF(SUMPRODUCT(ISNUMBER(SEARCH(","&amp;EV_ID&amp;",",","&amp;SUBSTITUTE(L150," ","")&amp;","))*(EV_ID&lt;&gt;"")*(EV_SUFF="Sufficient"))&gt;0,"Evidence reviewed - sufficient",IF(SUMPRODUCT(ISNUMBER(SEARCH(","&amp;EV_ID&amp;",",","&amp;SUBSTITUTE(L150," ","")&amp;","))*(EV_ID&lt;&gt;"")*(EV_SUFF="Partially sufficient"))&gt;0,"Evidence partially sufficient","Evidence insufficient - referenced evidence not sufficient"))))))))</f>
        <v/>
      </c>
      <c r="O150" s="50"/>
      <c r="P150" s="34"/>
      <c r="Q150" s="34"/>
      <c r="R150" s="50"/>
      <c r="S150" s="51"/>
      <c r="T150" s="51"/>
      <c r="U150" s="52" t="str">
        <f aca="false">IF(OR(A150="",Q150=""),"",IF(AND(ISNUMBER(S150),S150&lt;AsOf,O150&lt;&gt;"Reviewed"),"Overdue",""))</f>
        <v/>
      </c>
      <c r="V150" s="54" t="str">
        <f aca="false">IF(A150="","",IF(COUNTIF(QA_ID,A150)&gt;1,"CHECK: duplicate ID",IF(B150="","CHECK: Supplier ID missing",IF(COUNTIF(INV_ID,B150)=0,"CHECK: Supplier ID not in inventory",IF(E150="","CHECK: Question ID missing",IF(COUNTIF(QB_ID,E150)=0,"CHECK: Question ID not in bank","OK"))))))</f>
        <v/>
      </c>
    </row>
    <row r="151" customFormat="false" ht="15" hidden="false" customHeight="false" outlineLevel="0" collapsed="false">
      <c r="A151" s="50"/>
      <c r="B151" s="50"/>
      <c r="C151" s="59" t="str">
        <f aca="false">IF(B151="","",IFERROR(INDEX(INV_NAME,MATCH(B151,INV_ID,0)),"CHECK: Supplier ID not found"))</f>
        <v/>
      </c>
      <c r="D151" s="63" t="str">
        <f aca="false">IF(B151="","",IFERROR(INDEX(INV_TIER,MATCH(B151,INV_ID,0)),""))</f>
        <v/>
      </c>
      <c r="E151" s="50"/>
      <c r="F151" s="59" t="str">
        <f aca="false">IF(E151="","",IFERROR(INDEX(QB_Q,MATCH(E151,QB_ID,0)),"CHECK: Question ID not found"))</f>
        <v/>
      </c>
      <c r="G151" s="59" t="str">
        <f aca="false">IF(E151="","",IFERROR(INDEX(QB_DOMAIN,MATCH(E151,QB_ID,0)),""))</f>
        <v/>
      </c>
      <c r="H151" s="54" t="str">
        <f aca="false">IF(OR(A151="",E151=""),"",IFERROR(IF(ISNUMBER(MATCH(D151,{"Low","Medium","High"},0)),IF(MATCH(D151,{"Low","Medium","High"},0)&gt;=MATCH(INDEX(QB_MINTIER,MATCH(E151,QB_ID,0)),{"Low","Medium","High"},0),"Recommended for tier","Optional for tier"),"Tier not determined"),"Check question"))</f>
        <v/>
      </c>
      <c r="I151" s="34"/>
      <c r="J151" s="50"/>
      <c r="K151" s="34"/>
      <c r="L151" s="34"/>
      <c r="M151" s="62" t="str">
        <f aca="false">IF(L151="","",SUMPRODUCT(ISNUMBER(SEARCH(","&amp;EV_ID&amp;",",","&amp;SUBSTITUTE(L151," ","")&amp;","))*(EV_ID&lt;&gt;"")))</f>
        <v/>
      </c>
      <c r="N151" s="54" t="str">
        <f aca="false">IF(A151="","",IF(I151&lt;&gt;"Applicable",IF(I151="","Applicability not set","Not in scope ("&amp;I151&amp;")"),IF(OR(J151="",J151="Not answered"),"Awaiting supplier response",IF(J151="Not applicable","Supplier states not applicable - analyst to confirm",IF(L151="","Evidence insufficient - none referenced",IF(M151=0,"Evidence insufficient - referenced ID not found",IF(SUMPRODUCT(ISNUMBER(SEARCH(","&amp;EV_ID&amp;",",","&amp;SUBSTITUTE(L151," ","")&amp;","))*(EV_ID&lt;&gt;"")*(EV_SUFF="Sufficient"))&gt;0,"Evidence reviewed - sufficient",IF(SUMPRODUCT(ISNUMBER(SEARCH(","&amp;EV_ID&amp;",",","&amp;SUBSTITUTE(L151," ","")&amp;","))*(EV_ID&lt;&gt;"")*(EV_SUFF="Partially sufficient"))&gt;0,"Evidence partially sufficient","Evidence insufficient - referenced evidence not sufficient"))))))))</f>
        <v/>
      </c>
      <c r="O151" s="50"/>
      <c r="P151" s="34"/>
      <c r="Q151" s="34"/>
      <c r="R151" s="50"/>
      <c r="S151" s="51"/>
      <c r="T151" s="51"/>
      <c r="U151" s="52" t="str">
        <f aca="false">IF(OR(A151="",Q151=""),"",IF(AND(ISNUMBER(S151),S151&lt;AsOf,O151&lt;&gt;"Reviewed"),"Overdue",""))</f>
        <v/>
      </c>
      <c r="V151" s="54" t="str">
        <f aca="false">IF(A151="","",IF(COUNTIF(QA_ID,A151)&gt;1,"CHECK: duplicate ID",IF(B151="","CHECK: Supplier ID missing",IF(COUNTIF(INV_ID,B151)=0,"CHECK: Supplier ID not in inventory",IF(E151="","CHECK: Question ID missing",IF(COUNTIF(QB_ID,E151)=0,"CHECK: Question ID not in bank","OK"))))))</f>
        <v/>
      </c>
    </row>
    <row r="152" customFormat="false" ht="15" hidden="false" customHeight="false" outlineLevel="0" collapsed="false">
      <c r="A152" s="50"/>
      <c r="B152" s="50"/>
      <c r="C152" s="59" t="str">
        <f aca="false">IF(B152="","",IFERROR(INDEX(INV_NAME,MATCH(B152,INV_ID,0)),"CHECK: Supplier ID not found"))</f>
        <v/>
      </c>
      <c r="D152" s="63" t="str">
        <f aca="false">IF(B152="","",IFERROR(INDEX(INV_TIER,MATCH(B152,INV_ID,0)),""))</f>
        <v/>
      </c>
      <c r="E152" s="50"/>
      <c r="F152" s="59" t="str">
        <f aca="false">IF(E152="","",IFERROR(INDEX(QB_Q,MATCH(E152,QB_ID,0)),"CHECK: Question ID not found"))</f>
        <v/>
      </c>
      <c r="G152" s="59" t="str">
        <f aca="false">IF(E152="","",IFERROR(INDEX(QB_DOMAIN,MATCH(E152,QB_ID,0)),""))</f>
        <v/>
      </c>
      <c r="H152" s="54" t="str">
        <f aca="false">IF(OR(A152="",E152=""),"",IFERROR(IF(ISNUMBER(MATCH(D152,{"Low","Medium","High"},0)),IF(MATCH(D152,{"Low","Medium","High"},0)&gt;=MATCH(INDEX(QB_MINTIER,MATCH(E152,QB_ID,0)),{"Low","Medium","High"},0),"Recommended for tier","Optional for tier"),"Tier not determined"),"Check question"))</f>
        <v/>
      </c>
      <c r="I152" s="34"/>
      <c r="J152" s="50"/>
      <c r="K152" s="34"/>
      <c r="L152" s="34"/>
      <c r="M152" s="62" t="str">
        <f aca="false">IF(L152="","",SUMPRODUCT(ISNUMBER(SEARCH(","&amp;EV_ID&amp;",",","&amp;SUBSTITUTE(L152," ","")&amp;","))*(EV_ID&lt;&gt;"")))</f>
        <v/>
      </c>
      <c r="N152" s="54" t="str">
        <f aca="false">IF(A152="","",IF(I152&lt;&gt;"Applicable",IF(I152="","Applicability not set","Not in scope ("&amp;I152&amp;")"),IF(OR(J152="",J152="Not answered"),"Awaiting supplier response",IF(J152="Not applicable","Supplier states not applicable - analyst to confirm",IF(L152="","Evidence insufficient - none referenced",IF(M152=0,"Evidence insufficient - referenced ID not found",IF(SUMPRODUCT(ISNUMBER(SEARCH(","&amp;EV_ID&amp;",",","&amp;SUBSTITUTE(L152," ","")&amp;","))*(EV_ID&lt;&gt;"")*(EV_SUFF="Sufficient"))&gt;0,"Evidence reviewed - sufficient",IF(SUMPRODUCT(ISNUMBER(SEARCH(","&amp;EV_ID&amp;",",","&amp;SUBSTITUTE(L152," ","")&amp;","))*(EV_ID&lt;&gt;"")*(EV_SUFF="Partially sufficient"))&gt;0,"Evidence partially sufficient","Evidence insufficient - referenced evidence not sufficient"))))))))</f>
        <v/>
      </c>
      <c r="O152" s="50"/>
      <c r="P152" s="34"/>
      <c r="Q152" s="34"/>
      <c r="R152" s="50"/>
      <c r="S152" s="51"/>
      <c r="T152" s="51"/>
      <c r="U152" s="52" t="str">
        <f aca="false">IF(OR(A152="",Q152=""),"",IF(AND(ISNUMBER(S152),S152&lt;AsOf,O152&lt;&gt;"Reviewed"),"Overdue",""))</f>
        <v/>
      </c>
      <c r="V152" s="54" t="str">
        <f aca="false">IF(A152="","",IF(COUNTIF(QA_ID,A152)&gt;1,"CHECK: duplicate ID",IF(B152="","CHECK: Supplier ID missing",IF(COUNTIF(INV_ID,B152)=0,"CHECK: Supplier ID not in inventory",IF(E152="","CHECK: Question ID missing",IF(COUNTIF(QB_ID,E152)=0,"CHECK: Question ID not in bank","OK"))))))</f>
        <v/>
      </c>
    </row>
    <row r="153" customFormat="false" ht="15" hidden="false" customHeight="false" outlineLevel="0" collapsed="false">
      <c r="A153" s="50"/>
      <c r="B153" s="50"/>
      <c r="C153" s="59" t="str">
        <f aca="false">IF(B153="","",IFERROR(INDEX(INV_NAME,MATCH(B153,INV_ID,0)),"CHECK: Supplier ID not found"))</f>
        <v/>
      </c>
      <c r="D153" s="63" t="str">
        <f aca="false">IF(B153="","",IFERROR(INDEX(INV_TIER,MATCH(B153,INV_ID,0)),""))</f>
        <v/>
      </c>
      <c r="E153" s="50"/>
      <c r="F153" s="59" t="str">
        <f aca="false">IF(E153="","",IFERROR(INDEX(QB_Q,MATCH(E153,QB_ID,0)),"CHECK: Question ID not found"))</f>
        <v/>
      </c>
      <c r="G153" s="59" t="str">
        <f aca="false">IF(E153="","",IFERROR(INDEX(QB_DOMAIN,MATCH(E153,QB_ID,0)),""))</f>
        <v/>
      </c>
      <c r="H153" s="54" t="str">
        <f aca="false">IF(OR(A153="",E153=""),"",IFERROR(IF(ISNUMBER(MATCH(D153,{"Low","Medium","High"},0)),IF(MATCH(D153,{"Low","Medium","High"},0)&gt;=MATCH(INDEX(QB_MINTIER,MATCH(E153,QB_ID,0)),{"Low","Medium","High"},0),"Recommended for tier","Optional for tier"),"Tier not determined"),"Check question"))</f>
        <v/>
      </c>
      <c r="I153" s="34"/>
      <c r="J153" s="50"/>
      <c r="K153" s="34"/>
      <c r="L153" s="34"/>
      <c r="M153" s="62" t="str">
        <f aca="false">IF(L153="","",SUMPRODUCT(ISNUMBER(SEARCH(","&amp;EV_ID&amp;",",","&amp;SUBSTITUTE(L153," ","")&amp;","))*(EV_ID&lt;&gt;"")))</f>
        <v/>
      </c>
      <c r="N153" s="54" t="str">
        <f aca="false">IF(A153="","",IF(I153&lt;&gt;"Applicable",IF(I153="","Applicability not set","Not in scope ("&amp;I153&amp;")"),IF(OR(J153="",J153="Not answered"),"Awaiting supplier response",IF(J153="Not applicable","Supplier states not applicable - analyst to confirm",IF(L153="","Evidence insufficient - none referenced",IF(M153=0,"Evidence insufficient - referenced ID not found",IF(SUMPRODUCT(ISNUMBER(SEARCH(","&amp;EV_ID&amp;",",","&amp;SUBSTITUTE(L153," ","")&amp;","))*(EV_ID&lt;&gt;"")*(EV_SUFF="Sufficient"))&gt;0,"Evidence reviewed - sufficient",IF(SUMPRODUCT(ISNUMBER(SEARCH(","&amp;EV_ID&amp;",",","&amp;SUBSTITUTE(L153," ","")&amp;","))*(EV_ID&lt;&gt;"")*(EV_SUFF="Partially sufficient"))&gt;0,"Evidence partially sufficient","Evidence insufficient - referenced evidence not sufficient"))))))))</f>
        <v/>
      </c>
      <c r="O153" s="50"/>
      <c r="P153" s="34"/>
      <c r="Q153" s="34"/>
      <c r="R153" s="50"/>
      <c r="S153" s="51"/>
      <c r="T153" s="51"/>
      <c r="U153" s="52" t="str">
        <f aca="false">IF(OR(A153="",Q153=""),"",IF(AND(ISNUMBER(S153),S153&lt;AsOf,O153&lt;&gt;"Reviewed"),"Overdue",""))</f>
        <v/>
      </c>
      <c r="V153" s="54" t="str">
        <f aca="false">IF(A153="","",IF(COUNTIF(QA_ID,A153)&gt;1,"CHECK: duplicate ID",IF(B153="","CHECK: Supplier ID missing",IF(COUNTIF(INV_ID,B153)=0,"CHECK: Supplier ID not in inventory",IF(E153="","CHECK: Question ID missing",IF(COUNTIF(QB_ID,E153)=0,"CHECK: Question ID not in bank","OK"))))))</f>
        <v/>
      </c>
    </row>
    <row r="154" customFormat="false" ht="15" hidden="false" customHeight="false" outlineLevel="0" collapsed="false">
      <c r="A154" s="50"/>
      <c r="B154" s="50"/>
      <c r="C154" s="59" t="str">
        <f aca="false">IF(B154="","",IFERROR(INDEX(INV_NAME,MATCH(B154,INV_ID,0)),"CHECK: Supplier ID not found"))</f>
        <v/>
      </c>
      <c r="D154" s="63" t="str">
        <f aca="false">IF(B154="","",IFERROR(INDEX(INV_TIER,MATCH(B154,INV_ID,0)),""))</f>
        <v/>
      </c>
      <c r="E154" s="50"/>
      <c r="F154" s="59" t="str">
        <f aca="false">IF(E154="","",IFERROR(INDEX(QB_Q,MATCH(E154,QB_ID,0)),"CHECK: Question ID not found"))</f>
        <v/>
      </c>
      <c r="G154" s="59" t="str">
        <f aca="false">IF(E154="","",IFERROR(INDEX(QB_DOMAIN,MATCH(E154,QB_ID,0)),""))</f>
        <v/>
      </c>
      <c r="H154" s="54" t="str">
        <f aca="false">IF(OR(A154="",E154=""),"",IFERROR(IF(ISNUMBER(MATCH(D154,{"Low","Medium","High"},0)),IF(MATCH(D154,{"Low","Medium","High"},0)&gt;=MATCH(INDEX(QB_MINTIER,MATCH(E154,QB_ID,0)),{"Low","Medium","High"},0),"Recommended for tier","Optional for tier"),"Tier not determined"),"Check question"))</f>
        <v/>
      </c>
      <c r="I154" s="34"/>
      <c r="J154" s="50"/>
      <c r="K154" s="34"/>
      <c r="L154" s="34"/>
      <c r="M154" s="62" t="str">
        <f aca="false">IF(L154="","",SUMPRODUCT(ISNUMBER(SEARCH(","&amp;EV_ID&amp;",",","&amp;SUBSTITUTE(L154," ","")&amp;","))*(EV_ID&lt;&gt;"")))</f>
        <v/>
      </c>
      <c r="N154" s="54" t="str">
        <f aca="false">IF(A154="","",IF(I154&lt;&gt;"Applicable",IF(I154="","Applicability not set","Not in scope ("&amp;I154&amp;")"),IF(OR(J154="",J154="Not answered"),"Awaiting supplier response",IF(J154="Not applicable","Supplier states not applicable - analyst to confirm",IF(L154="","Evidence insufficient - none referenced",IF(M154=0,"Evidence insufficient - referenced ID not found",IF(SUMPRODUCT(ISNUMBER(SEARCH(","&amp;EV_ID&amp;",",","&amp;SUBSTITUTE(L154," ","")&amp;","))*(EV_ID&lt;&gt;"")*(EV_SUFF="Sufficient"))&gt;0,"Evidence reviewed - sufficient",IF(SUMPRODUCT(ISNUMBER(SEARCH(","&amp;EV_ID&amp;",",","&amp;SUBSTITUTE(L154," ","")&amp;","))*(EV_ID&lt;&gt;"")*(EV_SUFF="Partially sufficient"))&gt;0,"Evidence partially sufficient","Evidence insufficient - referenced evidence not sufficient"))))))))</f>
        <v/>
      </c>
      <c r="O154" s="50"/>
      <c r="P154" s="34"/>
      <c r="Q154" s="34"/>
      <c r="R154" s="50"/>
      <c r="S154" s="51"/>
      <c r="T154" s="51"/>
      <c r="U154" s="52" t="str">
        <f aca="false">IF(OR(A154="",Q154=""),"",IF(AND(ISNUMBER(S154),S154&lt;AsOf,O154&lt;&gt;"Reviewed"),"Overdue",""))</f>
        <v/>
      </c>
      <c r="V154" s="54" t="str">
        <f aca="false">IF(A154="","",IF(COUNTIF(QA_ID,A154)&gt;1,"CHECK: duplicate ID",IF(B154="","CHECK: Supplier ID missing",IF(COUNTIF(INV_ID,B154)=0,"CHECK: Supplier ID not in inventory",IF(E154="","CHECK: Question ID missing",IF(COUNTIF(QB_ID,E154)=0,"CHECK: Question ID not in bank","OK"))))))</f>
        <v/>
      </c>
    </row>
    <row r="155" customFormat="false" ht="15" hidden="false" customHeight="false" outlineLevel="0" collapsed="false">
      <c r="A155" s="50"/>
      <c r="B155" s="50"/>
      <c r="C155" s="59" t="str">
        <f aca="false">IF(B155="","",IFERROR(INDEX(INV_NAME,MATCH(B155,INV_ID,0)),"CHECK: Supplier ID not found"))</f>
        <v/>
      </c>
      <c r="D155" s="63" t="str">
        <f aca="false">IF(B155="","",IFERROR(INDEX(INV_TIER,MATCH(B155,INV_ID,0)),""))</f>
        <v/>
      </c>
      <c r="E155" s="50"/>
      <c r="F155" s="59" t="str">
        <f aca="false">IF(E155="","",IFERROR(INDEX(QB_Q,MATCH(E155,QB_ID,0)),"CHECK: Question ID not found"))</f>
        <v/>
      </c>
      <c r="G155" s="59" t="str">
        <f aca="false">IF(E155="","",IFERROR(INDEX(QB_DOMAIN,MATCH(E155,QB_ID,0)),""))</f>
        <v/>
      </c>
      <c r="H155" s="54" t="str">
        <f aca="false">IF(OR(A155="",E155=""),"",IFERROR(IF(ISNUMBER(MATCH(D155,{"Low","Medium","High"},0)),IF(MATCH(D155,{"Low","Medium","High"},0)&gt;=MATCH(INDEX(QB_MINTIER,MATCH(E155,QB_ID,0)),{"Low","Medium","High"},0),"Recommended for tier","Optional for tier"),"Tier not determined"),"Check question"))</f>
        <v/>
      </c>
      <c r="I155" s="34"/>
      <c r="J155" s="50"/>
      <c r="K155" s="34"/>
      <c r="L155" s="34"/>
      <c r="M155" s="62" t="str">
        <f aca="false">IF(L155="","",SUMPRODUCT(ISNUMBER(SEARCH(","&amp;EV_ID&amp;",",","&amp;SUBSTITUTE(L155," ","")&amp;","))*(EV_ID&lt;&gt;"")))</f>
        <v/>
      </c>
      <c r="N155" s="54" t="str">
        <f aca="false">IF(A155="","",IF(I155&lt;&gt;"Applicable",IF(I155="","Applicability not set","Not in scope ("&amp;I155&amp;")"),IF(OR(J155="",J155="Not answered"),"Awaiting supplier response",IF(J155="Not applicable","Supplier states not applicable - analyst to confirm",IF(L155="","Evidence insufficient - none referenced",IF(M155=0,"Evidence insufficient - referenced ID not found",IF(SUMPRODUCT(ISNUMBER(SEARCH(","&amp;EV_ID&amp;",",","&amp;SUBSTITUTE(L155," ","")&amp;","))*(EV_ID&lt;&gt;"")*(EV_SUFF="Sufficient"))&gt;0,"Evidence reviewed - sufficient",IF(SUMPRODUCT(ISNUMBER(SEARCH(","&amp;EV_ID&amp;",",","&amp;SUBSTITUTE(L155," ","")&amp;","))*(EV_ID&lt;&gt;"")*(EV_SUFF="Partially sufficient"))&gt;0,"Evidence partially sufficient","Evidence insufficient - referenced evidence not sufficient"))))))))</f>
        <v/>
      </c>
      <c r="O155" s="50"/>
      <c r="P155" s="34"/>
      <c r="Q155" s="34"/>
      <c r="R155" s="50"/>
      <c r="S155" s="51"/>
      <c r="T155" s="51"/>
      <c r="U155" s="52" t="str">
        <f aca="false">IF(OR(A155="",Q155=""),"",IF(AND(ISNUMBER(S155),S155&lt;AsOf,O155&lt;&gt;"Reviewed"),"Overdue",""))</f>
        <v/>
      </c>
      <c r="V155" s="54" t="str">
        <f aca="false">IF(A155="","",IF(COUNTIF(QA_ID,A155)&gt;1,"CHECK: duplicate ID",IF(B155="","CHECK: Supplier ID missing",IF(COUNTIF(INV_ID,B155)=0,"CHECK: Supplier ID not in inventory",IF(E155="","CHECK: Question ID missing",IF(COUNTIF(QB_ID,E155)=0,"CHECK: Question ID not in bank","OK"))))))</f>
        <v/>
      </c>
    </row>
    <row r="156" customFormat="false" ht="15" hidden="false" customHeight="false" outlineLevel="0" collapsed="false">
      <c r="A156" s="50"/>
      <c r="B156" s="50"/>
      <c r="C156" s="59" t="str">
        <f aca="false">IF(B156="","",IFERROR(INDEX(INV_NAME,MATCH(B156,INV_ID,0)),"CHECK: Supplier ID not found"))</f>
        <v/>
      </c>
      <c r="D156" s="63" t="str">
        <f aca="false">IF(B156="","",IFERROR(INDEX(INV_TIER,MATCH(B156,INV_ID,0)),""))</f>
        <v/>
      </c>
      <c r="E156" s="50"/>
      <c r="F156" s="59" t="str">
        <f aca="false">IF(E156="","",IFERROR(INDEX(QB_Q,MATCH(E156,QB_ID,0)),"CHECK: Question ID not found"))</f>
        <v/>
      </c>
      <c r="G156" s="59" t="str">
        <f aca="false">IF(E156="","",IFERROR(INDEX(QB_DOMAIN,MATCH(E156,QB_ID,0)),""))</f>
        <v/>
      </c>
      <c r="H156" s="54" t="str">
        <f aca="false">IF(OR(A156="",E156=""),"",IFERROR(IF(ISNUMBER(MATCH(D156,{"Low","Medium","High"},0)),IF(MATCH(D156,{"Low","Medium","High"},0)&gt;=MATCH(INDEX(QB_MINTIER,MATCH(E156,QB_ID,0)),{"Low","Medium","High"},0),"Recommended for tier","Optional for tier"),"Tier not determined"),"Check question"))</f>
        <v/>
      </c>
      <c r="I156" s="34"/>
      <c r="J156" s="50"/>
      <c r="K156" s="34"/>
      <c r="L156" s="34"/>
      <c r="M156" s="62" t="str">
        <f aca="false">IF(L156="","",SUMPRODUCT(ISNUMBER(SEARCH(","&amp;EV_ID&amp;",",","&amp;SUBSTITUTE(L156," ","")&amp;","))*(EV_ID&lt;&gt;"")))</f>
        <v/>
      </c>
      <c r="N156" s="54" t="str">
        <f aca="false">IF(A156="","",IF(I156&lt;&gt;"Applicable",IF(I156="","Applicability not set","Not in scope ("&amp;I156&amp;")"),IF(OR(J156="",J156="Not answered"),"Awaiting supplier response",IF(J156="Not applicable","Supplier states not applicable - analyst to confirm",IF(L156="","Evidence insufficient - none referenced",IF(M156=0,"Evidence insufficient - referenced ID not found",IF(SUMPRODUCT(ISNUMBER(SEARCH(","&amp;EV_ID&amp;",",","&amp;SUBSTITUTE(L156," ","")&amp;","))*(EV_ID&lt;&gt;"")*(EV_SUFF="Sufficient"))&gt;0,"Evidence reviewed - sufficient",IF(SUMPRODUCT(ISNUMBER(SEARCH(","&amp;EV_ID&amp;",",","&amp;SUBSTITUTE(L156," ","")&amp;","))*(EV_ID&lt;&gt;"")*(EV_SUFF="Partially sufficient"))&gt;0,"Evidence partially sufficient","Evidence insufficient - referenced evidence not sufficient"))))))))</f>
        <v/>
      </c>
      <c r="O156" s="50"/>
      <c r="P156" s="34"/>
      <c r="Q156" s="34"/>
      <c r="R156" s="50"/>
      <c r="S156" s="51"/>
      <c r="T156" s="51"/>
      <c r="U156" s="52" t="str">
        <f aca="false">IF(OR(A156="",Q156=""),"",IF(AND(ISNUMBER(S156),S156&lt;AsOf,O156&lt;&gt;"Reviewed"),"Overdue",""))</f>
        <v/>
      </c>
      <c r="V156" s="54" t="str">
        <f aca="false">IF(A156="","",IF(COUNTIF(QA_ID,A156)&gt;1,"CHECK: duplicate ID",IF(B156="","CHECK: Supplier ID missing",IF(COUNTIF(INV_ID,B156)=0,"CHECK: Supplier ID not in inventory",IF(E156="","CHECK: Question ID missing",IF(COUNTIF(QB_ID,E156)=0,"CHECK: Question ID not in bank","OK"))))))</f>
        <v/>
      </c>
    </row>
    <row r="157" customFormat="false" ht="15" hidden="false" customHeight="false" outlineLevel="0" collapsed="false">
      <c r="A157" s="50"/>
      <c r="B157" s="50"/>
      <c r="C157" s="59" t="str">
        <f aca="false">IF(B157="","",IFERROR(INDEX(INV_NAME,MATCH(B157,INV_ID,0)),"CHECK: Supplier ID not found"))</f>
        <v/>
      </c>
      <c r="D157" s="63" t="str">
        <f aca="false">IF(B157="","",IFERROR(INDEX(INV_TIER,MATCH(B157,INV_ID,0)),""))</f>
        <v/>
      </c>
      <c r="E157" s="50"/>
      <c r="F157" s="59" t="str">
        <f aca="false">IF(E157="","",IFERROR(INDEX(QB_Q,MATCH(E157,QB_ID,0)),"CHECK: Question ID not found"))</f>
        <v/>
      </c>
      <c r="G157" s="59" t="str">
        <f aca="false">IF(E157="","",IFERROR(INDEX(QB_DOMAIN,MATCH(E157,QB_ID,0)),""))</f>
        <v/>
      </c>
      <c r="H157" s="54" t="str">
        <f aca="false">IF(OR(A157="",E157=""),"",IFERROR(IF(ISNUMBER(MATCH(D157,{"Low","Medium","High"},0)),IF(MATCH(D157,{"Low","Medium","High"},0)&gt;=MATCH(INDEX(QB_MINTIER,MATCH(E157,QB_ID,0)),{"Low","Medium","High"},0),"Recommended for tier","Optional for tier"),"Tier not determined"),"Check question"))</f>
        <v/>
      </c>
      <c r="I157" s="34"/>
      <c r="J157" s="50"/>
      <c r="K157" s="34"/>
      <c r="L157" s="34"/>
      <c r="M157" s="62" t="str">
        <f aca="false">IF(L157="","",SUMPRODUCT(ISNUMBER(SEARCH(","&amp;EV_ID&amp;",",","&amp;SUBSTITUTE(L157," ","")&amp;","))*(EV_ID&lt;&gt;"")))</f>
        <v/>
      </c>
      <c r="N157" s="54" t="str">
        <f aca="false">IF(A157="","",IF(I157&lt;&gt;"Applicable",IF(I157="","Applicability not set","Not in scope ("&amp;I157&amp;")"),IF(OR(J157="",J157="Not answered"),"Awaiting supplier response",IF(J157="Not applicable","Supplier states not applicable - analyst to confirm",IF(L157="","Evidence insufficient - none referenced",IF(M157=0,"Evidence insufficient - referenced ID not found",IF(SUMPRODUCT(ISNUMBER(SEARCH(","&amp;EV_ID&amp;",",","&amp;SUBSTITUTE(L157," ","")&amp;","))*(EV_ID&lt;&gt;"")*(EV_SUFF="Sufficient"))&gt;0,"Evidence reviewed - sufficient",IF(SUMPRODUCT(ISNUMBER(SEARCH(","&amp;EV_ID&amp;",",","&amp;SUBSTITUTE(L157," ","")&amp;","))*(EV_ID&lt;&gt;"")*(EV_SUFF="Partially sufficient"))&gt;0,"Evidence partially sufficient","Evidence insufficient - referenced evidence not sufficient"))))))))</f>
        <v/>
      </c>
      <c r="O157" s="50"/>
      <c r="P157" s="34"/>
      <c r="Q157" s="34"/>
      <c r="R157" s="50"/>
      <c r="S157" s="51"/>
      <c r="T157" s="51"/>
      <c r="U157" s="52" t="str">
        <f aca="false">IF(OR(A157="",Q157=""),"",IF(AND(ISNUMBER(S157),S157&lt;AsOf,O157&lt;&gt;"Reviewed"),"Overdue",""))</f>
        <v/>
      </c>
      <c r="V157" s="54" t="str">
        <f aca="false">IF(A157="","",IF(COUNTIF(QA_ID,A157)&gt;1,"CHECK: duplicate ID",IF(B157="","CHECK: Supplier ID missing",IF(COUNTIF(INV_ID,B157)=0,"CHECK: Supplier ID not in inventory",IF(E157="","CHECK: Question ID missing",IF(COUNTIF(QB_ID,E157)=0,"CHECK: Question ID not in bank","OK"))))))</f>
        <v/>
      </c>
    </row>
    <row r="158" customFormat="false" ht="15" hidden="false" customHeight="false" outlineLevel="0" collapsed="false">
      <c r="A158" s="50"/>
      <c r="B158" s="50"/>
      <c r="C158" s="59" t="str">
        <f aca="false">IF(B158="","",IFERROR(INDEX(INV_NAME,MATCH(B158,INV_ID,0)),"CHECK: Supplier ID not found"))</f>
        <v/>
      </c>
      <c r="D158" s="63" t="str">
        <f aca="false">IF(B158="","",IFERROR(INDEX(INV_TIER,MATCH(B158,INV_ID,0)),""))</f>
        <v/>
      </c>
      <c r="E158" s="50"/>
      <c r="F158" s="59" t="str">
        <f aca="false">IF(E158="","",IFERROR(INDEX(QB_Q,MATCH(E158,QB_ID,0)),"CHECK: Question ID not found"))</f>
        <v/>
      </c>
      <c r="G158" s="59" t="str">
        <f aca="false">IF(E158="","",IFERROR(INDEX(QB_DOMAIN,MATCH(E158,QB_ID,0)),""))</f>
        <v/>
      </c>
      <c r="H158" s="54" t="str">
        <f aca="false">IF(OR(A158="",E158=""),"",IFERROR(IF(ISNUMBER(MATCH(D158,{"Low","Medium","High"},0)),IF(MATCH(D158,{"Low","Medium","High"},0)&gt;=MATCH(INDEX(QB_MINTIER,MATCH(E158,QB_ID,0)),{"Low","Medium","High"},0),"Recommended for tier","Optional for tier"),"Tier not determined"),"Check question"))</f>
        <v/>
      </c>
      <c r="I158" s="34"/>
      <c r="J158" s="50"/>
      <c r="K158" s="34"/>
      <c r="L158" s="34"/>
      <c r="M158" s="62" t="str">
        <f aca="false">IF(L158="","",SUMPRODUCT(ISNUMBER(SEARCH(","&amp;EV_ID&amp;",",","&amp;SUBSTITUTE(L158," ","")&amp;","))*(EV_ID&lt;&gt;"")))</f>
        <v/>
      </c>
      <c r="N158" s="54" t="str">
        <f aca="false">IF(A158="","",IF(I158&lt;&gt;"Applicable",IF(I158="","Applicability not set","Not in scope ("&amp;I158&amp;")"),IF(OR(J158="",J158="Not answered"),"Awaiting supplier response",IF(J158="Not applicable","Supplier states not applicable - analyst to confirm",IF(L158="","Evidence insufficient - none referenced",IF(M158=0,"Evidence insufficient - referenced ID not found",IF(SUMPRODUCT(ISNUMBER(SEARCH(","&amp;EV_ID&amp;",",","&amp;SUBSTITUTE(L158," ","")&amp;","))*(EV_ID&lt;&gt;"")*(EV_SUFF="Sufficient"))&gt;0,"Evidence reviewed - sufficient",IF(SUMPRODUCT(ISNUMBER(SEARCH(","&amp;EV_ID&amp;",",","&amp;SUBSTITUTE(L158," ","")&amp;","))*(EV_ID&lt;&gt;"")*(EV_SUFF="Partially sufficient"))&gt;0,"Evidence partially sufficient","Evidence insufficient - referenced evidence not sufficient"))))))))</f>
        <v/>
      </c>
      <c r="O158" s="50"/>
      <c r="P158" s="34"/>
      <c r="Q158" s="34"/>
      <c r="R158" s="50"/>
      <c r="S158" s="51"/>
      <c r="T158" s="51"/>
      <c r="U158" s="52" t="str">
        <f aca="false">IF(OR(A158="",Q158=""),"",IF(AND(ISNUMBER(S158),S158&lt;AsOf,O158&lt;&gt;"Reviewed"),"Overdue",""))</f>
        <v/>
      </c>
      <c r="V158" s="54" t="str">
        <f aca="false">IF(A158="","",IF(COUNTIF(QA_ID,A158)&gt;1,"CHECK: duplicate ID",IF(B158="","CHECK: Supplier ID missing",IF(COUNTIF(INV_ID,B158)=0,"CHECK: Supplier ID not in inventory",IF(E158="","CHECK: Question ID missing",IF(COUNTIF(QB_ID,E158)=0,"CHECK: Question ID not in bank","OK"))))))</f>
        <v/>
      </c>
    </row>
    <row r="159" customFormat="false" ht="15" hidden="false" customHeight="false" outlineLevel="0" collapsed="false">
      <c r="A159" s="50"/>
      <c r="B159" s="50"/>
      <c r="C159" s="59" t="str">
        <f aca="false">IF(B159="","",IFERROR(INDEX(INV_NAME,MATCH(B159,INV_ID,0)),"CHECK: Supplier ID not found"))</f>
        <v/>
      </c>
      <c r="D159" s="63" t="str">
        <f aca="false">IF(B159="","",IFERROR(INDEX(INV_TIER,MATCH(B159,INV_ID,0)),""))</f>
        <v/>
      </c>
      <c r="E159" s="50"/>
      <c r="F159" s="59" t="str">
        <f aca="false">IF(E159="","",IFERROR(INDEX(QB_Q,MATCH(E159,QB_ID,0)),"CHECK: Question ID not found"))</f>
        <v/>
      </c>
      <c r="G159" s="59" t="str">
        <f aca="false">IF(E159="","",IFERROR(INDEX(QB_DOMAIN,MATCH(E159,QB_ID,0)),""))</f>
        <v/>
      </c>
      <c r="H159" s="54" t="str">
        <f aca="false">IF(OR(A159="",E159=""),"",IFERROR(IF(ISNUMBER(MATCH(D159,{"Low","Medium","High"},0)),IF(MATCH(D159,{"Low","Medium","High"},0)&gt;=MATCH(INDEX(QB_MINTIER,MATCH(E159,QB_ID,0)),{"Low","Medium","High"},0),"Recommended for tier","Optional for tier"),"Tier not determined"),"Check question"))</f>
        <v/>
      </c>
      <c r="I159" s="34"/>
      <c r="J159" s="50"/>
      <c r="K159" s="34"/>
      <c r="L159" s="34"/>
      <c r="M159" s="62" t="str">
        <f aca="false">IF(L159="","",SUMPRODUCT(ISNUMBER(SEARCH(","&amp;EV_ID&amp;",",","&amp;SUBSTITUTE(L159," ","")&amp;","))*(EV_ID&lt;&gt;"")))</f>
        <v/>
      </c>
      <c r="N159" s="54" t="str">
        <f aca="false">IF(A159="","",IF(I159&lt;&gt;"Applicable",IF(I159="","Applicability not set","Not in scope ("&amp;I159&amp;")"),IF(OR(J159="",J159="Not answered"),"Awaiting supplier response",IF(J159="Not applicable","Supplier states not applicable - analyst to confirm",IF(L159="","Evidence insufficient - none referenced",IF(M159=0,"Evidence insufficient - referenced ID not found",IF(SUMPRODUCT(ISNUMBER(SEARCH(","&amp;EV_ID&amp;",",","&amp;SUBSTITUTE(L159," ","")&amp;","))*(EV_ID&lt;&gt;"")*(EV_SUFF="Sufficient"))&gt;0,"Evidence reviewed - sufficient",IF(SUMPRODUCT(ISNUMBER(SEARCH(","&amp;EV_ID&amp;",",","&amp;SUBSTITUTE(L159," ","")&amp;","))*(EV_ID&lt;&gt;"")*(EV_SUFF="Partially sufficient"))&gt;0,"Evidence partially sufficient","Evidence insufficient - referenced evidence not sufficient"))))))))</f>
        <v/>
      </c>
      <c r="O159" s="50"/>
      <c r="P159" s="34"/>
      <c r="Q159" s="34"/>
      <c r="R159" s="50"/>
      <c r="S159" s="51"/>
      <c r="T159" s="51"/>
      <c r="U159" s="52" t="str">
        <f aca="false">IF(OR(A159="",Q159=""),"",IF(AND(ISNUMBER(S159),S159&lt;AsOf,O159&lt;&gt;"Reviewed"),"Overdue",""))</f>
        <v/>
      </c>
      <c r="V159" s="54" t="str">
        <f aca="false">IF(A159="","",IF(COUNTIF(QA_ID,A159)&gt;1,"CHECK: duplicate ID",IF(B159="","CHECK: Supplier ID missing",IF(COUNTIF(INV_ID,B159)=0,"CHECK: Supplier ID not in inventory",IF(E159="","CHECK: Question ID missing",IF(COUNTIF(QB_ID,E159)=0,"CHECK: Question ID not in bank","OK"))))))</f>
        <v/>
      </c>
    </row>
    <row r="160" customFormat="false" ht="15" hidden="false" customHeight="false" outlineLevel="0" collapsed="false">
      <c r="A160" s="50"/>
      <c r="B160" s="50"/>
      <c r="C160" s="59" t="str">
        <f aca="false">IF(B160="","",IFERROR(INDEX(INV_NAME,MATCH(B160,INV_ID,0)),"CHECK: Supplier ID not found"))</f>
        <v/>
      </c>
      <c r="D160" s="63" t="str">
        <f aca="false">IF(B160="","",IFERROR(INDEX(INV_TIER,MATCH(B160,INV_ID,0)),""))</f>
        <v/>
      </c>
      <c r="E160" s="50"/>
      <c r="F160" s="59" t="str">
        <f aca="false">IF(E160="","",IFERROR(INDEX(QB_Q,MATCH(E160,QB_ID,0)),"CHECK: Question ID not found"))</f>
        <v/>
      </c>
      <c r="G160" s="59" t="str">
        <f aca="false">IF(E160="","",IFERROR(INDEX(QB_DOMAIN,MATCH(E160,QB_ID,0)),""))</f>
        <v/>
      </c>
      <c r="H160" s="54" t="str">
        <f aca="false">IF(OR(A160="",E160=""),"",IFERROR(IF(ISNUMBER(MATCH(D160,{"Low","Medium","High"},0)),IF(MATCH(D160,{"Low","Medium","High"},0)&gt;=MATCH(INDEX(QB_MINTIER,MATCH(E160,QB_ID,0)),{"Low","Medium","High"},0),"Recommended for tier","Optional for tier"),"Tier not determined"),"Check question"))</f>
        <v/>
      </c>
      <c r="I160" s="34"/>
      <c r="J160" s="50"/>
      <c r="K160" s="34"/>
      <c r="L160" s="34"/>
      <c r="M160" s="62" t="str">
        <f aca="false">IF(L160="","",SUMPRODUCT(ISNUMBER(SEARCH(","&amp;EV_ID&amp;",",","&amp;SUBSTITUTE(L160," ","")&amp;","))*(EV_ID&lt;&gt;"")))</f>
        <v/>
      </c>
      <c r="N160" s="54" t="str">
        <f aca="false">IF(A160="","",IF(I160&lt;&gt;"Applicable",IF(I160="","Applicability not set","Not in scope ("&amp;I160&amp;")"),IF(OR(J160="",J160="Not answered"),"Awaiting supplier response",IF(J160="Not applicable","Supplier states not applicable - analyst to confirm",IF(L160="","Evidence insufficient - none referenced",IF(M160=0,"Evidence insufficient - referenced ID not found",IF(SUMPRODUCT(ISNUMBER(SEARCH(","&amp;EV_ID&amp;",",","&amp;SUBSTITUTE(L160," ","")&amp;","))*(EV_ID&lt;&gt;"")*(EV_SUFF="Sufficient"))&gt;0,"Evidence reviewed - sufficient",IF(SUMPRODUCT(ISNUMBER(SEARCH(","&amp;EV_ID&amp;",",","&amp;SUBSTITUTE(L160," ","")&amp;","))*(EV_ID&lt;&gt;"")*(EV_SUFF="Partially sufficient"))&gt;0,"Evidence partially sufficient","Evidence insufficient - referenced evidence not sufficient"))))))))</f>
        <v/>
      </c>
      <c r="O160" s="50"/>
      <c r="P160" s="34"/>
      <c r="Q160" s="34"/>
      <c r="R160" s="50"/>
      <c r="S160" s="51"/>
      <c r="T160" s="51"/>
      <c r="U160" s="52" t="str">
        <f aca="false">IF(OR(A160="",Q160=""),"",IF(AND(ISNUMBER(S160),S160&lt;AsOf,O160&lt;&gt;"Reviewed"),"Overdue",""))</f>
        <v/>
      </c>
      <c r="V160" s="54" t="str">
        <f aca="false">IF(A160="","",IF(COUNTIF(QA_ID,A160)&gt;1,"CHECK: duplicate ID",IF(B160="","CHECK: Supplier ID missing",IF(COUNTIF(INV_ID,B160)=0,"CHECK: Supplier ID not in inventory",IF(E160="","CHECK: Question ID missing",IF(COUNTIF(QB_ID,E160)=0,"CHECK: Question ID not in bank","OK"))))))</f>
        <v/>
      </c>
    </row>
    <row r="161" customFormat="false" ht="15" hidden="false" customHeight="false" outlineLevel="0" collapsed="false">
      <c r="A161" s="50"/>
      <c r="B161" s="50"/>
      <c r="C161" s="59" t="str">
        <f aca="false">IF(B161="","",IFERROR(INDEX(INV_NAME,MATCH(B161,INV_ID,0)),"CHECK: Supplier ID not found"))</f>
        <v/>
      </c>
      <c r="D161" s="63" t="str">
        <f aca="false">IF(B161="","",IFERROR(INDEX(INV_TIER,MATCH(B161,INV_ID,0)),""))</f>
        <v/>
      </c>
      <c r="E161" s="50"/>
      <c r="F161" s="59" t="str">
        <f aca="false">IF(E161="","",IFERROR(INDEX(QB_Q,MATCH(E161,QB_ID,0)),"CHECK: Question ID not found"))</f>
        <v/>
      </c>
      <c r="G161" s="59" t="str">
        <f aca="false">IF(E161="","",IFERROR(INDEX(QB_DOMAIN,MATCH(E161,QB_ID,0)),""))</f>
        <v/>
      </c>
      <c r="H161" s="54" t="str">
        <f aca="false">IF(OR(A161="",E161=""),"",IFERROR(IF(ISNUMBER(MATCH(D161,{"Low","Medium","High"},0)),IF(MATCH(D161,{"Low","Medium","High"},0)&gt;=MATCH(INDEX(QB_MINTIER,MATCH(E161,QB_ID,0)),{"Low","Medium","High"},0),"Recommended for tier","Optional for tier"),"Tier not determined"),"Check question"))</f>
        <v/>
      </c>
      <c r="I161" s="34"/>
      <c r="J161" s="50"/>
      <c r="K161" s="34"/>
      <c r="L161" s="34"/>
      <c r="M161" s="62" t="str">
        <f aca="false">IF(L161="","",SUMPRODUCT(ISNUMBER(SEARCH(","&amp;EV_ID&amp;",",","&amp;SUBSTITUTE(L161," ","")&amp;","))*(EV_ID&lt;&gt;"")))</f>
        <v/>
      </c>
      <c r="N161" s="54" t="str">
        <f aca="false">IF(A161="","",IF(I161&lt;&gt;"Applicable",IF(I161="","Applicability not set","Not in scope ("&amp;I161&amp;")"),IF(OR(J161="",J161="Not answered"),"Awaiting supplier response",IF(J161="Not applicable","Supplier states not applicable - analyst to confirm",IF(L161="","Evidence insufficient - none referenced",IF(M161=0,"Evidence insufficient - referenced ID not found",IF(SUMPRODUCT(ISNUMBER(SEARCH(","&amp;EV_ID&amp;",",","&amp;SUBSTITUTE(L161," ","")&amp;","))*(EV_ID&lt;&gt;"")*(EV_SUFF="Sufficient"))&gt;0,"Evidence reviewed - sufficient",IF(SUMPRODUCT(ISNUMBER(SEARCH(","&amp;EV_ID&amp;",",","&amp;SUBSTITUTE(L161," ","")&amp;","))*(EV_ID&lt;&gt;"")*(EV_SUFF="Partially sufficient"))&gt;0,"Evidence partially sufficient","Evidence insufficient - referenced evidence not sufficient"))))))))</f>
        <v/>
      </c>
      <c r="O161" s="50"/>
      <c r="P161" s="34"/>
      <c r="Q161" s="34"/>
      <c r="R161" s="50"/>
      <c r="S161" s="51"/>
      <c r="T161" s="51"/>
      <c r="U161" s="52" t="str">
        <f aca="false">IF(OR(A161="",Q161=""),"",IF(AND(ISNUMBER(S161),S161&lt;AsOf,O161&lt;&gt;"Reviewed"),"Overdue",""))</f>
        <v/>
      </c>
      <c r="V161" s="54" t="str">
        <f aca="false">IF(A161="","",IF(COUNTIF(QA_ID,A161)&gt;1,"CHECK: duplicate ID",IF(B161="","CHECK: Supplier ID missing",IF(COUNTIF(INV_ID,B161)=0,"CHECK: Supplier ID not in inventory",IF(E161="","CHECK: Question ID missing",IF(COUNTIF(QB_ID,E161)=0,"CHECK: Question ID not in bank","OK"))))))</f>
        <v/>
      </c>
    </row>
    <row r="162" customFormat="false" ht="15" hidden="false" customHeight="false" outlineLevel="0" collapsed="false">
      <c r="A162" s="50"/>
      <c r="B162" s="50"/>
      <c r="C162" s="59" t="str">
        <f aca="false">IF(B162="","",IFERROR(INDEX(INV_NAME,MATCH(B162,INV_ID,0)),"CHECK: Supplier ID not found"))</f>
        <v/>
      </c>
      <c r="D162" s="63" t="str">
        <f aca="false">IF(B162="","",IFERROR(INDEX(INV_TIER,MATCH(B162,INV_ID,0)),""))</f>
        <v/>
      </c>
      <c r="E162" s="50"/>
      <c r="F162" s="59" t="str">
        <f aca="false">IF(E162="","",IFERROR(INDEX(QB_Q,MATCH(E162,QB_ID,0)),"CHECK: Question ID not found"))</f>
        <v/>
      </c>
      <c r="G162" s="59" t="str">
        <f aca="false">IF(E162="","",IFERROR(INDEX(QB_DOMAIN,MATCH(E162,QB_ID,0)),""))</f>
        <v/>
      </c>
      <c r="H162" s="54" t="str">
        <f aca="false">IF(OR(A162="",E162=""),"",IFERROR(IF(ISNUMBER(MATCH(D162,{"Low","Medium","High"},0)),IF(MATCH(D162,{"Low","Medium","High"},0)&gt;=MATCH(INDEX(QB_MINTIER,MATCH(E162,QB_ID,0)),{"Low","Medium","High"},0),"Recommended for tier","Optional for tier"),"Tier not determined"),"Check question"))</f>
        <v/>
      </c>
      <c r="I162" s="34"/>
      <c r="J162" s="50"/>
      <c r="K162" s="34"/>
      <c r="L162" s="34"/>
      <c r="M162" s="62" t="str">
        <f aca="false">IF(L162="","",SUMPRODUCT(ISNUMBER(SEARCH(","&amp;EV_ID&amp;",",","&amp;SUBSTITUTE(L162," ","")&amp;","))*(EV_ID&lt;&gt;"")))</f>
        <v/>
      </c>
      <c r="N162" s="54" t="str">
        <f aca="false">IF(A162="","",IF(I162&lt;&gt;"Applicable",IF(I162="","Applicability not set","Not in scope ("&amp;I162&amp;")"),IF(OR(J162="",J162="Not answered"),"Awaiting supplier response",IF(J162="Not applicable","Supplier states not applicable - analyst to confirm",IF(L162="","Evidence insufficient - none referenced",IF(M162=0,"Evidence insufficient - referenced ID not found",IF(SUMPRODUCT(ISNUMBER(SEARCH(","&amp;EV_ID&amp;",",","&amp;SUBSTITUTE(L162," ","")&amp;","))*(EV_ID&lt;&gt;"")*(EV_SUFF="Sufficient"))&gt;0,"Evidence reviewed - sufficient",IF(SUMPRODUCT(ISNUMBER(SEARCH(","&amp;EV_ID&amp;",",","&amp;SUBSTITUTE(L162," ","")&amp;","))*(EV_ID&lt;&gt;"")*(EV_SUFF="Partially sufficient"))&gt;0,"Evidence partially sufficient","Evidence insufficient - referenced evidence not sufficient"))))))))</f>
        <v/>
      </c>
      <c r="O162" s="50"/>
      <c r="P162" s="34"/>
      <c r="Q162" s="34"/>
      <c r="R162" s="50"/>
      <c r="S162" s="51"/>
      <c r="T162" s="51"/>
      <c r="U162" s="52" t="str">
        <f aca="false">IF(OR(A162="",Q162=""),"",IF(AND(ISNUMBER(S162),S162&lt;AsOf,O162&lt;&gt;"Reviewed"),"Overdue",""))</f>
        <v/>
      </c>
      <c r="V162" s="54" t="str">
        <f aca="false">IF(A162="","",IF(COUNTIF(QA_ID,A162)&gt;1,"CHECK: duplicate ID",IF(B162="","CHECK: Supplier ID missing",IF(COUNTIF(INV_ID,B162)=0,"CHECK: Supplier ID not in inventory",IF(E162="","CHECK: Question ID missing",IF(COUNTIF(QB_ID,E162)=0,"CHECK: Question ID not in bank","OK"))))))</f>
        <v/>
      </c>
    </row>
    <row r="163" customFormat="false" ht="15" hidden="false" customHeight="false" outlineLevel="0" collapsed="false">
      <c r="A163" s="50"/>
      <c r="B163" s="50"/>
      <c r="C163" s="59" t="str">
        <f aca="false">IF(B163="","",IFERROR(INDEX(INV_NAME,MATCH(B163,INV_ID,0)),"CHECK: Supplier ID not found"))</f>
        <v/>
      </c>
      <c r="D163" s="63" t="str">
        <f aca="false">IF(B163="","",IFERROR(INDEX(INV_TIER,MATCH(B163,INV_ID,0)),""))</f>
        <v/>
      </c>
      <c r="E163" s="50"/>
      <c r="F163" s="59" t="str">
        <f aca="false">IF(E163="","",IFERROR(INDEX(QB_Q,MATCH(E163,QB_ID,0)),"CHECK: Question ID not found"))</f>
        <v/>
      </c>
      <c r="G163" s="59" t="str">
        <f aca="false">IF(E163="","",IFERROR(INDEX(QB_DOMAIN,MATCH(E163,QB_ID,0)),""))</f>
        <v/>
      </c>
      <c r="H163" s="54" t="str">
        <f aca="false">IF(OR(A163="",E163=""),"",IFERROR(IF(ISNUMBER(MATCH(D163,{"Low","Medium","High"},0)),IF(MATCH(D163,{"Low","Medium","High"},0)&gt;=MATCH(INDEX(QB_MINTIER,MATCH(E163,QB_ID,0)),{"Low","Medium","High"},0),"Recommended for tier","Optional for tier"),"Tier not determined"),"Check question"))</f>
        <v/>
      </c>
      <c r="I163" s="34"/>
      <c r="J163" s="50"/>
      <c r="K163" s="34"/>
      <c r="L163" s="34"/>
      <c r="M163" s="62" t="str">
        <f aca="false">IF(L163="","",SUMPRODUCT(ISNUMBER(SEARCH(","&amp;EV_ID&amp;",",","&amp;SUBSTITUTE(L163," ","")&amp;","))*(EV_ID&lt;&gt;"")))</f>
        <v/>
      </c>
      <c r="N163" s="54" t="str">
        <f aca="false">IF(A163="","",IF(I163&lt;&gt;"Applicable",IF(I163="","Applicability not set","Not in scope ("&amp;I163&amp;")"),IF(OR(J163="",J163="Not answered"),"Awaiting supplier response",IF(J163="Not applicable","Supplier states not applicable - analyst to confirm",IF(L163="","Evidence insufficient - none referenced",IF(M163=0,"Evidence insufficient - referenced ID not found",IF(SUMPRODUCT(ISNUMBER(SEARCH(","&amp;EV_ID&amp;",",","&amp;SUBSTITUTE(L163," ","")&amp;","))*(EV_ID&lt;&gt;"")*(EV_SUFF="Sufficient"))&gt;0,"Evidence reviewed - sufficient",IF(SUMPRODUCT(ISNUMBER(SEARCH(","&amp;EV_ID&amp;",",","&amp;SUBSTITUTE(L163," ","")&amp;","))*(EV_ID&lt;&gt;"")*(EV_SUFF="Partially sufficient"))&gt;0,"Evidence partially sufficient","Evidence insufficient - referenced evidence not sufficient"))))))))</f>
        <v/>
      </c>
      <c r="O163" s="50"/>
      <c r="P163" s="34"/>
      <c r="Q163" s="34"/>
      <c r="R163" s="50"/>
      <c r="S163" s="51"/>
      <c r="T163" s="51"/>
      <c r="U163" s="52" t="str">
        <f aca="false">IF(OR(A163="",Q163=""),"",IF(AND(ISNUMBER(S163),S163&lt;AsOf,O163&lt;&gt;"Reviewed"),"Overdue",""))</f>
        <v/>
      </c>
      <c r="V163" s="54" t="str">
        <f aca="false">IF(A163="","",IF(COUNTIF(QA_ID,A163)&gt;1,"CHECK: duplicate ID",IF(B163="","CHECK: Supplier ID missing",IF(COUNTIF(INV_ID,B163)=0,"CHECK: Supplier ID not in inventory",IF(E163="","CHECK: Question ID missing",IF(COUNTIF(QB_ID,E163)=0,"CHECK: Question ID not in bank","OK"))))))</f>
        <v/>
      </c>
    </row>
    <row r="164" customFormat="false" ht="15" hidden="false" customHeight="false" outlineLevel="0" collapsed="false">
      <c r="A164" s="50"/>
      <c r="B164" s="50"/>
      <c r="C164" s="59" t="str">
        <f aca="false">IF(B164="","",IFERROR(INDEX(INV_NAME,MATCH(B164,INV_ID,0)),"CHECK: Supplier ID not found"))</f>
        <v/>
      </c>
      <c r="D164" s="63" t="str">
        <f aca="false">IF(B164="","",IFERROR(INDEX(INV_TIER,MATCH(B164,INV_ID,0)),""))</f>
        <v/>
      </c>
      <c r="E164" s="50"/>
      <c r="F164" s="59" t="str">
        <f aca="false">IF(E164="","",IFERROR(INDEX(QB_Q,MATCH(E164,QB_ID,0)),"CHECK: Question ID not found"))</f>
        <v/>
      </c>
      <c r="G164" s="59" t="str">
        <f aca="false">IF(E164="","",IFERROR(INDEX(QB_DOMAIN,MATCH(E164,QB_ID,0)),""))</f>
        <v/>
      </c>
      <c r="H164" s="54" t="str">
        <f aca="false">IF(OR(A164="",E164=""),"",IFERROR(IF(ISNUMBER(MATCH(D164,{"Low","Medium","High"},0)),IF(MATCH(D164,{"Low","Medium","High"},0)&gt;=MATCH(INDEX(QB_MINTIER,MATCH(E164,QB_ID,0)),{"Low","Medium","High"},0),"Recommended for tier","Optional for tier"),"Tier not determined"),"Check question"))</f>
        <v/>
      </c>
      <c r="I164" s="34"/>
      <c r="J164" s="50"/>
      <c r="K164" s="34"/>
      <c r="L164" s="34"/>
      <c r="M164" s="62" t="str">
        <f aca="false">IF(L164="","",SUMPRODUCT(ISNUMBER(SEARCH(","&amp;EV_ID&amp;",",","&amp;SUBSTITUTE(L164," ","")&amp;","))*(EV_ID&lt;&gt;"")))</f>
        <v/>
      </c>
      <c r="N164" s="54" t="str">
        <f aca="false">IF(A164="","",IF(I164&lt;&gt;"Applicable",IF(I164="","Applicability not set","Not in scope ("&amp;I164&amp;")"),IF(OR(J164="",J164="Not answered"),"Awaiting supplier response",IF(J164="Not applicable","Supplier states not applicable - analyst to confirm",IF(L164="","Evidence insufficient - none referenced",IF(M164=0,"Evidence insufficient - referenced ID not found",IF(SUMPRODUCT(ISNUMBER(SEARCH(","&amp;EV_ID&amp;",",","&amp;SUBSTITUTE(L164," ","")&amp;","))*(EV_ID&lt;&gt;"")*(EV_SUFF="Sufficient"))&gt;0,"Evidence reviewed - sufficient",IF(SUMPRODUCT(ISNUMBER(SEARCH(","&amp;EV_ID&amp;",",","&amp;SUBSTITUTE(L164," ","")&amp;","))*(EV_ID&lt;&gt;"")*(EV_SUFF="Partially sufficient"))&gt;0,"Evidence partially sufficient","Evidence insufficient - referenced evidence not sufficient"))))))))</f>
        <v/>
      </c>
      <c r="O164" s="50"/>
      <c r="P164" s="34"/>
      <c r="Q164" s="34"/>
      <c r="R164" s="50"/>
      <c r="S164" s="51"/>
      <c r="T164" s="51"/>
      <c r="U164" s="52" t="str">
        <f aca="false">IF(OR(A164="",Q164=""),"",IF(AND(ISNUMBER(S164),S164&lt;AsOf,O164&lt;&gt;"Reviewed"),"Overdue",""))</f>
        <v/>
      </c>
      <c r="V164" s="54" t="str">
        <f aca="false">IF(A164="","",IF(COUNTIF(QA_ID,A164)&gt;1,"CHECK: duplicate ID",IF(B164="","CHECK: Supplier ID missing",IF(COUNTIF(INV_ID,B164)=0,"CHECK: Supplier ID not in inventory",IF(E164="","CHECK: Question ID missing",IF(COUNTIF(QB_ID,E164)=0,"CHECK: Question ID not in bank","OK"))))))</f>
        <v/>
      </c>
    </row>
    <row r="165" customFormat="false" ht="15" hidden="false" customHeight="false" outlineLevel="0" collapsed="false">
      <c r="A165" s="50"/>
      <c r="B165" s="50"/>
      <c r="C165" s="59" t="str">
        <f aca="false">IF(B165="","",IFERROR(INDEX(INV_NAME,MATCH(B165,INV_ID,0)),"CHECK: Supplier ID not found"))</f>
        <v/>
      </c>
      <c r="D165" s="63" t="str">
        <f aca="false">IF(B165="","",IFERROR(INDEX(INV_TIER,MATCH(B165,INV_ID,0)),""))</f>
        <v/>
      </c>
      <c r="E165" s="50"/>
      <c r="F165" s="59" t="str">
        <f aca="false">IF(E165="","",IFERROR(INDEX(QB_Q,MATCH(E165,QB_ID,0)),"CHECK: Question ID not found"))</f>
        <v/>
      </c>
      <c r="G165" s="59" t="str">
        <f aca="false">IF(E165="","",IFERROR(INDEX(QB_DOMAIN,MATCH(E165,QB_ID,0)),""))</f>
        <v/>
      </c>
      <c r="H165" s="54" t="str">
        <f aca="false">IF(OR(A165="",E165=""),"",IFERROR(IF(ISNUMBER(MATCH(D165,{"Low","Medium","High"},0)),IF(MATCH(D165,{"Low","Medium","High"},0)&gt;=MATCH(INDEX(QB_MINTIER,MATCH(E165,QB_ID,0)),{"Low","Medium","High"},0),"Recommended for tier","Optional for tier"),"Tier not determined"),"Check question"))</f>
        <v/>
      </c>
      <c r="I165" s="34"/>
      <c r="J165" s="50"/>
      <c r="K165" s="34"/>
      <c r="L165" s="34"/>
      <c r="M165" s="62" t="str">
        <f aca="false">IF(L165="","",SUMPRODUCT(ISNUMBER(SEARCH(","&amp;EV_ID&amp;",",","&amp;SUBSTITUTE(L165," ","")&amp;","))*(EV_ID&lt;&gt;"")))</f>
        <v/>
      </c>
      <c r="N165" s="54" t="str">
        <f aca="false">IF(A165="","",IF(I165&lt;&gt;"Applicable",IF(I165="","Applicability not set","Not in scope ("&amp;I165&amp;")"),IF(OR(J165="",J165="Not answered"),"Awaiting supplier response",IF(J165="Not applicable","Supplier states not applicable - analyst to confirm",IF(L165="","Evidence insufficient - none referenced",IF(M165=0,"Evidence insufficient - referenced ID not found",IF(SUMPRODUCT(ISNUMBER(SEARCH(","&amp;EV_ID&amp;",",","&amp;SUBSTITUTE(L165," ","")&amp;","))*(EV_ID&lt;&gt;"")*(EV_SUFF="Sufficient"))&gt;0,"Evidence reviewed - sufficient",IF(SUMPRODUCT(ISNUMBER(SEARCH(","&amp;EV_ID&amp;",",","&amp;SUBSTITUTE(L165," ","")&amp;","))*(EV_ID&lt;&gt;"")*(EV_SUFF="Partially sufficient"))&gt;0,"Evidence partially sufficient","Evidence insufficient - referenced evidence not sufficient"))))))))</f>
        <v/>
      </c>
      <c r="O165" s="50"/>
      <c r="P165" s="34"/>
      <c r="Q165" s="34"/>
      <c r="R165" s="50"/>
      <c r="S165" s="51"/>
      <c r="T165" s="51"/>
      <c r="U165" s="52" t="str">
        <f aca="false">IF(OR(A165="",Q165=""),"",IF(AND(ISNUMBER(S165),S165&lt;AsOf,O165&lt;&gt;"Reviewed"),"Overdue",""))</f>
        <v/>
      </c>
      <c r="V165" s="54" t="str">
        <f aca="false">IF(A165="","",IF(COUNTIF(QA_ID,A165)&gt;1,"CHECK: duplicate ID",IF(B165="","CHECK: Supplier ID missing",IF(COUNTIF(INV_ID,B165)=0,"CHECK: Supplier ID not in inventory",IF(E165="","CHECK: Question ID missing",IF(COUNTIF(QB_ID,E165)=0,"CHECK: Question ID not in bank","OK"))))))</f>
        <v/>
      </c>
    </row>
    <row r="166" customFormat="false" ht="15" hidden="false" customHeight="false" outlineLevel="0" collapsed="false">
      <c r="A166" s="50"/>
      <c r="B166" s="50"/>
      <c r="C166" s="59" t="str">
        <f aca="false">IF(B166="","",IFERROR(INDEX(INV_NAME,MATCH(B166,INV_ID,0)),"CHECK: Supplier ID not found"))</f>
        <v/>
      </c>
      <c r="D166" s="63" t="str">
        <f aca="false">IF(B166="","",IFERROR(INDEX(INV_TIER,MATCH(B166,INV_ID,0)),""))</f>
        <v/>
      </c>
      <c r="E166" s="50"/>
      <c r="F166" s="59" t="str">
        <f aca="false">IF(E166="","",IFERROR(INDEX(QB_Q,MATCH(E166,QB_ID,0)),"CHECK: Question ID not found"))</f>
        <v/>
      </c>
      <c r="G166" s="59" t="str">
        <f aca="false">IF(E166="","",IFERROR(INDEX(QB_DOMAIN,MATCH(E166,QB_ID,0)),""))</f>
        <v/>
      </c>
      <c r="H166" s="54" t="str">
        <f aca="false">IF(OR(A166="",E166=""),"",IFERROR(IF(ISNUMBER(MATCH(D166,{"Low","Medium","High"},0)),IF(MATCH(D166,{"Low","Medium","High"},0)&gt;=MATCH(INDEX(QB_MINTIER,MATCH(E166,QB_ID,0)),{"Low","Medium","High"},0),"Recommended for tier","Optional for tier"),"Tier not determined"),"Check question"))</f>
        <v/>
      </c>
      <c r="I166" s="34"/>
      <c r="J166" s="50"/>
      <c r="K166" s="34"/>
      <c r="L166" s="34"/>
      <c r="M166" s="62" t="str">
        <f aca="false">IF(L166="","",SUMPRODUCT(ISNUMBER(SEARCH(","&amp;EV_ID&amp;",",","&amp;SUBSTITUTE(L166," ","")&amp;","))*(EV_ID&lt;&gt;"")))</f>
        <v/>
      </c>
      <c r="N166" s="54" t="str">
        <f aca="false">IF(A166="","",IF(I166&lt;&gt;"Applicable",IF(I166="","Applicability not set","Not in scope ("&amp;I166&amp;")"),IF(OR(J166="",J166="Not answered"),"Awaiting supplier response",IF(J166="Not applicable","Supplier states not applicable - analyst to confirm",IF(L166="","Evidence insufficient - none referenced",IF(M166=0,"Evidence insufficient - referenced ID not found",IF(SUMPRODUCT(ISNUMBER(SEARCH(","&amp;EV_ID&amp;",",","&amp;SUBSTITUTE(L166," ","")&amp;","))*(EV_ID&lt;&gt;"")*(EV_SUFF="Sufficient"))&gt;0,"Evidence reviewed - sufficient",IF(SUMPRODUCT(ISNUMBER(SEARCH(","&amp;EV_ID&amp;",",","&amp;SUBSTITUTE(L166," ","")&amp;","))*(EV_ID&lt;&gt;"")*(EV_SUFF="Partially sufficient"))&gt;0,"Evidence partially sufficient","Evidence insufficient - referenced evidence not sufficient"))))))))</f>
        <v/>
      </c>
      <c r="O166" s="50"/>
      <c r="P166" s="34"/>
      <c r="Q166" s="34"/>
      <c r="R166" s="50"/>
      <c r="S166" s="51"/>
      <c r="T166" s="51"/>
      <c r="U166" s="52" t="str">
        <f aca="false">IF(OR(A166="",Q166=""),"",IF(AND(ISNUMBER(S166),S166&lt;AsOf,O166&lt;&gt;"Reviewed"),"Overdue",""))</f>
        <v/>
      </c>
      <c r="V166" s="54" t="str">
        <f aca="false">IF(A166="","",IF(COUNTIF(QA_ID,A166)&gt;1,"CHECK: duplicate ID",IF(B166="","CHECK: Supplier ID missing",IF(COUNTIF(INV_ID,B166)=0,"CHECK: Supplier ID not in inventory",IF(E166="","CHECK: Question ID missing",IF(COUNTIF(QB_ID,E166)=0,"CHECK: Question ID not in bank","OK"))))))</f>
        <v/>
      </c>
    </row>
    <row r="167" customFormat="false" ht="15" hidden="false" customHeight="false" outlineLevel="0" collapsed="false">
      <c r="A167" s="50"/>
      <c r="B167" s="50"/>
      <c r="C167" s="59" t="str">
        <f aca="false">IF(B167="","",IFERROR(INDEX(INV_NAME,MATCH(B167,INV_ID,0)),"CHECK: Supplier ID not found"))</f>
        <v/>
      </c>
      <c r="D167" s="63" t="str">
        <f aca="false">IF(B167="","",IFERROR(INDEX(INV_TIER,MATCH(B167,INV_ID,0)),""))</f>
        <v/>
      </c>
      <c r="E167" s="50"/>
      <c r="F167" s="59" t="str">
        <f aca="false">IF(E167="","",IFERROR(INDEX(QB_Q,MATCH(E167,QB_ID,0)),"CHECK: Question ID not found"))</f>
        <v/>
      </c>
      <c r="G167" s="59" t="str">
        <f aca="false">IF(E167="","",IFERROR(INDEX(QB_DOMAIN,MATCH(E167,QB_ID,0)),""))</f>
        <v/>
      </c>
      <c r="H167" s="54" t="str">
        <f aca="false">IF(OR(A167="",E167=""),"",IFERROR(IF(ISNUMBER(MATCH(D167,{"Low","Medium","High"},0)),IF(MATCH(D167,{"Low","Medium","High"},0)&gt;=MATCH(INDEX(QB_MINTIER,MATCH(E167,QB_ID,0)),{"Low","Medium","High"},0),"Recommended for tier","Optional for tier"),"Tier not determined"),"Check question"))</f>
        <v/>
      </c>
      <c r="I167" s="34"/>
      <c r="J167" s="50"/>
      <c r="K167" s="34"/>
      <c r="L167" s="34"/>
      <c r="M167" s="62" t="str">
        <f aca="false">IF(L167="","",SUMPRODUCT(ISNUMBER(SEARCH(","&amp;EV_ID&amp;",",","&amp;SUBSTITUTE(L167," ","")&amp;","))*(EV_ID&lt;&gt;"")))</f>
        <v/>
      </c>
      <c r="N167" s="54" t="str">
        <f aca="false">IF(A167="","",IF(I167&lt;&gt;"Applicable",IF(I167="","Applicability not set","Not in scope ("&amp;I167&amp;")"),IF(OR(J167="",J167="Not answered"),"Awaiting supplier response",IF(J167="Not applicable","Supplier states not applicable - analyst to confirm",IF(L167="","Evidence insufficient - none referenced",IF(M167=0,"Evidence insufficient - referenced ID not found",IF(SUMPRODUCT(ISNUMBER(SEARCH(","&amp;EV_ID&amp;",",","&amp;SUBSTITUTE(L167," ","")&amp;","))*(EV_ID&lt;&gt;"")*(EV_SUFF="Sufficient"))&gt;0,"Evidence reviewed - sufficient",IF(SUMPRODUCT(ISNUMBER(SEARCH(","&amp;EV_ID&amp;",",","&amp;SUBSTITUTE(L167," ","")&amp;","))*(EV_ID&lt;&gt;"")*(EV_SUFF="Partially sufficient"))&gt;0,"Evidence partially sufficient","Evidence insufficient - referenced evidence not sufficient"))))))))</f>
        <v/>
      </c>
      <c r="O167" s="50"/>
      <c r="P167" s="34"/>
      <c r="Q167" s="34"/>
      <c r="R167" s="50"/>
      <c r="S167" s="51"/>
      <c r="T167" s="51"/>
      <c r="U167" s="52" t="str">
        <f aca="false">IF(OR(A167="",Q167=""),"",IF(AND(ISNUMBER(S167),S167&lt;AsOf,O167&lt;&gt;"Reviewed"),"Overdue",""))</f>
        <v/>
      </c>
      <c r="V167" s="54" t="str">
        <f aca="false">IF(A167="","",IF(COUNTIF(QA_ID,A167)&gt;1,"CHECK: duplicate ID",IF(B167="","CHECK: Supplier ID missing",IF(COUNTIF(INV_ID,B167)=0,"CHECK: Supplier ID not in inventory",IF(E167="","CHECK: Question ID missing",IF(COUNTIF(QB_ID,E167)=0,"CHECK: Question ID not in bank","OK"))))))</f>
        <v/>
      </c>
    </row>
    <row r="168" customFormat="false" ht="15" hidden="false" customHeight="false" outlineLevel="0" collapsed="false">
      <c r="A168" s="50"/>
      <c r="B168" s="50"/>
      <c r="C168" s="59" t="str">
        <f aca="false">IF(B168="","",IFERROR(INDEX(INV_NAME,MATCH(B168,INV_ID,0)),"CHECK: Supplier ID not found"))</f>
        <v/>
      </c>
      <c r="D168" s="63" t="str">
        <f aca="false">IF(B168="","",IFERROR(INDEX(INV_TIER,MATCH(B168,INV_ID,0)),""))</f>
        <v/>
      </c>
      <c r="E168" s="50"/>
      <c r="F168" s="59" t="str">
        <f aca="false">IF(E168="","",IFERROR(INDEX(QB_Q,MATCH(E168,QB_ID,0)),"CHECK: Question ID not found"))</f>
        <v/>
      </c>
      <c r="G168" s="59" t="str">
        <f aca="false">IF(E168="","",IFERROR(INDEX(QB_DOMAIN,MATCH(E168,QB_ID,0)),""))</f>
        <v/>
      </c>
      <c r="H168" s="54" t="str">
        <f aca="false">IF(OR(A168="",E168=""),"",IFERROR(IF(ISNUMBER(MATCH(D168,{"Low","Medium","High"},0)),IF(MATCH(D168,{"Low","Medium","High"},0)&gt;=MATCH(INDEX(QB_MINTIER,MATCH(E168,QB_ID,0)),{"Low","Medium","High"},0),"Recommended for tier","Optional for tier"),"Tier not determined"),"Check question"))</f>
        <v/>
      </c>
      <c r="I168" s="34"/>
      <c r="J168" s="50"/>
      <c r="K168" s="34"/>
      <c r="L168" s="34"/>
      <c r="M168" s="62" t="str">
        <f aca="false">IF(L168="","",SUMPRODUCT(ISNUMBER(SEARCH(","&amp;EV_ID&amp;",",","&amp;SUBSTITUTE(L168," ","")&amp;","))*(EV_ID&lt;&gt;"")))</f>
        <v/>
      </c>
      <c r="N168" s="54" t="str">
        <f aca="false">IF(A168="","",IF(I168&lt;&gt;"Applicable",IF(I168="","Applicability not set","Not in scope ("&amp;I168&amp;")"),IF(OR(J168="",J168="Not answered"),"Awaiting supplier response",IF(J168="Not applicable","Supplier states not applicable - analyst to confirm",IF(L168="","Evidence insufficient - none referenced",IF(M168=0,"Evidence insufficient - referenced ID not found",IF(SUMPRODUCT(ISNUMBER(SEARCH(","&amp;EV_ID&amp;",",","&amp;SUBSTITUTE(L168," ","")&amp;","))*(EV_ID&lt;&gt;"")*(EV_SUFF="Sufficient"))&gt;0,"Evidence reviewed - sufficient",IF(SUMPRODUCT(ISNUMBER(SEARCH(","&amp;EV_ID&amp;",",","&amp;SUBSTITUTE(L168," ","")&amp;","))*(EV_ID&lt;&gt;"")*(EV_SUFF="Partially sufficient"))&gt;0,"Evidence partially sufficient","Evidence insufficient - referenced evidence not sufficient"))))))))</f>
        <v/>
      </c>
      <c r="O168" s="50"/>
      <c r="P168" s="34"/>
      <c r="Q168" s="34"/>
      <c r="R168" s="50"/>
      <c r="S168" s="51"/>
      <c r="T168" s="51"/>
      <c r="U168" s="52" t="str">
        <f aca="false">IF(OR(A168="",Q168=""),"",IF(AND(ISNUMBER(S168),S168&lt;AsOf,O168&lt;&gt;"Reviewed"),"Overdue",""))</f>
        <v/>
      </c>
      <c r="V168" s="54" t="str">
        <f aca="false">IF(A168="","",IF(COUNTIF(QA_ID,A168)&gt;1,"CHECK: duplicate ID",IF(B168="","CHECK: Supplier ID missing",IF(COUNTIF(INV_ID,B168)=0,"CHECK: Supplier ID not in inventory",IF(E168="","CHECK: Question ID missing",IF(COUNTIF(QB_ID,E168)=0,"CHECK: Question ID not in bank","OK"))))))</f>
        <v/>
      </c>
    </row>
    <row r="169" customFormat="false" ht="15" hidden="false" customHeight="false" outlineLevel="0" collapsed="false">
      <c r="A169" s="50"/>
      <c r="B169" s="50"/>
      <c r="C169" s="59" t="str">
        <f aca="false">IF(B169="","",IFERROR(INDEX(INV_NAME,MATCH(B169,INV_ID,0)),"CHECK: Supplier ID not found"))</f>
        <v/>
      </c>
      <c r="D169" s="63" t="str">
        <f aca="false">IF(B169="","",IFERROR(INDEX(INV_TIER,MATCH(B169,INV_ID,0)),""))</f>
        <v/>
      </c>
      <c r="E169" s="50"/>
      <c r="F169" s="59" t="str">
        <f aca="false">IF(E169="","",IFERROR(INDEX(QB_Q,MATCH(E169,QB_ID,0)),"CHECK: Question ID not found"))</f>
        <v/>
      </c>
      <c r="G169" s="59" t="str">
        <f aca="false">IF(E169="","",IFERROR(INDEX(QB_DOMAIN,MATCH(E169,QB_ID,0)),""))</f>
        <v/>
      </c>
      <c r="H169" s="54" t="str">
        <f aca="false">IF(OR(A169="",E169=""),"",IFERROR(IF(ISNUMBER(MATCH(D169,{"Low","Medium","High"},0)),IF(MATCH(D169,{"Low","Medium","High"},0)&gt;=MATCH(INDEX(QB_MINTIER,MATCH(E169,QB_ID,0)),{"Low","Medium","High"},0),"Recommended for tier","Optional for tier"),"Tier not determined"),"Check question"))</f>
        <v/>
      </c>
      <c r="I169" s="34"/>
      <c r="J169" s="50"/>
      <c r="K169" s="34"/>
      <c r="L169" s="34"/>
      <c r="M169" s="62" t="str">
        <f aca="false">IF(L169="","",SUMPRODUCT(ISNUMBER(SEARCH(","&amp;EV_ID&amp;",",","&amp;SUBSTITUTE(L169," ","")&amp;","))*(EV_ID&lt;&gt;"")))</f>
        <v/>
      </c>
      <c r="N169" s="54" t="str">
        <f aca="false">IF(A169="","",IF(I169&lt;&gt;"Applicable",IF(I169="","Applicability not set","Not in scope ("&amp;I169&amp;")"),IF(OR(J169="",J169="Not answered"),"Awaiting supplier response",IF(J169="Not applicable","Supplier states not applicable - analyst to confirm",IF(L169="","Evidence insufficient - none referenced",IF(M169=0,"Evidence insufficient - referenced ID not found",IF(SUMPRODUCT(ISNUMBER(SEARCH(","&amp;EV_ID&amp;",",","&amp;SUBSTITUTE(L169," ","")&amp;","))*(EV_ID&lt;&gt;"")*(EV_SUFF="Sufficient"))&gt;0,"Evidence reviewed - sufficient",IF(SUMPRODUCT(ISNUMBER(SEARCH(","&amp;EV_ID&amp;",",","&amp;SUBSTITUTE(L169," ","")&amp;","))*(EV_ID&lt;&gt;"")*(EV_SUFF="Partially sufficient"))&gt;0,"Evidence partially sufficient","Evidence insufficient - referenced evidence not sufficient"))))))))</f>
        <v/>
      </c>
      <c r="O169" s="50"/>
      <c r="P169" s="34"/>
      <c r="Q169" s="34"/>
      <c r="R169" s="50"/>
      <c r="S169" s="51"/>
      <c r="T169" s="51"/>
      <c r="U169" s="52" t="str">
        <f aca="false">IF(OR(A169="",Q169=""),"",IF(AND(ISNUMBER(S169),S169&lt;AsOf,O169&lt;&gt;"Reviewed"),"Overdue",""))</f>
        <v/>
      </c>
      <c r="V169" s="54" t="str">
        <f aca="false">IF(A169="","",IF(COUNTIF(QA_ID,A169)&gt;1,"CHECK: duplicate ID",IF(B169="","CHECK: Supplier ID missing",IF(COUNTIF(INV_ID,B169)=0,"CHECK: Supplier ID not in inventory",IF(E169="","CHECK: Question ID missing",IF(COUNTIF(QB_ID,E169)=0,"CHECK: Question ID not in bank","OK"))))))</f>
        <v/>
      </c>
    </row>
    <row r="170" customFormat="false" ht="15" hidden="false" customHeight="false" outlineLevel="0" collapsed="false">
      <c r="A170" s="50"/>
      <c r="B170" s="50"/>
      <c r="C170" s="59" t="str">
        <f aca="false">IF(B170="","",IFERROR(INDEX(INV_NAME,MATCH(B170,INV_ID,0)),"CHECK: Supplier ID not found"))</f>
        <v/>
      </c>
      <c r="D170" s="63" t="str">
        <f aca="false">IF(B170="","",IFERROR(INDEX(INV_TIER,MATCH(B170,INV_ID,0)),""))</f>
        <v/>
      </c>
      <c r="E170" s="50"/>
      <c r="F170" s="59" t="str">
        <f aca="false">IF(E170="","",IFERROR(INDEX(QB_Q,MATCH(E170,QB_ID,0)),"CHECK: Question ID not found"))</f>
        <v/>
      </c>
      <c r="G170" s="59" t="str">
        <f aca="false">IF(E170="","",IFERROR(INDEX(QB_DOMAIN,MATCH(E170,QB_ID,0)),""))</f>
        <v/>
      </c>
      <c r="H170" s="54" t="str">
        <f aca="false">IF(OR(A170="",E170=""),"",IFERROR(IF(ISNUMBER(MATCH(D170,{"Low","Medium","High"},0)),IF(MATCH(D170,{"Low","Medium","High"},0)&gt;=MATCH(INDEX(QB_MINTIER,MATCH(E170,QB_ID,0)),{"Low","Medium","High"},0),"Recommended for tier","Optional for tier"),"Tier not determined"),"Check question"))</f>
        <v/>
      </c>
      <c r="I170" s="34"/>
      <c r="J170" s="50"/>
      <c r="K170" s="34"/>
      <c r="L170" s="34"/>
      <c r="M170" s="62" t="str">
        <f aca="false">IF(L170="","",SUMPRODUCT(ISNUMBER(SEARCH(","&amp;EV_ID&amp;",",","&amp;SUBSTITUTE(L170," ","")&amp;","))*(EV_ID&lt;&gt;"")))</f>
        <v/>
      </c>
      <c r="N170" s="54" t="str">
        <f aca="false">IF(A170="","",IF(I170&lt;&gt;"Applicable",IF(I170="","Applicability not set","Not in scope ("&amp;I170&amp;")"),IF(OR(J170="",J170="Not answered"),"Awaiting supplier response",IF(J170="Not applicable","Supplier states not applicable - analyst to confirm",IF(L170="","Evidence insufficient - none referenced",IF(M170=0,"Evidence insufficient - referenced ID not found",IF(SUMPRODUCT(ISNUMBER(SEARCH(","&amp;EV_ID&amp;",",","&amp;SUBSTITUTE(L170," ","")&amp;","))*(EV_ID&lt;&gt;"")*(EV_SUFF="Sufficient"))&gt;0,"Evidence reviewed - sufficient",IF(SUMPRODUCT(ISNUMBER(SEARCH(","&amp;EV_ID&amp;",",","&amp;SUBSTITUTE(L170," ","")&amp;","))*(EV_ID&lt;&gt;"")*(EV_SUFF="Partially sufficient"))&gt;0,"Evidence partially sufficient","Evidence insufficient - referenced evidence not sufficient"))))))))</f>
        <v/>
      </c>
      <c r="O170" s="50"/>
      <c r="P170" s="34"/>
      <c r="Q170" s="34"/>
      <c r="R170" s="50"/>
      <c r="S170" s="51"/>
      <c r="T170" s="51"/>
      <c r="U170" s="52" t="str">
        <f aca="false">IF(OR(A170="",Q170=""),"",IF(AND(ISNUMBER(S170),S170&lt;AsOf,O170&lt;&gt;"Reviewed"),"Overdue",""))</f>
        <v/>
      </c>
      <c r="V170" s="54" t="str">
        <f aca="false">IF(A170="","",IF(COUNTIF(QA_ID,A170)&gt;1,"CHECK: duplicate ID",IF(B170="","CHECK: Supplier ID missing",IF(COUNTIF(INV_ID,B170)=0,"CHECK: Supplier ID not in inventory",IF(E170="","CHECK: Question ID missing",IF(COUNTIF(QB_ID,E170)=0,"CHECK: Question ID not in bank","OK"))))))</f>
        <v/>
      </c>
    </row>
    <row r="171" customFormat="false" ht="15" hidden="false" customHeight="false" outlineLevel="0" collapsed="false">
      <c r="A171" s="50"/>
      <c r="B171" s="50"/>
      <c r="C171" s="59" t="str">
        <f aca="false">IF(B171="","",IFERROR(INDEX(INV_NAME,MATCH(B171,INV_ID,0)),"CHECK: Supplier ID not found"))</f>
        <v/>
      </c>
      <c r="D171" s="63" t="str">
        <f aca="false">IF(B171="","",IFERROR(INDEX(INV_TIER,MATCH(B171,INV_ID,0)),""))</f>
        <v/>
      </c>
      <c r="E171" s="50"/>
      <c r="F171" s="59" t="str">
        <f aca="false">IF(E171="","",IFERROR(INDEX(QB_Q,MATCH(E171,QB_ID,0)),"CHECK: Question ID not found"))</f>
        <v/>
      </c>
      <c r="G171" s="59" t="str">
        <f aca="false">IF(E171="","",IFERROR(INDEX(QB_DOMAIN,MATCH(E171,QB_ID,0)),""))</f>
        <v/>
      </c>
      <c r="H171" s="54" t="str">
        <f aca="false">IF(OR(A171="",E171=""),"",IFERROR(IF(ISNUMBER(MATCH(D171,{"Low","Medium","High"},0)),IF(MATCH(D171,{"Low","Medium","High"},0)&gt;=MATCH(INDEX(QB_MINTIER,MATCH(E171,QB_ID,0)),{"Low","Medium","High"},0),"Recommended for tier","Optional for tier"),"Tier not determined"),"Check question"))</f>
        <v/>
      </c>
      <c r="I171" s="34"/>
      <c r="J171" s="50"/>
      <c r="K171" s="34"/>
      <c r="L171" s="34"/>
      <c r="M171" s="62" t="str">
        <f aca="false">IF(L171="","",SUMPRODUCT(ISNUMBER(SEARCH(","&amp;EV_ID&amp;",",","&amp;SUBSTITUTE(L171," ","")&amp;","))*(EV_ID&lt;&gt;"")))</f>
        <v/>
      </c>
      <c r="N171" s="54" t="str">
        <f aca="false">IF(A171="","",IF(I171&lt;&gt;"Applicable",IF(I171="","Applicability not set","Not in scope ("&amp;I171&amp;")"),IF(OR(J171="",J171="Not answered"),"Awaiting supplier response",IF(J171="Not applicable","Supplier states not applicable - analyst to confirm",IF(L171="","Evidence insufficient - none referenced",IF(M171=0,"Evidence insufficient - referenced ID not found",IF(SUMPRODUCT(ISNUMBER(SEARCH(","&amp;EV_ID&amp;",",","&amp;SUBSTITUTE(L171," ","")&amp;","))*(EV_ID&lt;&gt;"")*(EV_SUFF="Sufficient"))&gt;0,"Evidence reviewed - sufficient",IF(SUMPRODUCT(ISNUMBER(SEARCH(","&amp;EV_ID&amp;",",","&amp;SUBSTITUTE(L171," ","")&amp;","))*(EV_ID&lt;&gt;"")*(EV_SUFF="Partially sufficient"))&gt;0,"Evidence partially sufficient","Evidence insufficient - referenced evidence not sufficient"))))))))</f>
        <v/>
      </c>
      <c r="O171" s="50"/>
      <c r="P171" s="34"/>
      <c r="Q171" s="34"/>
      <c r="R171" s="50"/>
      <c r="S171" s="51"/>
      <c r="T171" s="51"/>
      <c r="U171" s="52" t="str">
        <f aca="false">IF(OR(A171="",Q171=""),"",IF(AND(ISNUMBER(S171),S171&lt;AsOf,O171&lt;&gt;"Reviewed"),"Overdue",""))</f>
        <v/>
      </c>
      <c r="V171" s="54" t="str">
        <f aca="false">IF(A171="","",IF(COUNTIF(QA_ID,A171)&gt;1,"CHECK: duplicate ID",IF(B171="","CHECK: Supplier ID missing",IF(COUNTIF(INV_ID,B171)=0,"CHECK: Supplier ID not in inventory",IF(E171="","CHECK: Question ID missing",IF(COUNTIF(QB_ID,E171)=0,"CHECK: Question ID not in bank","OK"))))))</f>
        <v/>
      </c>
    </row>
    <row r="172" customFormat="false" ht="15" hidden="false" customHeight="false" outlineLevel="0" collapsed="false">
      <c r="A172" s="50"/>
      <c r="B172" s="50"/>
      <c r="C172" s="59" t="str">
        <f aca="false">IF(B172="","",IFERROR(INDEX(INV_NAME,MATCH(B172,INV_ID,0)),"CHECK: Supplier ID not found"))</f>
        <v/>
      </c>
      <c r="D172" s="63" t="str">
        <f aca="false">IF(B172="","",IFERROR(INDEX(INV_TIER,MATCH(B172,INV_ID,0)),""))</f>
        <v/>
      </c>
      <c r="E172" s="50"/>
      <c r="F172" s="59" t="str">
        <f aca="false">IF(E172="","",IFERROR(INDEX(QB_Q,MATCH(E172,QB_ID,0)),"CHECK: Question ID not found"))</f>
        <v/>
      </c>
      <c r="G172" s="59" t="str">
        <f aca="false">IF(E172="","",IFERROR(INDEX(QB_DOMAIN,MATCH(E172,QB_ID,0)),""))</f>
        <v/>
      </c>
      <c r="H172" s="54" t="str">
        <f aca="false">IF(OR(A172="",E172=""),"",IFERROR(IF(ISNUMBER(MATCH(D172,{"Low","Medium","High"},0)),IF(MATCH(D172,{"Low","Medium","High"},0)&gt;=MATCH(INDEX(QB_MINTIER,MATCH(E172,QB_ID,0)),{"Low","Medium","High"},0),"Recommended for tier","Optional for tier"),"Tier not determined"),"Check question"))</f>
        <v/>
      </c>
      <c r="I172" s="34"/>
      <c r="J172" s="50"/>
      <c r="K172" s="34"/>
      <c r="L172" s="34"/>
      <c r="M172" s="62" t="str">
        <f aca="false">IF(L172="","",SUMPRODUCT(ISNUMBER(SEARCH(","&amp;EV_ID&amp;",",","&amp;SUBSTITUTE(L172," ","")&amp;","))*(EV_ID&lt;&gt;"")))</f>
        <v/>
      </c>
      <c r="N172" s="54" t="str">
        <f aca="false">IF(A172="","",IF(I172&lt;&gt;"Applicable",IF(I172="","Applicability not set","Not in scope ("&amp;I172&amp;")"),IF(OR(J172="",J172="Not answered"),"Awaiting supplier response",IF(J172="Not applicable","Supplier states not applicable - analyst to confirm",IF(L172="","Evidence insufficient - none referenced",IF(M172=0,"Evidence insufficient - referenced ID not found",IF(SUMPRODUCT(ISNUMBER(SEARCH(","&amp;EV_ID&amp;",",","&amp;SUBSTITUTE(L172," ","")&amp;","))*(EV_ID&lt;&gt;"")*(EV_SUFF="Sufficient"))&gt;0,"Evidence reviewed - sufficient",IF(SUMPRODUCT(ISNUMBER(SEARCH(","&amp;EV_ID&amp;",",","&amp;SUBSTITUTE(L172," ","")&amp;","))*(EV_ID&lt;&gt;"")*(EV_SUFF="Partially sufficient"))&gt;0,"Evidence partially sufficient","Evidence insufficient - referenced evidence not sufficient"))))))))</f>
        <v/>
      </c>
      <c r="O172" s="50"/>
      <c r="P172" s="34"/>
      <c r="Q172" s="34"/>
      <c r="R172" s="50"/>
      <c r="S172" s="51"/>
      <c r="T172" s="51"/>
      <c r="U172" s="52" t="str">
        <f aca="false">IF(OR(A172="",Q172=""),"",IF(AND(ISNUMBER(S172),S172&lt;AsOf,O172&lt;&gt;"Reviewed"),"Overdue",""))</f>
        <v/>
      </c>
      <c r="V172" s="54" t="str">
        <f aca="false">IF(A172="","",IF(COUNTIF(QA_ID,A172)&gt;1,"CHECK: duplicate ID",IF(B172="","CHECK: Supplier ID missing",IF(COUNTIF(INV_ID,B172)=0,"CHECK: Supplier ID not in inventory",IF(E172="","CHECK: Question ID missing",IF(COUNTIF(QB_ID,E172)=0,"CHECK: Question ID not in bank","OK"))))))</f>
        <v/>
      </c>
    </row>
    <row r="173" customFormat="false" ht="15" hidden="false" customHeight="false" outlineLevel="0" collapsed="false">
      <c r="A173" s="50"/>
      <c r="B173" s="50"/>
      <c r="C173" s="59" t="str">
        <f aca="false">IF(B173="","",IFERROR(INDEX(INV_NAME,MATCH(B173,INV_ID,0)),"CHECK: Supplier ID not found"))</f>
        <v/>
      </c>
      <c r="D173" s="63" t="str">
        <f aca="false">IF(B173="","",IFERROR(INDEX(INV_TIER,MATCH(B173,INV_ID,0)),""))</f>
        <v/>
      </c>
      <c r="E173" s="50"/>
      <c r="F173" s="59" t="str">
        <f aca="false">IF(E173="","",IFERROR(INDEX(QB_Q,MATCH(E173,QB_ID,0)),"CHECK: Question ID not found"))</f>
        <v/>
      </c>
      <c r="G173" s="59" t="str">
        <f aca="false">IF(E173="","",IFERROR(INDEX(QB_DOMAIN,MATCH(E173,QB_ID,0)),""))</f>
        <v/>
      </c>
      <c r="H173" s="54" t="str">
        <f aca="false">IF(OR(A173="",E173=""),"",IFERROR(IF(ISNUMBER(MATCH(D173,{"Low","Medium","High"},0)),IF(MATCH(D173,{"Low","Medium","High"},0)&gt;=MATCH(INDEX(QB_MINTIER,MATCH(E173,QB_ID,0)),{"Low","Medium","High"},0),"Recommended for tier","Optional for tier"),"Tier not determined"),"Check question"))</f>
        <v/>
      </c>
      <c r="I173" s="34"/>
      <c r="J173" s="50"/>
      <c r="K173" s="34"/>
      <c r="L173" s="34"/>
      <c r="M173" s="62" t="str">
        <f aca="false">IF(L173="","",SUMPRODUCT(ISNUMBER(SEARCH(","&amp;EV_ID&amp;",",","&amp;SUBSTITUTE(L173," ","")&amp;","))*(EV_ID&lt;&gt;"")))</f>
        <v/>
      </c>
      <c r="N173" s="54" t="str">
        <f aca="false">IF(A173="","",IF(I173&lt;&gt;"Applicable",IF(I173="","Applicability not set","Not in scope ("&amp;I173&amp;")"),IF(OR(J173="",J173="Not answered"),"Awaiting supplier response",IF(J173="Not applicable","Supplier states not applicable - analyst to confirm",IF(L173="","Evidence insufficient - none referenced",IF(M173=0,"Evidence insufficient - referenced ID not found",IF(SUMPRODUCT(ISNUMBER(SEARCH(","&amp;EV_ID&amp;",",","&amp;SUBSTITUTE(L173," ","")&amp;","))*(EV_ID&lt;&gt;"")*(EV_SUFF="Sufficient"))&gt;0,"Evidence reviewed - sufficient",IF(SUMPRODUCT(ISNUMBER(SEARCH(","&amp;EV_ID&amp;",",","&amp;SUBSTITUTE(L173," ","")&amp;","))*(EV_ID&lt;&gt;"")*(EV_SUFF="Partially sufficient"))&gt;0,"Evidence partially sufficient","Evidence insufficient - referenced evidence not sufficient"))))))))</f>
        <v/>
      </c>
      <c r="O173" s="50"/>
      <c r="P173" s="34"/>
      <c r="Q173" s="34"/>
      <c r="R173" s="50"/>
      <c r="S173" s="51"/>
      <c r="T173" s="51"/>
      <c r="U173" s="52" t="str">
        <f aca="false">IF(OR(A173="",Q173=""),"",IF(AND(ISNUMBER(S173),S173&lt;AsOf,O173&lt;&gt;"Reviewed"),"Overdue",""))</f>
        <v/>
      </c>
      <c r="V173" s="54" t="str">
        <f aca="false">IF(A173="","",IF(COUNTIF(QA_ID,A173)&gt;1,"CHECK: duplicate ID",IF(B173="","CHECK: Supplier ID missing",IF(COUNTIF(INV_ID,B173)=0,"CHECK: Supplier ID not in inventory",IF(E173="","CHECK: Question ID missing",IF(COUNTIF(QB_ID,E173)=0,"CHECK: Question ID not in bank","OK"))))))</f>
        <v/>
      </c>
    </row>
    <row r="174" customFormat="false" ht="15" hidden="false" customHeight="false" outlineLevel="0" collapsed="false">
      <c r="A174" s="50"/>
      <c r="B174" s="50"/>
      <c r="C174" s="59" t="str">
        <f aca="false">IF(B174="","",IFERROR(INDEX(INV_NAME,MATCH(B174,INV_ID,0)),"CHECK: Supplier ID not found"))</f>
        <v/>
      </c>
      <c r="D174" s="63" t="str">
        <f aca="false">IF(B174="","",IFERROR(INDEX(INV_TIER,MATCH(B174,INV_ID,0)),""))</f>
        <v/>
      </c>
      <c r="E174" s="50"/>
      <c r="F174" s="59" t="str">
        <f aca="false">IF(E174="","",IFERROR(INDEX(QB_Q,MATCH(E174,QB_ID,0)),"CHECK: Question ID not found"))</f>
        <v/>
      </c>
      <c r="G174" s="59" t="str">
        <f aca="false">IF(E174="","",IFERROR(INDEX(QB_DOMAIN,MATCH(E174,QB_ID,0)),""))</f>
        <v/>
      </c>
      <c r="H174" s="54" t="str">
        <f aca="false">IF(OR(A174="",E174=""),"",IFERROR(IF(ISNUMBER(MATCH(D174,{"Low","Medium","High"},0)),IF(MATCH(D174,{"Low","Medium","High"},0)&gt;=MATCH(INDEX(QB_MINTIER,MATCH(E174,QB_ID,0)),{"Low","Medium","High"},0),"Recommended for tier","Optional for tier"),"Tier not determined"),"Check question"))</f>
        <v/>
      </c>
      <c r="I174" s="34"/>
      <c r="J174" s="50"/>
      <c r="K174" s="34"/>
      <c r="L174" s="34"/>
      <c r="M174" s="62" t="str">
        <f aca="false">IF(L174="","",SUMPRODUCT(ISNUMBER(SEARCH(","&amp;EV_ID&amp;",",","&amp;SUBSTITUTE(L174," ","")&amp;","))*(EV_ID&lt;&gt;"")))</f>
        <v/>
      </c>
      <c r="N174" s="54" t="str">
        <f aca="false">IF(A174="","",IF(I174&lt;&gt;"Applicable",IF(I174="","Applicability not set","Not in scope ("&amp;I174&amp;")"),IF(OR(J174="",J174="Not answered"),"Awaiting supplier response",IF(J174="Not applicable","Supplier states not applicable - analyst to confirm",IF(L174="","Evidence insufficient - none referenced",IF(M174=0,"Evidence insufficient - referenced ID not found",IF(SUMPRODUCT(ISNUMBER(SEARCH(","&amp;EV_ID&amp;",",","&amp;SUBSTITUTE(L174," ","")&amp;","))*(EV_ID&lt;&gt;"")*(EV_SUFF="Sufficient"))&gt;0,"Evidence reviewed - sufficient",IF(SUMPRODUCT(ISNUMBER(SEARCH(","&amp;EV_ID&amp;",",","&amp;SUBSTITUTE(L174," ","")&amp;","))*(EV_ID&lt;&gt;"")*(EV_SUFF="Partially sufficient"))&gt;0,"Evidence partially sufficient","Evidence insufficient - referenced evidence not sufficient"))))))))</f>
        <v/>
      </c>
      <c r="O174" s="50"/>
      <c r="P174" s="34"/>
      <c r="Q174" s="34"/>
      <c r="R174" s="50"/>
      <c r="S174" s="51"/>
      <c r="T174" s="51"/>
      <c r="U174" s="52" t="str">
        <f aca="false">IF(OR(A174="",Q174=""),"",IF(AND(ISNUMBER(S174),S174&lt;AsOf,O174&lt;&gt;"Reviewed"),"Overdue",""))</f>
        <v/>
      </c>
      <c r="V174" s="54" t="str">
        <f aca="false">IF(A174="","",IF(COUNTIF(QA_ID,A174)&gt;1,"CHECK: duplicate ID",IF(B174="","CHECK: Supplier ID missing",IF(COUNTIF(INV_ID,B174)=0,"CHECK: Supplier ID not in inventory",IF(E174="","CHECK: Question ID missing",IF(COUNTIF(QB_ID,E174)=0,"CHECK: Question ID not in bank","OK"))))))</f>
        <v/>
      </c>
    </row>
    <row r="175" customFormat="false" ht="15" hidden="false" customHeight="false" outlineLevel="0" collapsed="false">
      <c r="A175" s="50"/>
      <c r="B175" s="50"/>
      <c r="C175" s="59" t="str">
        <f aca="false">IF(B175="","",IFERROR(INDEX(INV_NAME,MATCH(B175,INV_ID,0)),"CHECK: Supplier ID not found"))</f>
        <v/>
      </c>
      <c r="D175" s="63" t="str">
        <f aca="false">IF(B175="","",IFERROR(INDEX(INV_TIER,MATCH(B175,INV_ID,0)),""))</f>
        <v/>
      </c>
      <c r="E175" s="50"/>
      <c r="F175" s="59" t="str">
        <f aca="false">IF(E175="","",IFERROR(INDEX(QB_Q,MATCH(E175,QB_ID,0)),"CHECK: Question ID not found"))</f>
        <v/>
      </c>
      <c r="G175" s="59" t="str">
        <f aca="false">IF(E175="","",IFERROR(INDEX(QB_DOMAIN,MATCH(E175,QB_ID,0)),""))</f>
        <v/>
      </c>
      <c r="H175" s="54" t="str">
        <f aca="false">IF(OR(A175="",E175=""),"",IFERROR(IF(ISNUMBER(MATCH(D175,{"Low","Medium","High"},0)),IF(MATCH(D175,{"Low","Medium","High"},0)&gt;=MATCH(INDEX(QB_MINTIER,MATCH(E175,QB_ID,0)),{"Low","Medium","High"},0),"Recommended for tier","Optional for tier"),"Tier not determined"),"Check question"))</f>
        <v/>
      </c>
      <c r="I175" s="34"/>
      <c r="J175" s="50"/>
      <c r="K175" s="34"/>
      <c r="L175" s="34"/>
      <c r="M175" s="62" t="str">
        <f aca="false">IF(L175="","",SUMPRODUCT(ISNUMBER(SEARCH(","&amp;EV_ID&amp;",",","&amp;SUBSTITUTE(L175," ","")&amp;","))*(EV_ID&lt;&gt;"")))</f>
        <v/>
      </c>
      <c r="N175" s="54" t="str">
        <f aca="false">IF(A175="","",IF(I175&lt;&gt;"Applicable",IF(I175="","Applicability not set","Not in scope ("&amp;I175&amp;")"),IF(OR(J175="",J175="Not answered"),"Awaiting supplier response",IF(J175="Not applicable","Supplier states not applicable - analyst to confirm",IF(L175="","Evidence insufficient - none referenced",IF(M175=0,"Evidence insufficient - referenced ID not found",IF(SUMPRODUCT(ISNUMBER(SEARCH(","&amp;EV_ID&amp;",",","&amp;SUBSTITUTE(L175," ","")&amp;","))*(EV_ID&lt;&gt;"")*(EV_SUFF="Sufficient"))&gt;0,"Evidence reviewed - sufficient",IF(SUMPRODUCT(ISNUMBER(SEARCH(","&amp;EV_ID&amp;",",","&amp;SUBSTITUTE(L175," ","")&amp;","))*(EV_ID&lt;&gt;"")*(EV_SUFF="Partially sufficient"))&gt;0,"Evidence partially sufficient","Evidence insufficient - referenced evidence not sufficient"))))))))</f>
        <v/>
      </c>
      <c r="O175" s="50"/>
      <c r="P175" s="34"/>
      <c r="Q175" s="34"/>
      <c r="R175" s="50"/>
      <c r="S175" s="51"/>
      <c r="T175" s="51"/>
      <c r="U175" s="52" t="str">
        <f aca="false">IF(OR(A175="",Q175=""),"",IF(AND(ISNUMBER(S175),S175&lt;AsOf,O175&lt;&gt;"Reviewed"),"Overdue",""))</f>
        <v/>
      </c>
      <c r="V175" s="54" t="str">
        <f aca="false">IF(A175="","",IF(COUNTIF(QA_ID,A175)&gt;1,"CHECK: duplicate ID",IF(B175="","CHECK: Supplier ID missing",IF(COUNTIF(INV_ID,B175)=0,"CHECK: Supplier ID not in inventory",IF(E175="","CHECK: Question ID missing",IF(COUNTIF(QB_ID,E175)=0,"CHECK: Question ID not in bank","OK"))))))</f>
        <v/>
      </c>
    </row>
    <row r="176" customFormat="false" ht="15" hidden="false" customHeight="false" outlineLevel="0" collapsed="false">
      <c r="A176" s="50"/>
      <c r="B176" s="50"/>
      <c r="C176" s="59" t="str">
        <f aca="false">IF(B176="","",IFERROR(INDEX(INV_NAME,MATCH(B176,INV_ID,0)),"CHECK: Supplier ID not found"))</f>
        <v/>
      </c>
      <c r="D176" s="63" t="str">
        <f aca="false">IF(B176="","",IFERROR(INDEX(INV_TIER,MATCH(B176,INV_ID,0)),""))</f>
        <v/>
      </c>
      <c r="E176" s="50"/>
      <c r="F176" s="59" t="str">
        <f aca="false">IF(E176="","",IFERROR(INDEX(QB_Q,MATCH(E176,QB_ID,0)),"CHECK: Question ID not found"))</f>
        <v/>
      </c>
      <c r="G176" s="59" t="str">
        <f aca="false">IF(E176="","",IFERROR(INDEX(QB_DOMAIN,MATCH(E176,QB_ID,0)),""))</f>
        <v/>
      </c>
      <c r="H176" s="54" t="str">
        <f aca="false">IF(OR(A176="",E176=""),"",IFERROR(IF(ISNUMBER(MATCH(D176,{"Low","Medium","High"},0)),IF(MATCH(D176,{"Low","Medium","High"},0)&gt;=MATCH(INDEX(QB_MINTIER,MATCH(E176,QB_ID,0)),{"Low","Medium","High"},0),"Recommended for tier","Optional for tier"),"Tier not determined"),"Check question"))</f>
        <v/>
      </c>
      <c r="I176" s="34"/>
      <c r="J176" s="50"/>
      <c r="K176" s="34"/>
      <c r="L176" s="34"/>
      <c r="M176" s="62" t="str">
        <f aca="false">IF(L176="","",SUMPRODUCT(ISNUMBER(SEARCH(","&amp;EV_ID&amp;",",","&amp;SUBSTITUTE(L176," ","")&amp;","))*(EV_ID&lt;&gt;"")))</f>
        <v/>
      </c>
      <c r="N176" s="54" t="str">
        <f aca="false">IF(A176="","",IF(I176&lt;&gt;"Applicable",IF(I176="","Applicability not set","Not in scope ("&amp;I176&amp;")"),IF(OR(J176="",J176="Not answered"),"Awaiting supplier response",IF(J176="Not applicable","Supplier states not applicable - analyst to confirm",IF(L176="","Evidence insufficient - none referenced",IF(M176=0,"Evidence insufficient - referenced ID not found",IF(SUMPRODUCT(ISNUMBER(SEARCH(","&amp;EV_ID&amp;",",","&amp;SUBSTITUTE(L176," ","")&amp;","))*(EV_ID&lt;&gt;"")*(EV_SUFF="Sufficient"))&gt;0,"Evidence reviewed - sufficient",IF(SUMPRODUCT(ISNUMBER(SEARCH(","&amp;EV_ID&amp;",",","&amp;SUBSTITUTE(L176," ","")&amp;","))*(EV_ID&lt;&gt;"")*(EV_SUFF="Partially sufficient"))&gt;0,"Evidence partially sufficient","Evidence insufficient - referenced evidence not sufficient"))))))))</f>
        <v/>
      </c>
      <c r="O176" s="50"/>
      <c r="P176" s="34"/>
      <c r="Q176" s="34"/>
      <c r="R176" s="50"/>
      <c r="S176" s="51"/>
      <c r="T176" s="51"/>
      <c r="U176" s="52" t="str">
        <f aca="false">IF(OR(A176="",Q176=""),"",IF(AND(ISNUMBER(S176),S176&lt;AsOf,O176&lt;&gt;"Reviewed"),"Overdue",""))</f>
        <v/>
      </c>
      <c r="V176" s="54" t="str">
        <f aca="false">IF(A176="","",IF(COUNTIF(QA_ID,A176)&gt;1,"CHECK: duplicate ID",IF(B176="","CHECK: Supplier ID missing",IF(COUNTIF(INV_ID,B176)=0,"CHECK: Supplier ID not in inventory",IF(E176="","CHECK: Question ID missing",IF(COUNTIF(QB_ID,E176)=0,"CHECK: Question ID not in bank","OK"))))))</f>
        <v/>
      </c>
    </row>
    <row r="177" customFormat="false" ht="15" hidden="false" customHeight="false" outlineLevel="0" collapsed="false">
      <c r="A177" s="50"/>
      <c r="B177" s="50"/>
      <c r="C177" s="59" t="str">
        <f aca="false">IF(B177="","",IFERROR(INDEX(INV_NAME,MATCH(B177,INV_ID,0)),"CHECK: Supplier ID not found"))</f>
        <v/>
      </c>
      <c r="D177" s="63" t="str">
        <f aca="false">IF(B177="","",IFERROR(INDEX(INV_TIER,MATCH(B177,INV_ID,0)),""))</f>
        <v/>
      </c>
      <c r="E177" s="50"/>
      <c r="F177" s="59" t="str">
        <f aca="false">IF(E177="","",IFERROR(INDEX(QB_Q,MATCH(E177,QB_ID,0)),"CHECK: Question ID not found"))</f>
        <v/>
      </c>
      <c r="G177" s="59" t="str">
        <f aca="false">IF(E177="","",IFERROR(INDEX(QB_DOMAIN,MATCH(E177,QB_ID,0)),""))</f>
        <v/>
      </c>
      <c r="H177" s="54" t="str">
        <f aca="false">IF(OR(A177="",E177=""),"",IFERROR(IF(ISNUMBER(MATCH(D177,{"Low","Medium","High"},0)),IF(MATCH(D177,{"Low","Medium","High"},0)&gt;=MATCH(INDEX(QB_MINTIER,MATCH(E177,QB_ID,0)),{"Low","Medium","High"},0),"Recommended for tier","Optional for tier"),"Tier not determined"),"Check question"))</f>
        <v/>
      </c>
      <c r="I177" s="34"/>
      <c r="J177" s="50"/>
      <c r="K177" s="34"/>
      <c r="L177" s="34"/>
      <c r="M177" s="62" t="str">
        <f aca="false">IF(L177="","",SUMPRODUCT(ISNUMBER(SEARCH(","&amp;EV_ID&amp;",",","&amp;SUBSTITUTE(L177," ","")&amp;","))*(EV_ID&lt;&gt;"")))</f>
        <v/>
      </c>
      <c r="N177" s="54" t="str">
        <f aca="false">IF(A177="","",IF(I177&lt;&gt;"Applicable",IF(I177="","Applicability not set","Not in scope ("&amp;I177&amp;")"),IF(OR(J177="",J177="Not answered"),"Awaiting supplier response",IF(J177="Not applicable","Supplier states not applicable - analyst to confirm",IF(L177="","Evidence insufficient - none referenced",IF(M177=0,"Evidence insufficient - referenced ID not found",IF(SUMPRODUCT(ISNUMBER(SEARCH(","&amp;EV_ID&amp;",",","&amp;SUBSTITUTE(L177," ","")&amp;","))*(EV_ID&lt;&gt;"")*(EV_SUFF="Sufficient"))&gt;0,"Evidence reviewed - sufficient",IF(SUMPRODUCT(ISNUMBER(SEARCH(","&amp;EV_ID&amp;",",","&amp;SUBSTITUTE(L177," ","")&amp;","))*(EV_ID&lt;&gt;"")*(EV_SUFF="Partially sufficient"))&gt;0,"Evidence partially sufficient","Evidence insufficient - referenced evidence not sufficient"))))))))</f>
        <v/>
      </c>
      <c r="O177" s="50"/>
      <c r="P177" s="34"/>
      <c r="Q177" s="34"/>
      <c r="R177" s="50"/>
      <c r="S177" s="51"/>
      <c r="T177" s="51"/>
      <c r="U177" s="52" t="str">
        <f aca="false">IF(OR(A177="",Q177=""),"",IF(AND(ISNUMBER(S177),S177&lt;AsOf,O177&lt;&gt;"Reviewed"),"Overdue",""))</f>
        <v/>
      </c>
      <c r="V177" s="54" t="str">
        <f aca="false">IF(A177="","",IF(COUNTIF(QA_ID,A177)&gt;1,"CHECK: duplicate ID",IF(B177="","CHECK: Supplier ID missing",IF(COUNTIF(INV_ID,B177)=0,"CHECK: Supplier ID not in inventory",IF(E177="","CHECK: Question ID missing",IF(COUNTIF(QB_ID,E177)=0,"CHECK: Question ID not in bank","OK"))))))</f>
        <v/>
      </c>
    </row>
    <row r="178" customFormat="false" ht="15" hidden="false" customHeight="false" outlineLevel="0" collapsed="false">
      <c r="A178" s="50"/>
      <c r="B178" s="50"/>
      <c r="C178" s="59" t="str">
        <f aca="false">IF(B178="","",IFERROR(INDEX(INV_NAME,MATCH(B178,INV_ID,0)),"CHECK: Supplier ID not found"))</f>
        <v/>
      </c>
      <c r="D178" s="63" t="str">
        <f aca="false">IF(B178="","",IFERROR(INDEX(INV_TIER,MATCH(B178,INV_ID,0)),""))</f>
        <v/>
      </c>
      <c r="E178" s="50"/>
      <c r="F178" s="59" t="str">
        <f aca="false">IF(E178="","",IFERROR(INDEX(QB_Q,MATCH(E178,QB_ID,0)),"CHECK: Question ID not found"))</f>
        <v/>
      </c>
      <c r="G178" s="59" t="str">
        <f aca="false">IF(E178="","",IFERROR(INDEX(QB_DOMAIN,MATCH(E178,QB_ID,0)),""))</f>
        <v/>
      </c>
      <c r="H178" s="54" t="str">
        <f aca="false">IF(OR(A178="",E178=""),"",IFERROR(IF(ISNUMBER(MATCH(D178,{"Low","Medium","High"},0)),IF(MATCH(D178,{"Low","Medium","High"},0)&gt;=MATCH(INDEX(QB_MINTIER,MATCH(E178,QB_ID,0)),{"Low","Medium","High"},0),"Recommended for tier","Optional for tier"),"Tier not determined"),"Check question"))</f>
        <v/>
      </c>
      <c r="I178" s="34"/>
      <c r="J178" s="50"/>
      <c r="K178" s="34"/>
      <c r="L178" s="34"/>
      <c r="M178" s="62" t="str">
        <f aca="false">IF(L178="","",SUMPRODUCT(ISNUMBER(SEARCH(","&amp;EV_ID&amp;",",","&amp;SUBSTITUTE(L178," ","")&amp;","))*(EV_ID&lt;&gt;"")))</f>
        <v/>
      </c>
      <c r="N178" s="54" t="str">
        <f aca="false">IF(A178="","",IF(I178&lt;&gt;"Applicable",IF(I178="","Applicability not set","Not in scope ("&amp;I178&amp;")"),IF(OR(J178="",J178="Not answered"),"Awaiting supplier response",IF(J178="Not applicable","Supplier states not applicable - analyst to confirm",IF(L178="","Evidence insufficient - none referenced",IF(M178=0,"Evidence insufficient - referenced ID not found",IF(SUMPRODUCT(ISNUMBER(SEARCH(","&amp;EV_ID&amp;",",","&amp;SUBSTITUTE(L178," ","")&amp;","))*(EV_ID&lt;&gt;"")*(EV_SUFF="Sufficient"))&gt;0,"Evidence reviewed - sufficient",IF(SUMPRODUCT(ISNUMBER(SEARCH(","&amp;EV_ID&amp;",",","&amp;SUBSTITUTE(L178," ","")&amp;","))*(EV_ID&lt;&gt;"")*(EV_SUFF="Partially sufficient"))&gt;0,"Evidence partially sufficient","Evidence insufficient - referenced evidence not sufficient"))))))))</f>
        <v/>
      </c>
      <c r="O178" s="50"/>
      <c r="P178" s="34"/>
      <c r="Q178" s="34"/>
      <c r="R178" s="50"/>
      <c r="S178" s="51"/>
      <c r="T178" s="51"/>
      <c r="U178" s="52" t="str">
        <f aca="false">IF(OR(A178="",Q178=""),"",IF(AND(ISNUMBER(S178),S178&lt;AsOf,O178&lt;&gt;"Reviewed"),"Overdue",""))</f>
        <v/>
      </c>
      <c r="V178" s="54" t="str">
        <f aca="false">IF(A178="","",IF(COUNTIF(QA_ID,A178)&gt;1,"CHECK: duplicate ID",IF(B178="","CHECK: Supplier ID missing",IF(COUNTIF(INV_ID,B178)=0,"CHECK: Supplier ID not in inventory",IF(E178="","CHECK: Question ID missing",IF(COUNTIF(QB_ID,E178)=0,"CHECK: Question ID not in bank","OK"))))))</f>
        <v/>
      </c>
    </row>
    <row r="179" customFormat="false" ht="15" hidden="false" customHeight="false" outlineLevel="0" collapsed="false">
      <c r="A179" s="50"/>
      <c r="B179" s="50"/>
      <c r="C179" s="59" t="str">
        <f aca="false">IF(B179="","",IFERROR(INDEX(INV_NAME,MATCH(B179,INV_ID,0)),"CHECK: Supplier ID not found"))</f>
        <v/>
      </c>
      <c r="D179" s="63" t="str">
        <f aca="false">IF(B179="","",IFERROR(INDEX(INV_TIER,MATCH(B179,INV_ID,0)),""))</f>
        <v/>
      </c>
      <c r="E179" s="50"/>
      <c r="F179" s="59" t="str">
        <f aca="false">IF(E179="","",IFERROR(INDEX(QB_Q,MATCH(E179,QB_ID,0)),"CHECK: Question ID not found"))</f>
        <v/>
      </c>
      <c r="G179" s="59" t="str">
        <f aca="false">IF(E179="","",IFERROR(INDEX(QB_DOMAIN,MATCH(E179,QB_ID,0)),""))</f>
        <v/>
      </c>
      <c r="H179" s="54" t="str">
        <f aca="false">IF(OR(A179="",E179=""),"",IFERROR(IF(ISNUMBER(MATCH(D179,{"Low","Medium","High"},0)),IF(MATCH(D179,{"Low","Medium","High"},0)&gt;=MATCH(INDEX(QB_MINTIER,MATCH(E179,QB_ID,0)),{"Low","Medium","High"},0),"Recommended for tier","Optional for tier"),"Tier not determined"),"Check question"))</f>
        <v/>
      </c>
      <c r="I179" s="34"/>
      <c r="J179" s="50"/>
      <c r="K179" s="34"/>
      <c r="L179" s="34"/>
      <c r="M179" s="62" t="str">
        <f aca="false">IF(L179="","",SUMPRODUCT(ISNUMBER(SEARCH(","&amp;EV_ID&amp;",",","&amp;SUBSTITUTE(L179," ","")&amp;","))*(EV_ID&lt;&gt;"")))</f>
        <v/>
      </c>
      <c r="N179" s="54" t="str">
        <f aca="false">IF(A179="","",IF(I179&lt;&gt;"Applicable",IF(I179="","Applicability not set","Not in scope ("&amp;I179&amp;")"),IF(OR(J179="",J179="Not answered"),"Awaiting supplier response",IF(J179="Not applicable","Supplier states not applicable - analyst to confirm",IF(L179="","Evidence insufficient - none referenced",IF(M179=0,"Evidence insufficient - referenced ID not found",IF(SUMPRODUCT(ISNUMBER(SEARCH(","&amp;EV_ID&amp;",",","&amp;SUBSTITUTE(L179," ","")&amp;","))*(EV_ID&lt;&gt;"")*(EV_SUFF="Sufficient"))&gt;0,"Evidence reviewed - sufficient",IF(SUMPRODUCT(ISNUMBER(SEARCH(","&amp;EV_ID&amp;",",","&amp;SUBSTITUTE(L179," ","")&amp;","))*(EV_ID&lt;&gt;"")*(EV_SUFF="Partially sufficient"))&gt;0,"Evidence partially sufficient","Evidence insufficient - referenced evidence not sufficient"))))))))</f>
        <v/>
      </c>
      <c r="O179" s="50"/>
      <c r="P179" s="34"/>
      <c r="Q179" s="34"/>
      <c r="R179" s="50"/>
      <c r="S179" s="51"/>
      <c r="T179" s="51"/>
      <c r="U179" s="52" t="str">
        <f aca="false">IF(OR(A179="",Q179=""),"",IF(AND(ISNUMBER(S179),S179&lt;AsOf,O179&lt;&gt;"Reviewed"),"Overdue",""))</f>
        <v/>
      </c>
      <c r="V179" s="54" t="str">
        <f aca="false">IF(A179="","",IF(COUNTIF(QA_ID,A179)&gt;1,"CHECK: duplicate ID",IF(B179="","CHECK: Supplier ID missing",IF(COUNTIF(INV_ID,B179)=0,"CHECK: Supplier ID not in inventory",IF(E179="","CHECK: Question ID missing",IF(COUNTIF(QB_ID,E179)=0,"CHECK: Question ID not in bank","OK"))))))</f>
        <v/>
      </c>
    </row>
    <row r="180" customFormat="false" ht="15" hidden="false" customHeight="false" outlineLevel="0" collapsed="false">
      <c r="A180" s="50"/>
      <c r="B180" s="50"/>
      <c r="C180" s="59" t="str">
        <f aca="false">IF(B180="","",IFERROR(INDEX(INV_NAME,MATCH(B180,INV_ID,0)),"CHECK: Supplier ID not found"))</f>
        <v/>
      </c>
      <c r="D180" s="63" t="str">
        <f aca="false">IF(B180="","",IFERROR(INDEX(INV_TIER,MATCH(B180,INV_ID,0)),""))</f>
        <v/>
      </c>
      <c r="E180" s="50"/>
      <c r="F180" s="59" t="str">
        <f aca="false">IF(E180="","",IFERROR(INDEX(QB_Q,MATCH(E180,QB_ID,0)),"CHECK: Question ID not found"))</f>
        <v/>
      </c>
      <c r="G180" s="59" t="str">
        <f aca="false">IF(E180="","",IFERROR(INDEX(QB_DOMAIN,MATCH(E180,QB_ID,0)),""))</f>
        <v/>
      </c>
      <c r="H180" s="54" t="str">
        <f aca="false">IF(OR(A180="",E180=""),"",IFERROR(IF(ISNUMBER(MATCH(D180,{"Low","Medium","High"},0)),IF(MATCH(D180,{"Low","Medium","High"},0)&gt;=MATCH(INDEX(QB_MINTIER,MATCH(E180,QB_ID,0)),{"Low","Medium","High"},0),"Recommended for tier","Optional for tier"),"Tier not determined"),"Check question"))</f>
        <v/>
      </c>
      <c r="I180" s="34"/>
      <c r="J180" s="50"/>
      <c r="K180" s="34"/>
      <c r="L180" s="34"/>
      <c r="M180" s="62" t="str">
        <f aca="false">IF(L180="","",SUMPRODUCT(ISNUMBER(SEARCH(","&amp;EV_ID&amp;",",","&amp;SUBSTITUTE(L180," ","")&amp;","))*(EV_ID&lt;&gt;"")))</f>
        <v/>
      </c>
      <c r="N180" s="54" t="str">
        <f aca="false">IF(A180="","",IF(I180&lt;&gt;"Applicable",IF(I180="","Applicability not set","Not in scope ("&amp;I180&amp;")"),IF(OR(J180="",J180="Not answered"),"Awaiting supplier response",IF(J180="Not applicable","Supplier states not applicable - analyst to confirm",IF(L180="","Evidence insufficient - none referenced",IF(M180=0,"Evidence insufficient - referenced ID not found",IF(SUMPRODUCT(ISNUMBER(SEARCH(","&amp;EV_ID&amp;",",","&amp;SUBSTITUTE(L180," ","")&amp;","))*(EV_ID&lt;&gt;"")*(EV_SUFF="Sufficient"))&gt;0,"Evidence reviewed - sufficient",IF(SUMPRODUCT(ISNUMBER(SEARCH(","&amp;EV_ID&amp;",",","&amp;SUBSTITUTE(L180," ","")&amp;","))*(EV_ID&lt;&gt;"")*(EV_SUFF="Partially sufficient"))&gt;0,"Evidence partially sufficient","Evidence insufficient - referenced evidence not sufficient"))))))))</f>
        <v/>
      </c>
      <c r="O180" s="50"/>
      <c r="P180" s="34"/>
      <c r="Q180" s="34"/>
      <c r="R180" s="50"/>
      <c r="S180" s="51"/>
      <c r="T180" s="51"/>
      <c r="U180" s="52" t="str">
        <f aca="false">IF(OR(A180="",Q180=""),"",IF(AND(ISNUMBER(S180),S180&lt;AsOf,O180&lt;&gt;"Reviewed"),"Overdue",""))</f>
        <v/>
      </c>
      <c r="V180" s="54" t="str">
        <f aca="false">IF(A180="","",IF(COUNTIF(QA_ID,A180)&gt;1,"CHECK: duplicate ID",IF(B180="","CHECK: Supplier ID missing",IF(COUNTIF(INV_ID,B180)=0,"CHECK: Supplier ID not in inventory",IF(E180="","CHECK: Question ID missing",IF(COUNTIF(QB_ID,E180)=0,"CHECK: Question ID not in bank","OK"))))))</f>
        <v/>
      </c>
    </row>
    <row r="181" customFormat="false" ht="15" hidden="false" customHeight="false" outlineLevel="0" collapsed="false">
      <c r="A181" s="50"/>
      <c r="B181" s="50"/>
      <c r="C181" s="59" t="str">
        <f aca="false">IF(B181="","",IFERROR(INDEX(INV_NAME,MATCH(B181,INV_ID,0)),"CHECK: Supplier ID not found"))</f>
        <v/>
      </c>
      <c r="D181" s="63" t="str">
        <f aca="false">IF(B181="","",IFERROR(INDEX(INV_TIER,MATCH(B181,INV_ID,0)),""))</f>
        <v/>
      </c>
      <c r="E181" s="50"/>
      <c r="F181" s="59" t="str">
        <f aca="false">IF(E181="","",IFERROR(INDEX(QB_Q,MATCH(E181,QB_ID,0)),"CHECK: Question ID not found"))</f>
        <v/>
      </c>
      <c r="G181" s="59" t="str">
        <f aca="false">IF(E181="","",IFERROR(INDEX(QB_DOMAIN,MATCH(E181,QB_ID,0)),""))</f>
        <v/>
      </c>
      <c r="H181" s="54" t="str">
        <f aca="false">IF(OR(A181="",E181=""),"",IFERROR(IF(ISNUMBER(MATCH(D181,{"Low","Medium","High"},0)),IF(MATCH(D181,{"Low","Medium","High"},0)&gt;=MATCH(INDEX(QB_MINTIER,MATCH(E181,QB_ID,0)),{"Low","Medium","High"},0),"Recommended for tier","Optional for tier"),"Tier not determined"),"Check question"))</f>
        <v/>
      </c>
      <c r="I181" s="34"/>
      <c r="J181" s="50"/>
      <c r="K181" s="34"/>
      <c r="L181" s="34"/>
      <c r="M181" s="62" t="str">
        <f aca="false">IF(L181="","",SUMPRODUCT(ISNUMBER(SEARCH(","&amp;EV_ID&amp;",",","&amp;SUBSTITUTE(L181," ","")&amp;","))*(EV_ID&lt;&gt;"")))</f>
        <v/>
      </c>
      <c r="N181" s="54" t="str">
        <f aca="false">IF(A181="","",IF(I181&lt;&gt;"Applicable",IF(I181="","Applicability not set","Not in scope ("&amp;I181&amp;")"),IF(OR(J181="",J181="Not answered"),"Awaiting supplier response",IF(J181="Not applicable","Supplier states not applicable - analyst to confirm",IF(L181="","Evidence insufficient - none referenced",IF(M181=0,"Evidence insufficient - referenced ID not found",IF(SUMPRODUCT(ISNUMBER(SEARCH(","&amp;EV_ID&amp;",",","&amp;SUBSTITUTE(L181," ","")&amp;","))*(EV_ID&lt;&gt;"")*(EV_SUFF="Sufficient"))&gt;0,"Evidence reviewed - sufficient",IF(SUMPRODUCT(ISNUMBER(SEARCH(","&amp;EV_ID&amp;",",","&amp;SUBSTITUTE(L181," ","")&amp;","))*(EV_ID&lt;&gt;"")*(EV_SUFF="Partially sufficient"))&gt;0,"Evidence partially sufficient","Evidence insufficient - referenced evidence not sufficient"))))))))</f>
        <v/>
      </c>
      <c r="O181" s="50"/>
      <c r="P181" s="34"/>
      <c r="Q181" s="34"/>
      <c r="R181" s="50"/>
      <c r="S181" s="51"/>
      <c r="T181" s="51"/>
      <c r="U181" s="52" t="str">
        <f aca="false">IF(OR(A181="",Q181=""),"",IF(AND(ISNUMBER(S181),S181&lt;AsOf,O181&lt;&gt;"Reviewed"),"Overdue",""))</f>
        <v/>
      </c>
      <c r="V181" s="54" t="str">
        <f aca="false">IF(A181="","",IF(COUNTIF(QA_ID,A181)&gt;1,"CHECK: duplicate ID",IF(B181="","CHECK: Supplier ID missing",IF(COUNTIF(INV_ID,B181)=0,"CHECK: Supplier ID not in inventory",IF(E181="","CHECK: Question ID missing",IF(COUNTIF(QB_ID,E181)=0,"CHECK: Question ID not in bank","OK"))))))</f>
        <v/>
      </c>
    </row>
    <row r="182" customFormat="false" ht="15" hidden="false" customHeight="false" outlineLevel="0" collapsed="false">
      <c r="A182" s="50"/>
      <c r="B182" s="50"/>
      <c r="C182" s="59" t="str">
        <f aca="false">IF(B182="","",IFERROR(INDEX(INV_NAME,MATCH(B182,INV_ID,0)),"CHECK: Supplier ID not found"))</f>
        <v/>
      </c>
      <c r="D182" s="63" t="str">
        <f aca="false">IF(B182="","",IFERROR(INDEX(INV_TIER,MATCH(B182,INV_ID,0)),""))</f>
        <v/>
      </c>
      <c r="E182" s="50"/>
      <c r="F182" s="59" t="str">
        <f aca="false">IF(E182="","",IFERROR(INDEX(QB_Q,MATCH(E182,QB_ID,0)),"CHECK: Question ID not found"))</f>
        <v/>
      </c>
      <c r="G182" s="59" t="str">
        <f aca="false">IF(E182="","",IFERROR(INDEX(QB_DOMAIN,MATCH(E182,QB_ID,0)),""))</f>
        <v/>
      </c>
      <c r="H182" s="54" t="str">
        <f aca="false">IF(OR(A182="",E182=""),"",IFERROR(IF(ISNUMBER(MATCH(D182,{"Low","Medium","High"},0)),IF(MATCH(D182,{"Low","Medium","High"},0)&gt;=MATCH(INDEX(QB_MINTIER,MATCH(E182,QB_ID,0)),{"Low","Medium","High"},0),"Recommended for tier","Optional for tier"),"Tier not determined"),"Check question"))</f>
        <v/>
      </c>
      <c r="I182" s="34"/>
      <c r="J182" s="50"/>
      <c r="K182" s="34"/>
      <c r="L182" s="34"/>
      <c r="M182" s="62" t="str">
        <f aca="false">IF(L182="","",SUMPRODUCT(ISNUMBER(SEARCH(","&amp;EV_ID&amp;",",","&amp;SUBSTITUTE(L182," ","")&amp;","))*(EV_ID&lt;&gt;"")))</f>
        <v/>
      </c>
      <c r="N182" s="54" t="str">
        <f aca="false">IF(A182="","",IF(I182&lt;&gt;"Applicable",IF(I182="","Applicability not set","Not in scope ("&amp;I182&amp;")"),IF(OR(J182="",J182="Not answered"),"Awaiting supplier response",IF(J182="Not applicable","Supplier states not applicable - analyst to confirm",IF(L182="","Evidence insufficient - none referenced",IF(M182=0,"Evidence insufficient - referenced ID not found",IF(SUMPRODUCT(ISNUMBER(SEARCH(","&amp;EV_ID&amp;",",","&amp;SUBSTITUTE(L182," ","")&amp;","))*(EV_ID&lt;&gt;"")*(EV_SUFF="Sufficient"))&gt;0,"Evidence reviewed - sufficient",IF(SUMPRODUCT(ISNUMBER(SEARCH(","&amp;EV_ID&amp;",",","&amp;SUBSTITUTE(L182," ","")&amp;","))*(EV_ID&lt;&gt;"")*(EV_SUFF="Partially sufficient"))&gt;0,"Evidence partially sufficient","Evidence insufficient - referenced evidence not sufficient"))))))))</f>
        <v/>
      </c>
      <c r="O182" s="50"/>
      <c r="P182" s="34"/>
      <c r="Q182" s="34"/>
      <c r="R182" s="50"/>
      <c r="S182" s="51"/>
      <c r="T182" s="51"/>
      <c r="U182" s="52" t="str">
        <f aca="false">IF(OR(A182="",Q182=""),"",IF(AND(ISNUMBER(S182),S182&lt;AsOf,O182&lt;&gt;"Reviewed"),"Overdue",""))</f>
        <v/>
      </c>
      <c r="V182" s="54" t="str">
        <f aca="false">IF(A182="","",IF(COUNTIF(QA_ID,A182)&gt;1,"CHECK: duplicate ID",IF(B182="","CHECK: Supplier ID missing",IF(COUNTIF(INV_ID,B182)=0,"CHECK: Supplier ID not in inventory",IF(E182="","CHECK: Question ID missing",IF(COUNTIF(QB_ID,E182)=0,"CHECK: Question ID not in bank","OK"))))))</f>
        <v/>
      </c>
    </row>
    <row r="183" customFormat="false" ht="15" hidden="false" customHeight="false" outlineLevel="0" collapsed="false">
      <c r="A183" s="50"/>
      <c r="B183" s="50"/>
      <c r="C183" s="59" t="str">
        <f aca="false">IF(B183="","",IFERROR(INDEX(INV_NAME,MATCH(B183,INV_ID,0)),"CHECK: Supplier ID not found"))</f>
        <v/>
      </c>
      <c r="D183" s="63" t="str">
        <f aca="false">IF(B183="","",IFERROR(INDEX(INV_TIER,MATCH(B183,INV_ID,0)),""))</f>
        <v/>
      </c>
      <c r="E183" s="50"/>
      <c r="F183" s="59" t="str">
        <f aca="false">IF(E183="","",IFERROR(INDEX(QB_Q,MATCH(E183,QB_ID,0)),"CHECK: Question ID not found"))</f>
        <v/>
      </c>
      <c r="G183" s="59" t="str">
        <f aca="false">IF(E183="","",IFERROR(INDEX(QB_DOMAIN,MATCH(E183,QB_ID,0)),""))</f>
        <v/>
      </c>
      <c r="H183" s="54" t="str">
        <f aca="false">IF(OR(A183="",E183=""),"",IFERROR(IF(ISNUMBER(MATCH(D183,{"Low","Medium","High"},0)),IF(MATCH(D183,{"Low","Medium","High"},0)&gt;=MATCH(INDEX(QB_MINTIER,MATCH(E183,QB_ID,0)),{"Low","Medium","High"},0),"Recommended for tier","Optional for tier"),"Tier not determined"),"Check question"))</f>
        <v/>
      </c>
      <c r="I183" s="34"/>
      <c r="J183" s="50"/>
      <c r="K183" s="34"/>
      <c r="L183" s="34"/>
      <c r="M183" s="62" t="str">
        <f aca="false">IF(L183="","",SUMPRODUCT(ISNUMBER(SEARCH(","&amp;EV_ID&amp;",",","&amp;SUBSTITUTE(L183," ","")&amp;","))*(EV_ID&lt;&gt;"")))</f>
        <v/>
      </c>
      <c r="N183" s="54" t="str">
        <f aca="false">IF(A183="","",IF(I183&lt;&gt;"Applicable",IF(I183="","Applicability not set","Not in scope ("&amp;I183&amp;")"),IF(OR(J183="",J183="Not answered"),"Awaiting supplier response",IF(J183="Not applicable","Supplier states not applicable - analyst to confirm",IF(L183="","Evidence insufficient - none referenced",IF(M183=0,"Evidence insufficient - referenced ID not found",IF(SUMPRODUCT(ISNUMBER(SEARCH(","&amp;EV_ID&amp;",",","&amp;SUBSTITUTE(L183," ","")&amp;","))*(EV_ID&lt;&gt;"")*(EV_SUFF="Sufficient"))&gt;0,"Evidence reviewed - sufficient",IF(SUMPRODUCT(ISNUMBER(SEARCH(","&amp;EV_ID&amp;",",","&amp;SUBSTITUTE(L183," ","")&amp;","))*(EV_ID&lt;&gt;"")*(EV_SUFF="Partially sufficient"))&gt;0,"Evidence partially sufficient","Evidence insufficient - referenced evidence not sufficient"))))))))</f>
        <v/>
      </c>
      <c r="O183" s="50"/>
      <c r="P183" s="34"/>
      <c r="Q183" s="34"/>
      <c r="R183" s="50"/>
      <c r="S183" s="51"/>
      <c r="T183" s="51"/>
      <c r="U183" s="52" t="str">
        <f aca="false">IF(OR(A183="",Q183=""),"",IF(AND(ISNUMBER(S183),S183&lt;AsOf,O183&lt;&gt;"Reviewed"),"Overdue",""))</f>
        <v/>
      </c>
      <c r="V183" s="54" t="str">
        <f aca="false">IF(A183="","",IF(COUNTIF(QA_ID,A183)&gt;1,"CHECK: duplicate ID",IF(B183="","CHECK: Supplier ID missing",IF(COUNTIF(INV_ID,B183)=0,"CHECK: Supplier ID not in inventory",IF(E183="","CHECK: Question ID missing",IF(COUNTIF(QB_ID,E183)=0,"CHECK: Question ID not in bank","OK"))))))</f>
        <v/>
      </c>
    </row>
    <row r="184" customFormat="false" ht="15" hidden="false" customHeight="false" outlineLevel="0" collapsed="false">
      <c r="A184" s="50"/>
      <c r="B184" s="50"/>
      <c r="C184" s="59" t="str">
        <f aca="false">IF(B184="","",IFERROR(INDEX(INV_NAME,MATCH(B184,INV_ID,0)),"CHECK: Supplier ID not found"))</f>
        <v/>
      </c>
      <c r="D184" s="63" t="str">
        <f aca="false">IF(B184="","",IFERROR(INDEX(INV_TIER,MATCH(B184,INV_ID,0)),""))</f>
        <v/>
      </c>
      <c r="E184" s="50"/>
      <c r="F184" s="59" t="str">
        <f aca="false">IF(E184="","",IFERROR(INDEX(QB_Q,MATCH(E184,QB_ID,0)),"CHECK: Question ID not found"))</f>
        <v/>
      </c>
      <c r="G184" s="59" t="str">
        <f aca="false">IF(E184="","",IFERROR(INDEX(QB_DOMAIN,MATCH(E184,QB_ID,0)),""))</f>
        <v/>
      </c>
      <c r="H184" s="54" t="str">
        <f aca="false">IF(OR(A184="",E184=""),"",IFERROR(IF(ISNUMBER(MATCH(D184,{"Low","Medium","High"},0)),IF(MATCH(D184,{"Low","Medium","High"},0)&gt;=MATCH(INDEX(QB_MINTIER,MATCH(E184,QB_ID,0)),{"Low","Medium","High"},0),"Recommended for tier","Optional for tier"),"Tier not determined"),"Check question"))</f>
        <v/>
      </c>
      <c r="I184" s="34"/>
      <c r="J184" s="50"/>
      <c r="K184" s="34"/>
      <c r="L184" s="34"/>
      <c r="M184" s="62" t="str">
        <f aca="false">IF(L184="","",SUMPRODUCT(ISNUMBER(SEARCH(","&amp;EV_ID&amp;",",","&amp;SUBSTITUTE(L184," ","")&amp;","))*(EV_ID&lt;&gt;"")))</f>
        <v/>
      </c>
      <c r="N184" s="54" t="str">
        <f aca="false">IF(A184="","",IF(I184&lt;&gt;"Applicable",IF(I184="","Applicability not set","Not in scope ("&amp;I184&amp;")"),IF(OR(J184="",J184="Not answered"),"Awaiting supplier response",IF(J184="Not applicable","Supplier states not applicable - analyst to confirm",IF(L184="","Evidence insufficient - none referenced",IF(M184=0,"Evidence insufficient - referenced ID not found",IF(SUMPRODUCT(ISNUMBER(SEARCH(","&amp;EV_ID&amp;",",","&amp;SUBSTITUTE(L184," ","")&amp;","))*(EV_ID&lt;&gt;"")*(EV_SUFF="Sufficient"))&gt;0,"Evidence reviewed - sufficient",IF(SUMPRODUCT(ISNUMBER(SEARCH(","&amp;EV_ID&amp;",",","&amp;SUBSTITUTE(L184," ","")&amp;","))*(EV_ID&lt;&gt;"")*(EV_SUFF="Partially sufficient"))&gt;0,"Evidence partially sufficient","Evidence insufficient - referenced evidence not sufficient"))))))))</f>
        <v/>
      </c>
      <c r="O184" s="50"/>
      <c r="P184" s="34"/>
      <c r="Q184" s="34"/>
      <c r="R184" s="50"/>
      <c r="S184" s="51"/>
      <c r="T184" s="51"/>
      <c r="U184" s="52" t="str">
        <f aca="false">IF(OR(A184="",Q184=""),"",IF(AND(ISNUMBER(S184),S184&lt;AsOf,O184&lt;&gt;"Reviewed"),"Overdue",""))</f>
        <v/>
      </c>
      <c r="V184" s="54" t="str">
        <f aca="false">IF(A184="","",IF(COUNTIF(QA_ID,A184)&gt;1,"CHECK: duplicate ID",IF(B184="","CHECK: Supplier ID missing",IF(COUNTIF(INV_ID,B184)=0,"CHECK: Supplier ID not in inventory",IF(E184="","CHECK: Question ID missing",IF(COUNTIF(QB_ID,E184)=0,"CHECK: Question ID not in bank","OK"))))))</f>
        <v/>
      </c>
    </row>
    <row r="185" customFormat="false" ht="15" hidden="false" customHeight="false" outlineLevel="0" collapsed="false">
      <c r="A185" s="50"/>
      <c r="B185" s="50"/>
      <c r="C185" s="59" t="str">
        <f aca="false">IF(B185="","",IFERROR(INDEX(INV_NAME,MATCH(B185,INV_ID,0)),"CHECK: Supplier ID not found"))</f>
        <v/>
      </c>
      <c r="D185" s="63" t="str">
        <f aca="false">IF(B185="","",IFERROR(INDEX(INV_TIER,MATCH(B185,INV_ID,0)),""))</f>
        <v/>
      </c>
      <c r="E185" s="50"/>
      <c r="F185" s="59" t="str">
        <f aca="false">IF(E185="","",IFERROR(INDEX(QB_Q,MATCH(E185,QB_ID,0)),"CHECK: Question ID not found"))</f>
        <v/>
      </c>
      <c r="G185" s="59" t="str">
        <f aca="false">IF(E185="","",IFERROR(INDEX(QB_DOMAIN,MATCH(E185,QB_ID,0)),""))</f>
        <v/>
      </c>
      <c r="H185" s="54" t="str">
        <f aca="false">IF(OR(A185="",E185=""),"",IFERROR(IF(ISNUMBER(MATCH(D185,{"Low","Medium","High"},0)),IF(MATCH(D185,{"Low","Medium","High"},0)&gt;=MATCH(INDEX(QB_MINTIER,MATCH(E185,QB_ID,0)),{"Low","Medium","High"},0),"Recommended for tier","Optional for tier"),"Tier not determined"),"Check question"))</f>
        <v/>
      </c>
      <c r="I185" s="34"/>
      <c r="J185" s="50"/>
      <c r="K185" s="34"/>
      <c r="L185" s="34"/>
      <c r="M185" s="62" t="str">
        <f aca="false">IF(L185="","",SUMPRODUCT(ISNUMBER(SEARCH(","&amp;EV_ID&amp;",",","&amp;SUBSTITUTE(L185," ","")&amp;","))*(EV_ID&lt;&gt;"")))</f>
        <v/>
      </c>
      <c r="N185" s="54" t="str">
        <f aca="false">IF(A185="","",IF(I185&lt;&gt;"Applicable",IF(I185="","Applicability not set","Not in scope ("&amp;I185&amp;")"),IF(OR(J185="",J185="Not answered"),"Awaiting supplier response",IF(J185="Not applicable","Supplier states not applicable - analyst to confirm",IF(L185="","Evidence insufficient - none referenced",IF(M185=0,"Evidence insufficient - referenced ID not found",IF(SUMPRODUCT(ISNUMBER(SEARCH(","&amp;EV_ID&amp;",",","&amp;SUBSTITUTE(L185," ","")&amp;","))*(EV_ID&lt;&gt;"")*(EV_SUFF="Sufficient"))&gt;0,"Evidence reviewed - sufficient",IF(SUMPRODUCT(ISNUMBER(SEARCH(","&amp;EV_ID&amp;",",","&amp;SUBSTITUTE(L185," ","")&amp;","))*(EV_ID&lt;&gt;"")*(EV_SUFF="Partially sufficient"))&gt;0,"Evidence partially sufficient","Evidence insufficient - referenced evidence not sufficient"))))))))</f>
        <v/>
      </c>
      <c r="O185" s="50"/>
      <c r="P185" s="34"/>
      <c r="Q185" s="34"/>
      <c r="R185" s="50"/>
      <c r="S185" s="51"/>
      <c r="T185" s="51"/>
      <c r="U185" s="52" t="str">
        <f aca="false">IF(OR(A185="",Q185=""),"",IF(AND(ISNUMBER(S185),S185&lt;AsOf,O185&lt;&gt;"Reviewed"),"Overdue",""))</f>
        <v/>
      </c>
      <c r="V185" s="54" t="str">
        <f aca="false">IF(A185="","",IF(COUNTIF(QA_ID,A185)&gt;1,"CHECK: duplicate ID",IF(B185="","CHECK: Supplier ID missing",IF(COUNTIF(INV_ID,B185)=0,"CHECK: Supplier ID not in inventory",IF(E185="","CHECK: Question ID missing",IF(COUNTIF(QB_ID,E185)=0,"CHECK: Question ID not in bank","OK"))))))</f>
        <v/>
      </c>
    </row>
    <row r="186" customFormat="false" ht="15" hidden="false" customHeight="false" outlineLevel="0" collapsed="false">
      <c r="A186" s="50"/>
      <c r="B186" s="50"/>
      <c r="C186" s="59" t="str">
        <f aca="false">IF(B186="","",IFERROR(INDEX(INV_NAME,MATCH(B186,INV_ID,0)),"CHECK: Supplier ID not found"))</f>
        <v/>
      </c>
      <c r="D186" s="63" t="str">
        <f aca="false">IF(B186="","",IFERROR(INDEX(INV_TIER,MATCH(B186,INV_ID,0)),""))</f>
        <v/>
      </c>
      <c r="E186" s="50"/>
      <c r="F186" s="59" t="str">
        <f aca="false">IF(E186="","",IFERROR(INDEX(QB_Q,MATCH(E186,QB_ID,0)),"CHECK: Question ID not found"))</f>
        <v/>
      </c>
      <c r="G186" s="59" t="str">
        <f aca="false">IF(E186="","",IFERROR(INDEX(QB_DOMAIN,MATCH(E186,QB_ID,0)),""))</f>
        <v/>
      </c>
      <c r="H186" s="54" t="str">
        <f aca="false">IF(OR(A186="",E186=""),"",IFERROR(IF(ISNUMBER(MATCH(D186,{"Low","Medium","High"},0)),IF(MATCH(D186,{"Low","Medium","High"},0)&gt;=MATCH(INDEX(QB_MINTIER,MATCH(E186,QB_ID,0)),{"Low","Medium","High"},0),"Recommended for tier","Optional for tier"),"Tier not determined"),"Check question"))</f>
        <v/>
      </c>
      <c r="I186" s="34"/>
      <c r="J186" s="50"/>
      <c r="K186" s="34"/>
      <c r="L186" s="34"/>
      <c r="M186" s="62" t="str">
        <f aca="false">IF(L186="","",SUMPRODUCT(ISNUMBER(SEARCH(","&amp;EV_ID&amp;",",","&amp;SUBSTITUTE(L186," ","")&amp;","))*(EV_ID&lt;&gt;"")))</f>
        <v/>
      </c>
      <c r="N186" s="54" t="str">
        <f aca="false">IF(A186="","",IF(I186&lt;&gt;"Applicable",IF(I186="","Applicability not set","Not in scope ("&amp;I186&amp;")"),IF(OR(J186="",J186="Not answered"),"Awaiting supplier response",IF(J186="Not applicable","Supplier states not applicable - analyst to confirm",IF(L186="","Evidence insufficient - none referenced",IF(M186=0,"Evidence insufficient - referenced ID not found",IF(SUMPRODUCT(ISNUMBER(SEARCH(","&amp;EV_ID&amp;",",","&amp;SUBSTITUTE(L186," ","")&amp;","))*(EV_ID&lt;&gt;"")*(EV_SUFF="Sufficient"))&gt;0,"Evidence reviewed - sufficient",IF(SUMPRODUCT(ISNUMBER(SEARCH(","&amp;EV_ID&amp;",",","&amp;SUBSTITUTE(L186," ","")&amp;","))*(EV_ID&lt;&gt;"")*(EV_SUFF="Partially sufficient"))&gt;0,"Evidence partially sufficient","Evidence insufficient - referenced evidence not sufficient"))))))))</f>
        <v/>
      </c>
      <c r="O186" s="50"/>
      <c r="P186" s="34"/>
      <c r="Q186" s="34"/>
      <c r="R186" s="50"/>
      <c r="S186" s="51"/>
      <c r="T186" s="51"/>
      <c r="U186" s="52" t="str">
        <f aca="false">IF(OR(A186="",Q186=""),"",IF(AND(ISNUMBER(S186),S186&lt;AsOf,O186&lt;&gt;"Reviewed"),"Overdue",""))</f>
        <v/>
      </c>
      <c r="V186" s="54" t="str">
        <f aca="false">IF(A186="","",IF(COUNTIF(QA_ID,A186)&gt;1,"CHECK: duplicate ID",IF(B186="","CHECK: Supplier ID missing",IF(COUNTIF(INV_ID,B186)=0,"CHECK: Supplier ID not in inventory",IF(E186="","CHECK: Question ID missing",IF(COUNTIF(QB_ID,E186)=0,"CHECK: Question ID not in bank","OK"))))))</f>
        <v/>
      </c>
    </row>
    <row r="187" customFormat="false" ht="15" hidden="false" customHeight="false" outlineLevel="0" collapsed="false">
      <c r="A187" s="50"/>
      <c r="B187" s="50"/>
      <c r="C187" s="59" t="str">
        <f aca="false">IF(B187="","",IFERROR(INDEX(INV_NAME,MATCH(B187,INV_ID,0)),"CHECK: Supplier ID not found"))</f>
        <v/>
      </c>
      <c r="D187" s="63" t="str">
        <f aca="false">IF(B187="","",IFERROR(INDEX(INV_TIER,MATCH(B187,INV_ID,0)),""))</f>
        <v/>
      </c>
      <c r="E187" s="50"/>
      <c r="F187" s="59" t="str">
        <f aca="false">IF(E187="","",IFERROR(INDEX(QB_Q,MATCH(E187,QB_ID,0)),"CHECK: Question ID not found"))</f>
        <v/>
      </c>
      <c r="G187" s="59" t="str">
        <f aca="false">IF(E187="","",IFERROR(INDEX(QB_DOMAIN,MATCH(E187,QB_ID,0)),""))</f>
        <v/>
      </c>
      <c r="H187" s="54" t="str">
        <f aca="false">IF(OR(A187="",E187=""),"",IFERROR(IF(ISNUMBER(MATCH(D187,{"Low","Medium","High"},0)),IF(MATCH(D187,{"Low","Medium","High"},0)&gt;=MATCH(INDEX(QB_MINTIER,MATCH(E187,QB_ID,0)),{"Low","Medium","High"},0),"Recommended for tier","Optional for tier"),"Tier not determined"),"Check question"))</f>
        <v/>
      </c>
      <c r="I187" s="34"/>
      <c r="J187" s="50"/>
      <c r="K187" s="34"/>
      <c r="L187" s="34"/>
      <c r="M187" s="62" t="str">
        <f aca="false">IF(L187="","",SUMPRODUCT(ISNUMBER(SEARCH(","&amp;EV_ID&amp;",",","&amp;SUBSTITUTE(L187," ","")&amp;","))*(EV_ID&lt;&gt;"")))</f>
        <v/>
      </c>
      <c r="N187" s="54" t="str">
        <f aca="false">IF(A187="","",IF(I187&lt;&gt;"Applicable",IF(I187="","Applicability not set","Not in scope ("&amp;I187&amp;")"),IF(OR(J187="",J187="Not answered"),"Awaiting supplier response",IF(J187="Not applicable","Supplier states not applicable - analyst to confirm",IF(L187="","Evidence insufficient - none referenced",IF(M187=0,"Evidence insufficient - referenced ID not found",IF(SUMPRODUCT(ISNUMBER(SEARCH(","&amp;EV_ID&amp;",",","&amp;SUBSTITUTE(L187," ","")&amp;","))*(EV_ID&lt;&gt;"")*(EV_SUFF="Sufficient"))&gt;0,"Evidence reviewed - sufficient",IF(SUMPRODUCT(ISNUMBER(SEARCH(","&amp;EV_ID&amp;",",","&amp;SUBSTITUTE(L187," ","")&amp;","))*(EV_ID&lt;&gt;"")*(EV_SUFF="Partially sufficient"))&gt;0,"Evidence partially sufficient","Evidence insufficient - referenced evidence not sufficient"))))))))</f>
        <v/>
      </c>
      <c r="O187" s="50"/>
      <c r="P187" s="34"/>
      <c r="Q187" s="34"/>
      <c r="R187" s="50"/>
      <c r="S187" s="51"/>
      <c r="T187" s="51"/>
      <c r="U187" s="52" t="str">
        <f aca="false">IF(OR(A187="",Q187=""),"",IF(AND(ISNUMBER(S187),S187&lt;AsOf,O187&lt;&gt;"Reviewed"),"Overdue",""))</f>
        <v/>
      </c>
      <c r="V187" s="54" t="str">
        <f aca="false">IF(A187="","",IF(COUNTIF(QA_ID,A187)&gt;1,"CHECK: duplicate ID",IF(B187="","CHECK: Supplier ID missing",IF(COUNTIF(INV_ID,B187)=0,"CHECK: Supplier ID not in inventory",IF(E187="","CHECK: Question ID missing",IF(COUNTIF(QB_ID,E187)=0,"CHECK: Question ID not in bank","OK"))))))</f>
        <v/>
      </c>
    </row>
    <row r="188" customFormat="false" ht="15" hidden="false" customHeight="false" outlineLevel="0" collapsed="false">
      <c r="A188" s="50"/>
      <c r="B188" s="50"/>
      <c r="C188" s="59" t="str">
        <f aca="false">IF(B188="","",IFERROR(INDEX(INV_NAME,MATCH(B188,INV_ID,0)),"CHECK: Supplier ID not found"))</f>
        <v/>
      </c>
      <c r="D188" s="63" t="str">
        <f aca="false">IF(B188="","",IFERROR(INDEX(INV_TIER,MATCH(B188,INV_ID,0)),""))</f>
        <v/>
      </c>
      <c r="E188" s="50"/>
      <c r="F188" s="59" t="str">
        <f aca="false">IF(E188="","",IFERROR(INDEX(QB_Q,MATCH(E188,QB_ID,0)),"CHECK: Question ID not found"))</f>
        <v/>
      </c>
      <c r="G188" s="59" t="str">
        <f aca="false">IF(E188="","",IFERROR(INDEX(QB_DOMAIN,MATCH(E188,QB_ID,0)),""))</f>
        <v/>
      </c>
      <c r="H188" s="54" t="str">
        <f aca="false">IF(OR(A188="",E188=""),"",IFERROR(IF(ISNUMBER(MATCH(D188,{"Low","Medium","High"},0)),IF(MATCH(D188,{"Low","Medium","High"},0)&gt;=MATCH(INDEX(QB_MINTIER,MATCH(E188,QB_ID,0)),{"Low","Medium","High"},0),"Recommended for tier","Optional for tier"),"Tier not determined"),"Check question"))</f>
        <v/>
      </c>
      <c r="I188" s="34"/>
      <c r="J188" s="50"/>
      <c r="K188" s="34"/>
      <c r="L188" s="34"/>
      <c r="M188" s="62" t="str">
        <f aca="false">IF(L188="","",SUMPRODUCT(ISNUMBER(SEARCH(","&amp;EV_ID&amp;",",","&amp;SUBSTITUTE(L188," ","")&amp;","))*(EV_ID&lt;&gt;"")))</f>
        <v/>
      </c>
      <c r="N188" s="54" t="str">
        <f aca="false">IF(A188="","",IF(I188&lt;&gt;"Applicable",IF(I188="","Applicability not set","Not in scope ("&amp;I188&amp;")"),IF(OR(J188="",J188="Not answered"),"Awaiting supplier response",IF(J188="Not applicable","Supplier states not applicable - analyst to confirm",IF(L188="","Evidence insufficient - none referenced",IF(M188=0,"Evidence insufficient - referenced ID not found",IF(SUMPRODUCT(ISNUMBER(SEARCH(","&amp;EV_ID&amp;",",","&amp;SUBSTITUTE(L188," ","")&amp;","))*(EV_ID&lt;&gt;"")*(EV_SUFF="Sufficient"))&gt;0,"Evidence reviewed - sufficient",IF(SUMPRODUCT(ISNUMBER(SEARCH(","&amp;EV_ID&amp;",",","&amp;SUBSTITUTE(L188," ","")&amp;","))*(EV_ID&lt;&gt;"")*(EV_SUFF="Partially sufficient"))&gt;0,"Evidence partially sufficient","Evidence insufficient - referenced evidence not sufficient"))))))))</f>
        <v/>
      </c>
      <c r="O188" s="50"/>
      <c r="P188" s="34"/>
      <c r="Q188" s="34"/>
      <c r="R188" s="50"/>
      <c r="S188" s="51"/>
      <c r="T188" s="51"/>
      <c r="U188" s="52" t="str">
        <f aca="false">IF(OR(A188="",Q188=""),"",IF(AND(ISNUMBER(S188),S188&lt;AsOf,O188&lt;&gt;"Reviewed"),"Overdue",""))</f>
        <v/>
      </c>
      <c r="V188" s="54" t="str">
        <f aca="false">IF(A188="","",IF(COUNTIF(QA_ID,A188)&gt;1,"CHECK: duplicate ID",IF(B188="","CHECK: Supplier ID missing",IF(COUNTIF(INV_ID,B188)=0,"CHECK: Supplier ID not in inventory",IF(E188="","CHECK: Question ID missing",IF(COUNTIF(QB_ID,E188)=0,"CHECK: Question ID not in bank","OK"))))))</f>
        <v/>
      </c>
    </row>
    <row r="189" customFormat="false" ht="15" hidden="false" customHeight="false" outlineLevel="0" collapsed="false">
      <c r="A189" s="50"/>
      <c r="B189" s="50"/>
      <c r="C189" s="59" t="str">
        <f aca="false">IF(B189="","",IFERROR(INDEX(INV_NAME,MATCH(B189,INV_ID,0)),"CHECK: Supplier ID not found"))</f>
        <v/>
      </c>
      <c r="D189" s="63" t="str">
        <f aca="false">IF(B189="","",IFERROR(INDEX(INV_TIER,MATCH(B189,INV_ID,0)),""))</f>
        <v/>
      </c>
      <c r="E189" s="50"/>
      <c r="F189" s="59" t="str">
        <f aca="false">IF(E189="","",IFERROR(INDEX(QB_Q,MATCH(E189,QB_ID,0)),"CHECK: Question ID not found"))</f>
        <v/>
      </c>
      <c r="G189" s="59" t="str">
        <f aca="false">IF(E189="","",IFERROR(INDEX(QB_DOMAIN,MATCH(E189,QB_ID,0)),""))</f>
        <v/>
      </c>
      <c r="H189" s="54" t="str">
        <f aca="false">IF(OR(A189="",E189=""),"",IFERROR(IF(ISNUMBER(MATCH(D189,{"Low","Medium","High"},0)),IF(MATCH(D189,{"Low","Medium","High"},0)&gt;=MATCH(INDEX(QB_MINTIER,MATCH(E189,QB_ID,0)),{"Low","Medium","High"},0),"Recommended for tier","Optional for tier"),"Tier not determined"),"Check question"))</f>
        <v/>
      </c>
      <c r="I189" s="34"/>
      <c r="J189" s="50"/>
      <c r="K189" s="34"/>
      <c r="L189" s="34"/>
      <c r="M189" s="62" t="str">
        <f aca="false">IF(L189="","",SUMPRODUCT(ISNUMBER(SEARCH(","&amp;EV_ID&amp;",",","&amp;SUBSTITUTE(L189," ","")&amp;","))*(EV_ID&lt;&gt;"")))</f>
        <v/>
      </c>
      <c r="N189" s="54" t="str">
        <f aca="false">IF(A189="","",IF(I189&lt;&gt;"Applicable",IF(I189="","Applicability not set","Not in scope ("&amp;I189&amp;")"),IF(OR(J189="",J189="Not answered"),"Awaiting supplier response",IF(J189="Not applicable","Supplier states not applicable - analyst to confirm",IF(L189="","Evidence insufficient - none referenced",IF(M189=0,"Evidence insufficient - referenced ID not found",IF(SUMPRODUCT(ISNUMBER(SEARCH(","&amp;EV_ID&amp;",",","&amp;SUBSTITUTE(L189," ","")&amp;","))*(EV_ID&lt;&gt;"")*(EV_SUFF="Sufficient"))&gt;0,"Evidence reviewed - sufficient",IF(SUMPRODUCT(ISNUMBER(SEARCH(","&amp;EV_ID&amp;",",","&amp;SUBSTITUTE(L189," ","")&amp;","))*(EV_ID&lt;&gt;"")*(EV_SUFF="Partially sufficient"))&gt;0,"Evidence partially sufficient","Evidence insufficient - referenced evidence not sufficient"))))))))</f>
        <v/>
      </c>
      <c r="O189" s="50"/>
      <c r="P189" s="34"/>
      <c r="Q189" s="34"/>
      <c r="R189" s="50"/>
      <c r="S189" s="51"/>
      <c r="T189" s="51"/>
      <c r="U189" s="52" t="str">
        <f aca="false">IF(OR(A189="",Q189=""),"",IF(AND(ISNUMBER(S189),S189&lt;AsOf,O189&lt;&gt;"Reviewed"),"Overdue",""))</f>
        <v/>
      </c>
      <c r="V189" s="54" t="str">
        <f aca="false">IF(A189="","",IF(COUNTIF(QA_ID,A189)&gt;1,"CHECK: duplicate ID",IF(B189="","CHECK: Supplier ID missing",IF(COUNTIF(INV_ID,B189)=0,"CHECK: Supplier ID not in inventory",IF(E189="","CHECK: Question ID missing",IF(COUNTIF(QB_ID,E189)=0,"CHECK: Question ID not in bank","OK"))))))</f>
        <v/>
      </c>
    </row>
    <row r="190" customFormat="false" ht="15" hidden="false" customHeight="false" outlineLevel="0" collapsed="false">
      <c r="A190" s="50"/>
      <c r="B190" s="50"/>
      <c r="C190" s="59" t="str">
        <f aca="false">IF(B190="","",IFERROR(INDEX(INV_NAME,MATCH(B190,INV_ID,0)),"CHECK: Supplier ID not found"))</f>
        <v/>
      </c>
      <c r="D190" s="63" t="str">
        <f aca="false">IF(B190="","",IFERROR(INDEX(INV_TIER,MATCH(B190,INV_ID,0)),""))</f>
        <v/>
      </c>
      <c r="E190" s="50"/>
      <c r="F190" s="59" t="str">
        <f aca="false">IF(E190="","",IFERROR(INDEX(QB_Q,MATCH(E190,QB_ID,0)),"CHECK: Question ID not found"))</f>
        <v/>
      </c>
      <c r="G190" s="59" t="str">
        <f aca="false">IF(E190="","",IFERROR(INDEX(QB_DOMAIN,MATCH(E190,QB_ID,0)),""))</f>
        <v/>
      </c>
      <c r="H190" s="54" t="str">
        <f aca="false">IF(OR(A190="",E190=""),"",IFERROR(IF(ISNUMBER(MATCH(D190,{"Low","Medium","High"},0)),IF(MATCH(D190,{"Low","Medium","High"},0)&gt;=MATCH(INDEX(QB_MINTIER,MATCH(E190,QB_ID,0)),{"Low","Medium","High"},0),"Recommended for tier","Optional for tier"),"Tier not determined"),"Check question"))</f>
        <v/>
      </c>
      <c r="I190" s="34"/>
      <c r="J190" s="50"/>
      <c r="K190" s="34"/>
      <c r="L190" s="34"/>
      <c r="M190" s="62" t="str">
        <f aca="false">IF(L190="","",SUMPRODUCT(ISNUMBER(SEARCH(","&amp;EV_ID&amp;",",","&amp;SUBSTITUTE(L190," ","")&amp;","))*(EV_ID&lt;&gt;"")))</f>
        <v/>
      </c>
      <c r="N190" s="54" t="str">
        <f aca="false">IF(A190="","",IF(I190&lt;&gt;"Applicable",IF(I190="","Applicability not set","Not in scope ("&amp;I190&amp;")"),IF(OR(J190="",J190="Not answered"),"Awaiting supplier response",IF(J190="Not applicable","Supplier states not applicable - analyst to confirm",IF(L190="","Evidence insufficient - none referenced",IF(M190=0,"Evidence insufficient - referenced ID not found",IF(SUMPRODUCT(ISNUMBER(SEARCH(","&amp;EV_ID&amp;",",","&amp;SUBSTITUTE(L190," ","")&amp;","))*(EV_ID&lt;&gt;"")*(EV_SUFF="Sufficient"))&gt;0,"Evidence reviewed - sufficient",IF(SUMPRODUCT(ISNUMBER(SEARCH(","&amp;EV_ID&amp;",",","&amp;SUBSTITUTE(L190," ","")&amp;","))*(EV_ID&lt;&gt;"")*(EV_SUFF="Partially sufficient"))&gt;0,"Evidence partially sufficient","Evidence insufficient - referenced evidence not sufficient"))))))))</f>
        <v/>
      </c>
      <c r="O190" s="50"/>
      <c r="P190" s="34"/>
      <c r="Q190" s="34"/>
      <c r="R190" s="50"/>
      <c r="S190" s="51"/>
      <c r="T190" s="51"/>
      <c r="U190" s="52" t="str">
        <f aca="false">IF(OR(A190="",Q190=""),"",IF(AND(ISNUMBER(S190),S190&lt;AsOf,O190&lt;&gt;"Reviewed"),"Overdue",""))</f>
        <v/>
      </c>
      <c r="V190" s="54" t="str">
        <f aca="false">IF(A190="","",IF(COUNTIF(QA_ID,A190)&gt;1,"CHECK: duplicate ID",IF(B190="","CHECK: Supplier ID missing",IF(COUNTIF(INV_ID,B190)=0,"CHECK: Supplier ID not in inventory",IF(E190="","CHECK: Question ID missing",IF(COUNTIF(QB_ID,E190)=0,"CHECK: Question ID not in bank","OK"))))))</f>
        <v/>
      </c>
    </row>
    <row r="191" customFormat="false" ht="15" hidden="false" customHeight="false" outlineLevel="0" collapsed="false">
      <c r="A191" s="50"/>
      <c r="B191" s="50"/>
      <c r="C191" s="59" t="str">
        <f aca="false">IF(B191="","",IFERROR(INDEX(INV_NAME,MATCH(B191,INV_ID,0)),"CHECK: Supplier ID not found"))</f>
        <v/>
      </c>
      <c r="D191" s="63" t="str">
        <f aca="false">IF(B191="","",IFERROR(INDEX(INV_TIER,MATCH(B191,INV_ID,0)),""))</f>
        <v/>
      </c>
      <c r="E191" s="50"/>
      <c r="F191" s="59" t="str">
        <f aca="false">IF(E191="","",IFERROR(INDEX(QB_Q,MATCH(E191,QB_ID,0)),"CHECK: Question ID not found"))</f>
        <v/>
      </c>
      <c r="G191" s="59" t="str">
        <f aca="false">IF(E191="","",IFERROR(INDEX(QB_DOMAIN,MATCH(E191,QB_ID,0)),""))</f>
        <v/>
      </c>
      <c r="H191" s="54" t="str">
        <f aca="false">IF(OR(A191="",E191=""),"",IFERROR(IF(ISNUMBER(MATCH(D191,{"Low","Medium","High"},0)),IF(MATCH(D191,{"Low","Medium","High"},0)&gt;=MATCH(INDEX(QB_MINTIER,MATCH(E191,QB_ID,0)),{"Low","Medium","High"},0),"Recommended for tier","Optional for tier"),"Tier not determined"),"Check question"))</f>
        <v/>
      </c>
      <c r="I191" s="34"/>
      <c r="J191" s="50"/>
      <c r="K191" s="34"/>
      <c r="L191" s="34"/>
      <c r="M191" s="62" t="str">
        <f aca="false">IF(L191="","",SUMPRODUCT(ISNUMBER(SEARCH(","&amp;EV_ID&amp;",",","&amp;SUBSTITUTE(L191," ","")&amp;","))*(EV_ID&lt;&gt;"")))</f>
        <v/>
      </c>
      <c r="N191" s="54" t="str">
        <f aca="false">IF(A191="","",IF(I191&lt;&gt;"Applicable",IF(I191="","Applicability not set","Not in scope ("&amp;I191&amp;")"),IF(OR(J191="",J191="Not answered"),"Awaiting supplier response",IF(J191="Not applicable","Supplier states not applicable - analyst to confirm",IF(L191="","Evidence insufficient - none referenced",IF(M191=0,"Evidence insufficient - referenced ID not found",IF(SUMPRODUCT(ISNUMBER(SEARCH(","&amp;EV_ID&amp;",",","&amp;SUBSTITUTE(L191," ","")&amp;","))*(EV_ID&lt;&gt;"")*(EV_SUFF="Sufficient"))&gt;0,"Evidence reviewed - sufficient",IF(SUMPRODUCT(ISNUMBER(SEARCH(","&amp;EV_ID&amp;",",","&amp;SUBSTITUTE(L191," ","")&amp;","))*(EV_ID&lt;&gt;"")*(EV_SUFF="Partially sufficient"))&gt;0,"Evidence partially sufficient","Evidence insufficient - referenced evidence not sufficient"))))))))</f>
        <v/>
      </c>
      <c r="O191" s="50"/>
      <c r="P191" s="34"/>
      <c r="Q191" s="34"/>
      <c r="R191" s="50"/>
      <c r="S191" s="51"/>
      <c r="T191" s="51"/>
      <c r="U191" s="52" t="str">
        <f aca="false">IF(OR(A191="",Q191=""),"",IF(AND(ISNUMBER(S191),S191&lt;AsOf,O191&lt;&gt;"Reviewed"),"Overdue",""))</f>
        <v/>
      </c>
      <c r="V191" s="54" t="str">
        <f aca="false">IF(A191="","",IF(COUNTIF(QA_ID,A191)&gt;1,"CHECK: duplicate ID",IF(B191="","CHECK: Supplier ID missing",IF(COUNTIF(INV_ID,B191)=0,"CHECK: Supplier ID not in inventory",IF(E191="","CHECK: Question ID missing",IF(COUNTIF(QB_ID,E191)=0,"CHECK: Question ID not in bank","OK"))))))</f>
        <v/>
      </c>
    </row>
    <row r="192" customFormat="false" ht="15" hidden="false" customHeight="false" outlineLevel="0" collapsed="false">
      <c r="A192" s="50"/>
      <c r="B192" s="50"/>
      <c r="C192" s="59" t="str">
        <f aca="false">IF(B192="","",IFERROR(INDEX(INV_NAME,MATCH(B192,INV_ID,0)),"CHECK: Supplier ID not found"))</f>
        <v/>
      </c>
      <c r="D192" s="63" t="str">
        <f aca="false">IF(B192="","",IFERROR(INDEX(INV_TIER,MATCH(B192,INV_ID,0)),""))</f>
        <v/>
      </c>
      <c r="E192" s="50"/>
      <c r="F192" s="59" t="str">
        <f aca="false">IF(E192="","",IFERROR(INDEX(QB_Q,MATCH(E192,QB_ID,0)),"CHECK: Question ID not found"))</f>
        <v/>
      </c>
      <c r="G192" s="59" t="str">
        <f aca="false">IF(E192="","",IFERROR(INDEX(QB_DOMAIN,MATCH(E192,QB_ID,0)),""))</f>
        <v/>
      </c>
      <c r="H192" s="54" t="str">
        <f aca="false">IF(OR(A192="",E192=""),"",IFERROR(IF(ISNUMBER(MATCH(D192,{"Low","Medium","High"},0)),IF(MATCH(D192,{"Low","Medium","High"},0)&gt;=MATCH(INDEX(QB_MINTIER,MATCH(E192,QB_ID,0)),{"Low","Medium","High"},0),"Recommended for tier","Optional for tier"),"Tier not determined"),"Check question"))</f>
        <v/>
      </c>
      <c r="I192" s="34"/>
      <c r="J192" s="50"/>
      <c r="K192" s="34"/>
      <c r="L192" s="34"/>
      <c r="M192" s="62" t="str">
        <f aca="false">IF(L192="","",SUMPRODUCT(ISNUMBER(SEARCH(","&amp;EV_ID&amp;",",","&amp;SUBSTITUTE(L192," ","")&amp;","))*(EV_ID&lt;&gt;"")))</f>
        <v/>
      </c>
      <c r="N192" s="54" t="str">
        <f aca="false">IF(A192="","",IF(I192&lt;&gt;"Applicable",IF(I192="","Applicability not set","Not in scope ("&amp;I192&amp;")"),IF(OR(J192="",J192="Not answered"),"Awaiting supplier response",IF(J192="Not applicable","Supplier states not applicable - analyst to confirm",IF(L192="","Evidence insufficient - none referenced",IF(M192=0,"Evidence insufficient - referenced ID not found",IF(SUMPRODUCT(ISNUMBER(SEARCH(","&amp;EV_ID&amp;",",","&amp;SUBSTITUTE(L192," ","")&amp;","))*(EV_ID&lt;&gt;"")*(EV_SUFF="Sufficient"))&gt;0,"Evidence reviewed - sufficient",IF(SUMPRODUCT(ISNUMBER(SEARCH(","&amp;EV_ID&amp;",",","&amp;SUBSTITUTE(L192," ","")&amp;","))*(EV_ID&lt;&gt;"")*(EV_SUFF="Partially sufficient"))&gt;0,"Evidence partially sufficient","Evidence insufficient - referenced evidence not sufficient"))))))))</f>
        <v/>
      </c>
      <c r="O192" s="50"/>
      <c r="P192" s="34"/>
      <c r="Q192" s="34"/>
      <c r="R192" s="50"/>
      <c r="S192" s="51"/>
      <c r="T192" s="51"/>
      <c r="U192" s="52" t="str">
        <f aca="false">IF(OR(A192="",Q192=""),"",IF(AND(ISNUMBER(S192),S192&lt;AsOf,O192&lt;&gt;"Reviewed"),"Overdue",""))</f>
        <v/>
      </c>
      <c r="V192" s="54" t="str">
        <f aca="false">IF(A192="","",IF(COUNTIF(QA_ID,A192)&gt;1,"CHECK: duplicate ID",IF(B192="","CHECK: Supplier ID missing",IF(COUNTIF(INV_ID,B192)=0,"CHECK: Supplier ID not in inventory",IF(E192="","CHECK: Question ID missing",IF(COUNTIF(QB_ID,E192)=0,"CHECK: Question ID not in bank","OK"))))))</f>
        <v/>
      </c>
    </row>
    <row r="193" customFormat="false" ht="15" hidden="false" customHeight="false" outlineLevel="0" collapsed="false">
      <c r="A193" s="50"/>
      <c r="B193" s="50"/>
      <c r="C193" s="59" t="str">
        <f aca="false">IF(B193="","",IFERROR(INDEX(INV_NAME,MATCH(B193,INV_ID,0)),"CHECK: Supplier ID not found"))</f>
        <v/>
      </c>
      <c r="D193" s="63" t="str">
        <f aca="false">IF(B193="","",IFERROR(INDEX(INV_TIER,MATCH(B193,INV_ID,0)),""))</f>
        <v/>
      </c>
      <c r="E193" s="50"/>
      <c r="F193" s="59" t="str">
        <f aca="false">IF(E193="","",IFERROR(INDEX(QB_Q,MATCH(E193,QB_ID,0)),"CHECK: Question ID not found"))</f>
        <v/>
      </c>
      <c r="G193" s="59" t="str">
        <f aca="false">IF(E193="","",IFERROR(INDEX(QB_DOMAIN,MATCH(E193,QB_ID,0)),""))</f>
        <v/>
      </c>
      <c r="H193" s="54" t="str">
        <f aca="false">IF(OR(A193="",E193=""),"",IFERROR(IF(ISNUMBER(MATCH(D193,{"Low","Medium","High"},0)),IF(MATCH(D193,{"Low","Medium","High"},0)&gt;=MATCH(INDEX(QB_MINTIER,MATCH(E193,QB_ID,0)),{"Low","Medium","High"},0),"Recommended for tier","Optional for tier"),"Tier not determined"),"Check question"))</f>
        <v/>
      </c>
      <c r="I193" s="34"/>
      <c r="J193" s="50"/>
      <c r="K193" s="34"/>
      <c r="L193" s="34"/>
      <c r="M193" s="62" t="str">
        <f aca="false">IF(L193="","",SUMPRODUCT(ISNUMBER(SEARCH(","&amp;EV_ID&amp;",",","&amp;SUBSTITUTE(L193," ","")&amp;","))*(EV_ID&lt;&gt;"")))</f>
        <v/>
      </c>
      <c r="N193" s="54" t="str">
        <f aca="false">IF(A193="","",IF(I193&lt;&gt;"Applicable",IF(I193="","Applicability not set","Not in scope ("&amp;I193&amp;")"),IF(OR(J193="",J193="Not answered"),"Awaiting supplier response",IF(J193="Not applicable","Supplier states not applicable - analyst to confirm",IF(L193="","Evidence insufficient - none referenced",IF(M193=0,"Evidence insufficient - referenced ID not found",IF(SUMPRODUCT(ISNUMBER(SEARCH(","&amp;EV_ID&amp;",",","&amp;SUBSTITUTE(L193," ","")&amp;","))*(EV_ID&lt;&gt;"")*(EV_SUFF="Sufficient"))&gt;0,"Evidence reviewed - sufficient",IF(SUMPRODUCT(ISNUMBER(SEARCH(","&amp;EV_ID&amp;",",","&amp;SUBSTITUTE(L193," ","")&amp;","))*(EV_ID&lt;&gt;"")*(EV_SUFF="Partially sufficient"))&gt;0,"Evidence partially sufficient","Evidence insufficient - referenced evidence not sufficient"))))))))</f>
        <v/>
      </c>
      <c r="O193" s="50"/>
      <c r="P193" s="34"/>
      <c r="Q193" s="34"/>
      <c r="R193" s="50"/>
      <c r="S193" s="51"/>
      <c r="T193" s="51"/>
      <c r="U193" s="52" t="str">
        <f aca="false">IF(OR(A193="",Q193=""),"",IF(AND(ISNUMBER(S193),S193&lt;AsOf,O193&lt;&gt;"Reviewed"),"Overdue",""))</f>
        <v/>
      </c>
      <c r="V193" s="54" t="str">
        <f aca="false">IF(A193="","",IF(COUNTIF(QA_ID,A193)&gt;1,"CHECK: duplicate ID",IF(B193="","CHECK: Supplier ID missing",IF(COUNTIF(INV_ID,B193)=0,"CHECK: Supplier ID not in inventory",IF(E193="","CHECK: Question ID missing",IF(COUNTIF(QB_ID,E193)=0,"CHECK: Question ID not in bank","OK"))))))</f>
        <v/>
      </c>
    </row>
    <row r="194" customFormat="false" ht="15" hidden="false" customHeight="false" outlineLevel="0" collapsed="false">
      <c r="A194" s="50"/>
      <c r="B194" s="50"/>
      <c r="C194" s="59" t="str">
        <f aca="false">IF(B194="","",IFERROR(INDEX(INV_NAME,MATCH(B194,INV_ID,0)),"CHECK: Supplier ID not found"))</f>
        <v/>
      </c>
      <c r="D194" s="63" t="str">
        <f aca="false">IF(B194="","",IFERROR(INDEX(INV_TIER,MATCH(B194,INV_ID,0)),""))</f>
        <v/>
      </c>
      <c r="E194" s="50"/>
      <c r="F194" s="59" t="str">
        <f aca="false">IF(E194="","",IFERROR(INDEX(QB_Q,MATCH(E194,QB_ID,0)),"CHECK: Question ID not found"))</f>
        <v/>
      </c>
      <c r="G194" s="59" t="str">
        <f aca="false">IF(E194="","",IFERROR(INDEX(QB_DOMAIN,MATCH(E194,QB_ID,0)),""))</f>
        <v/>
      </c>
      <c r="H194" s="54" t="str">
        <f aca="false">IF(OR(A194="",E194=""),"",IFERROR(IF(ISNUMBER(MATCH(D194,{"Low","Medium","High"},0)),IF(MATCH(D194,{"Low","Medium","High"},0)&gt;=MATCH(INDEX(QB_MINTIER,MATCH(E194,QB_ID,0)),{"Low","Medium","High"},0),"Recommended for tier","Optional for tier"),"Tier not determined"),"Check question"))</f>
        <v/>
      </c>
      <c r="I194" s="34"/>
      <c r="J194" s="50"/>
      <c r="K194" s="34"/>
      <c r="L194" s="34"/>
      <c r="M194" s="62" t="str">
        <f aca="false">IF(L194="","",SUMPRODUCT(ISNUMBER(SEARCH(","&amp;EV_ID&amp;",",","&amp;SUBSTITUTE(L194," ","")&amp;","))*(EV_ID&lt;&gt;"")))</f>
        <v/>
      </c>
      <c r="N194" s="54" t="str">
        <f aca="false">IF(A194="","",IF(I194&lt;&gt;"Applicable",IF(I194="","Applicability not set","Not in scope ("&amp;I194&amp;")"),IF(OR(J194="",J194="Not answered"),"Awaiting supplier response",IF(J194="Not applicable","Supplier states not applicable - analyst to confirm",IF(L194="","Evidence insufficient - none referenced",IF(M194=0,"Evidence insufficient - referenced ID not found",IF(SUMPRODUCT(ISNUMBER(SEARCH(","&amp;EV_ID&amp;",",","&amp;SUBSTITUTE(L194," ","")&amp;","))*(EV_ID&lt;&gt;"")*(EV_SUFF="Sufficient"))&gt;0,"Evidence reviewed - sufficient",IF(SUMPRODUCT(ISNUMBER(SEARCH(","&amp;EV_ID&amp;",",","&amp;SUBSTITUTE(L194," ","")&amp;","))*(EV_ID&lt;&gt;"")*(EV_SUFF="Partially sufficient"))&gt;0,"Evidence partially sufficient","Evidence insufficient - referenced evidence not sufficient"))))))))</f>
        <v/>
      </c>
      <c r="O194" s="50"/>
      <c r="P194" s="34"/>
      <c r="Q194" s="34"/>
      <c r="R194" s="50"/>
      <c r="S194" s="51"/>
      <c r="T194" s="51"/>
      <c r="U194" s="52" t="str">
        <f aca="false">IF(OR(A194="",Q194=""),"",IF(AND(ISNUMBER(S194),S194&lt;AsOf,O194&lt;&gt;"Reviewed"),"Overdue",""))</f>
        <v/>
      </c>
      <c r="V194" s="54" t="str">
        <f aca="false">IF(A194="","",IF(COUNTIF(QA_ID,A194)&gt;1,"CHECK: duplicate ID",IF(B194="","CHECK: Supplier ID missing",IF(COUNTIF(INV_ID,B194)=0,"CHECK: Supplier ID not in inventory",IF(E194="","CHECK: Question ID missing",IF(COUNTIF(QB_ID,E194)=0,"CHECK: Question ID not in bank","OK"))))))</f>
        <v/>
      </c>
    </row>
    <row r="195" customFormat="false" ht="15" hidden="false" customHeight="false" outlineLevel="0" collapsed="false">
      <c r="A195" s="50"/>
      <c r="B195" s="50"/>
      <c r="C195" s="59" t="str">
        <f aca="false">IF(B195="","",IFERROR(INDEX(INV_NAME,MATCH(B195,INV_ID,0)),"CHECK: Supplier ID not found"))</f>
        <v/>
      </c>
      <c r="D195" s="63" t="str">
        <f aca="false">IF(B195="","",IFERROR(INDEX(INV_TIER,MATCH(B195,INV_ID,0)),""))</f>
        <v/>
      </c>
      <c r="E195" s="50"/>
      <c r="F195" s="59" t="str">
        <f aca="false">IF(E195="","",IFERROR(INDEX(QB_Q,MATCH(E195,QB_ID,0)),"CHECK: Question ID not found"))</f>
        <v/>
      </c>
      <c r="G195" s="59" t="str">
        <f aca="false">IF(E195="","",IFERROR(INDEX(QB_DOMAIN,MATCH(E195,QB_ID,0)),""))</f>
        <v/>
      </c>
      <c r="H195" s="54" t="str">
        <f aca="false">IF(OR(A195="",E195=""),"",IFERROR(IF(ISNUMBER(MATCH(D195,{"Low","Medium","High"},0)),IF(MATCH(D195,{"Low","Medium","High"},0)&gt;=MATCH(INDEX(QB_MINTIER,MATCH(E195,QB_ID,0)),{"Low","Medium","High"},0),"Recommended for tier","Optional for tier"),"Tier not determined"),"Check question"))</f>
        <v/>
      </c>
      <c r="I195" s="34"/>
      <c r="J195" s="50"/>
      <c r="K195" s="34"/>
      <c r="L195" s="34"/>
      <c r="M195" s="62" t="str">
        <f aca="false">IF(L195="","",SUMPRODUCT(ISNUMBER(SEARCH(","&amp;EV_ID&amp;",",","&amp;SUBSTITUTE(L195," ","")&amp;","))*(EV_ID&lt;&gt;"")))</f>
        <v/>
      </c>
      <c r="N195" s="54" t="str">
        <f aca="false">IF(A195="","",IF(I195&lt;&gt;"Applicable",IF(I195="","Applicability not set","Not in scope ("&amp;I195&amp;")"),IF(OR(J195="",J195="Not answered"),"Awaiting supplier response",IF(J195="Not applicable","Supplier states not applicable - analyst to confirm",IF(L195="","Evidence insufficient - none referenced",IF(M195=0,"Evidence insufficient - referenced ID not found",IF(SUMPRODUCT(ISNUMBER(SEARCH(","&amp;EV_ID&amp;",",","&amp;SUBSTITUTE(L195," ","")&amp;","))*(EV_ID&lt;&gt;"")*(EV_SUFF="Sufficient"))&gt;0,"Evidence reviewed - sufficient",IF(SUMPRODUCT(ISNUMBER(SEARCH(","&amp;EV_ID&amp;",",","&amp;SUBSTITUTE(L195," ","")&amp;","))*(EV_ID&lt;&gt;"")*(EV_SUFF="Partially sufficient"))&gt;0,"Evidence partially sufficient","Evidence insufficient - referenced evidence not sufficient"))))))))</f>
        <v/>
      </c>
      <c r="O195" s="50"/>
      <c r="P195" s="34"/>
      <c r="Q195" s="34"/>
      <c r="R195" s="50"/>
      <c r="S195" s="51"/>
      <c r="T195" s="51"/>
      <c r="U195" s="52" t="str">
        <f aca="false">IF(OR(A195="",Q195=""),"",IF(AND(ISNUMBER(S195),S195&lt;AsOf,O195&lt;&gt;"Reviewed"),"Overdue",""))</f>
        <v/>
      </c>
      <c r="V195" s="54" t="str">
        <f aca="false">IF(A195="","",IF(COUNTIF(QA_ID,A195)&gt;1,"CHECK: duplicate ID",IF(B195="","CHECK: Supplier ID missing",IF(COUNTIF(INV_ID,B195)=0,"CHECK: Supplier ID not in inventory",IF(E195="","CHECK: Question ID missing",IF(COUNTIF(QB_ID,E195)=0,"CHECK: Question ID not in bank","OK"))))))</f>
        <v/>
      </c>
    </row>
    <row r="196" customFormat="false" ht="15" hidden="false" customHeight="false" outlineLevel="0" collapsed="false">
      <c r="A196" s="50"/>
      <c r="B196" s="50"/>
      <c r="C196" s="59" t="str">
        <f aca="false">IF(B196="","",IFERROR(INDEX(INV_NAME,MATCH(B196,INV_ID,0)),"CHECK: Supplier ID not found"))</f>
        <v/>
      </c>
      <c r="D196" s="63" t="str">
        <f aca="false">IF(B196="","",IFERROR(INDEX(INV_TIER,MATCH(B196,INV_ID,0)),""))</f>
        <v/>
      </c>
      <c r="E196" s="50"/>
      <c r="F196" s="59" t="str">
        <f aca="false">IF(E196="","",IFERROR(INDEX(QB_Q,MATCH(E196,QB_ID,0)),"CHECK: Question ID not found"))</f>
        <v/>
      </c>
      <c r="G196" s="59" t="str">
        <f aca="false">IF(E196="","",IFERROR(INDEX(QB_DOMAIN,MATCH(E196,QB_ID,0)),""))</f>
        <v/>
      </c>
      <c r="H196" s="54" t="str">
        <f aca="false">IF(OR(A196="",E196=""),"",IFERROR(IF(ISNUMBER(MATCH(D196,{"Low","Medium","High"},0)),IF(MATCH(D196,{"Low","Medium","High"},0)&gt;=MATCH(INDEX(QB_MINTIER,MATCH(E196,QB_ID,0)),{"Low","Medium","High"},0),"Recommended for tier","Optional for tier"),"Tier not determined"),"Check question"))</f>
        <v/>
      </c>
      <c r="I196" s="34"/>
      <c r="J196" s="50"/>
      <c r="K196" s="34"/>
      <c r="L196" s="34"/>
      <c r="M196" s="62" t="str">
        <f aca="false">IF(L196="","",SUMPRODUCT(ISNUMBER(SEARCH(","&amp;EV_ID&amp;",",","&amp;SUBSTITUTE(L196," ","")&amp;","))*(EV_ID&lt;&gt;"")))</f>
        <v/>
      </c>
      <c r="N196" s="54" t="str">
        <f aca="false">IF(A196="","",IF(I196&lt;&gt;"Applicable",IF(I196="","Applicability not set","Not in scope ("&amp;I196&amp;")"),IF(OR(J196="",J196="Not answered"),"Awaiting supplier response",IF(J196="Not applicable","Supplier states not applicable - analyst to confirm",IF(L196="","Evidence insufficient - none referenced",IF(M196=0,"Evidence insufficient - referenced ID not found",IF(SUMPRODUCT(ISNUMBER(SEARCH(","&amp;EV_ID&amp;",",","&amp;SUBSTITUTE(L196," ","")&amp;","))*(EV_ID&lt;&gt;"")*(EV_SUFF="Sufficient"))&gt;0,"Evidence reviewed - sufficient",IF(SUMPRODUCT(ISNUMBER(SEARCH(","&amp;EV_ID&amp;",",","&amp;SUBSTITUTE(L196," ","")&amp;","))*(EV_ID&lt;&gt;"")*(EV_SUFF="Partially sufficient"))&gt;0,"Evidence partially sufficient","Evidence insufficient - referenced evidence not sufficient"))))))))</f>
        <v/>
      </c>
      <c r="O196" s="50"/>
      <c r="P196" s="34"/>
      <c r="Q196" s="34"/>
      <c r="R196" s="50"/>
      <c r="S196" s="51"/>
      <c r="T196" s="51"/>
      <c r="U196" s="52" t="str">
        <f aca="false">IF(OR(A196="",Q196=""),"",IF(AND(ISNUMBER(S196),S196&lt;AsOf,O196&lt;&gt;"Reviewed"),"Overdue",""))</f>
        <v/>
      </c>
      <c r="V196" s="54" t="str">
        <f aca="false">IF(A196="","",IF(COUNTIF(QA_ID,A196)&gt;1,"CHECK: duplicate ID",IF(B196="","CHECK: Supplier ID missing",IF(COUNTIF(INV_ID,B196)=0,"CHECK: Supplier ID not in inventory",IF(E196="","CHECK: Question ID missing",IF(COUNTIF(QB_ID,E196)=0,"CHECK: Question ID not in bank","OK"))))))</f>
        <v/>
      </c>
    </row>
    <row r="197" customFormat="false" ht="15" hidden="false" customHeight="false" outlineLevel="0" collapsed="false">
      <c r="A197" s="50"/>
      <c r="B197" s="50"/>
      <c r="C197" s="59" t="str">
        <f aca="false">IF(B197="","",IFERROR(INDEX(INV_NAME,MATCH(B197,INV_ID,0)),"CHECK: Supplier ID not found"))</f>
        <v/>
      </c>
      <c r="D197" s="63" t="str">
        <f aca="false">IF(B197="","",IFERROR(INDEX(INV_TIER,MATCH(B197,INV_ID,0)),""))</f>
        <v/>
      </c>
      <c r="E197" s="50"/>
      <c r="F197" s="59" t="str">
        <f aca="false">IF(E197="","",IFERROR(INDEX(QB_Q,MATCH(E197,QB_ID,0)),"CHECK: Question ID not found"))</f>
        <v/>
      </c>
      <c r="G197" s="59" t="str">
        <f aca="false">IF(E197="","",IFERROR(INDEX(QB_DOMAIN,MATCH(E197,QB_ID,0)),""))</f>
        <v/>
      </c>
      <c r="H197" s="54" t="str">
        <f aca="false">IF(OR(A197="",E197=""),"",IFERROR(IF(ISNUMBER(MATCH(D197,{"Low","Medium","High"},0)),IF(MATCH(D197,{"Low","Medium","High"},0)&gt;=MATCH(INDEX(QB_MINTIER,MATCH(E197,QB_ID,0)),{"Low","Medium","High"},0),"Recommended for tier","Optional for tier"),"Tier not determined"),"Check question"))</f>
        <v/>
      </c>
      <c r="I197" s="34"/>
      <c r="J197" s="50"/>
      <c r="K197" s="34"/>
      <c r="L197" s="34"/>
      <c r="M197" s="62" t="str">
        <f aca="false">IF(L197="","",SUMPRODUCT(ISNUMBER(SEARCH(","&amp;EV_ID&amp;",",","&amp;SUBSTITUTE(L197," ","")&amp;","))*(EV_ID&lt;&gt;"")))</f>
        <v/>
      </c>
      <c r="N197" s="54" t="str">
        <f aca="false">IF(A197="","",IF(I197&lt;&gt;"Applicable",IF(I197="","Applicability not set","Not in scope ("&amp;I197&amp;")"),IF(OR(J197="",J197="Not answered"),"Awaiting supplier response",IF(J197="Not applicable","Supplier states not applicable - analyst to confirm",IF(L197="","Evidence insufficient - none referenced",IF(M197=0,"Evidence insufficient - referenced ID not found",IF(SUMPRODUCT(ISNUMBER(SEARCH(","&amp;EV_ID&amp;",",","&amp;SUBSTITUTE(L197," ","")&amp;","))*(EV_ID&lt;&gt;"")*(EV_SUFF="Sufficient"))&gt;0,"Evidence reviewed - sufficient",IF(SUMPRODUCT(ISNUMBER(SEARCH(","&amp;EV_ID&amp;",",","&amp;SUBSTITUTE(L197," ","")&amp;","))*(EV_ID&lt;&gt;"")*(EV_SUFF="Partially sufficient"))&gt;0,"Evidence partially sufficient","Evidence insufficient - referenced evidence not sufficient"))))))))</f>
        <v/>
      </c>
      <c r="O197" s="50"/>
      <c r="P197" s="34"/>
      <c r="Q197" s="34"/>
      <c r="R197" s="50"/>
      <c r="S197" s="51"/>
      <c r="T197" s="51"/>
      <c r="U197" s="52" t="str">
        <f aca="false">IF(OR(A197="",Q197=""),"",IF(AND(ISNUMBER(S197),S197&lt;AsOf,O197&lt;&gt;"Reviewed"),"Overdue",""))</f>
        <v/>
      </c>
      <c r="V197" s="54" t="str">
        <f aca="false">IF(A197="","",IF(COUNTIF(QA_ID,A197)&gt;1,"CHECK: duplicate ID",IF(B197="","CHECK: Supplier ID missing",IF(COUNTIF(INV_ID,B197)=0,"CHECK: Supplier ID not in inventory",IF(E197="","CHECK: Question ID missing",IF(COUNTIF(QB_ID,E197)=0,"CHECK: Question ID not in bank","OK"))))))</f>
        <v/>
      </c>
    </row>
    <row r="198" customFormat="false" ht="15" hidden="false" customHeight="false" outlineLevel="0" collapsed="false">
      <c r="A198" s="50"/>
      <c r="B198" s="50"/>
      <c r="C198" s="59" t="str">
        <f aca="false">IF(B198="","",IFERROR(INDEX(INV_NAME,MATCH(B198,INV_ID,0)),"CHECK: Supplier ID not found"))</f>
        <v/>
      </c>
      <c r="D198" s="63" t="str">
        <f aca="false">IF(B198="","",IFERROR(INDEX(INV_TIER,MATCH(B198,INV_ID,0)),""))</f>
        <v/>
      </c>
      <c r="E198" s="50"/>
      <c r="F198" s="59" t="str">
        <f aca="false">IF(E198="","",IFERROR(INDEX(QB_Q,MATCH(E198,QB_ID,0)),"CHECK: Question ID not found"))</f>
        <v/>
      </c>
      <c r="G198" s="59" t="str">
        <f aca="false">IF(E198="","",IFERROR(INDEX(QB_DOMAIN,MATCH(E198,QB_ID,0)),""))</f>
        <v/>
      </c>
      <c r="H198" s="54" t="str">
        <f aca="false">IF(OR(A198="",E198=""),"",IFERROR(IF(ISNUMBER(MATCH(D198,{"Low","Medium","High"},0)),IF(MATCH(D198,{"Low","Medium","High"},0)&gt;=MATCH(INDEX(QB_MINTIER,MATCH(E198,QB_ID,0)),{"Low","Medium","High"},0),"Recommended for tier","Optional for tier"),"Tier not determined"),"Check question"))</f>
        <v/>
      </c>
      <c r="I198" s="34"/>
      <c r="J198" s="50"/>
      <c r="K198" s="34"/>
      <c r="L198" s="34"/>
      <c r="M198" s="62" t="str">
        <f aca="false">IF(L198="","",SUMPRODUCT(ISNUMBER(SEARCH(","&amp;EV_ID&amp;",",","&amp;SUBSTITUTE(L198," ","")&amp;","))*(EV_ID&lt;&gt;"")))</f>
        <v/>
      </c>
      <c r="N198" s="54" t="str">
        <f aca="false">IF(A198="","",IF(I198&lt;&gt;"Applicable",IF(I198="","Applicability not set","Not in scope ("&amp;I198&amp;")"),IF(OR(J198="",J198="Not answered"),"Awaiting supplier response",IF(J198="Not applicable","Supplier states not applicable - analyst to confirm",IF(L198="","Evidence insufficient - none referenced",IF(M198=0,"Evidence insufficient - referenced ID not found",IF(SUMPRODUCT(ISNUMBER(SEARCH(","&amp;EV_ID&amp;",",","&amp;SUBSTITUTE(L198," ","")&amp;","))*(EV_ID&lt;&gt;"")*(EV_SUFF="Sufficient"))&gt;0,"Evidence reviewed - sufficient",IF(SUMPRODUCT(ISNUMBER(SEARCH(","&amp;EV_ID&amp;",",","&amp;SUBSTITUTE(L198," ","")&amp;","))*(EV_ID&lt;&gt;"")*(EV_SUFF="Partially sufficient"))&gt;0,"Evidence partially sufficient","Evidence insufficient - referenced evidence not sufficient"))))))))</f>
        <v/>
      </c>
      <c r="O198" s="50"/>
      <c r="P198" s="34"/>
      <c r="Q198" s="34"/>
      <c r="R198" s="50"/>
      <c r="S198" s="51"/>
      <c r="T198" s="51"/>
      <c r="U198" s="52" t="str">
        <f aca="false">IF(OR(A198="",Q198=""),"",IF(AND(ISNUMBER(S198),S198&lt;AsOf,O198&lt;&gt;"Reviewed"),"Overdue",""))</f>
        <v/>
      </c>
      <c r="V198" s="54" t="str">
        <f aca="false">IF(A198="","",IF(COUNTIF(QA_ID,A198)&gt;1,"CHECK: duplicate ID",IF(B198="","CHECK: Supplier ID missing",IF(COUNTIF(INV_ID,B198)=0,"CHECK: Supplier ID not in inventory",IF(E198="","CHECK: Question ID missing",IF(COUNTIF(QB_ID,E198)=0,"CHECK: Question ID not in bank","OK"))))))</f>
        <v/>
      </c>
    </row>
    <row r="199" customFormat="false" ht="15" hidden="false" customHeight="false" outlineLevel="0" collapsed="false">
      <c r="A199" s="50"/>
      <c r="B199" s="50"/>
      <c r="C199" s="59" t="str">
        <f aca="false">IF(B199="","",IFERROR(INDEX(INV_NAME,MATCH(B199,INV_ID,0)),"CHECK: Supplier ID not found"))</f>
        <v/>
      </c>
      <c r="D199" s="63" t="str">
        <f aca="false">IF(B199="","",IFERROR(INDEX(INV_TIER,MATCH(B199,INV_ID,0)),""))</f>
        <v/>
      </c>
      <c r="E199" s="50"/>
      <c r="F199" s="59" t="str">
        <f aca="false">IF(E199="","",IFERROR(INDEX(QB_Q,MATCH(E199,QB_ID,0)),"CHECK: Question ID not found"))</f>
        <v/>
      </c>
      <c r="G199" s="59" t="str">
        <f aca="false">IF(E199="","",IFERROR(INDEX(QB_DOMAIN,MATCH(E199,QB_ID,0)),""))</f>
        <v/>
      </c>
      <c r="H199" s="54" t="str">
        <f aca="false">IF(OR(A199="",E199=""),"",IFERROR(IF(ISNUMBER(MATCH(D199,{"Low","Medium","High"},0)),IF(MATCH(D199,{"Low","Medium","High"},0)&gt;=MATCH(INDEX(QB_MINTIER,MATCH(E199,QB_ID,0)),{"Low","Medium","High"},0),"Recommended for tier","Optional for tier"),"Tier not determined"),"Check question"))</f>
        <v/>
      </c>
      <c r="I199" s="34"/>
      <c r="J199" s="50"/>
      <c r="K199" s="34"/>
      <c r="L199" s="34"/>
      <c r="M199" s="62" t="str">
        <f aca="false">IF(L199="","",SUMPRODUCT(ISNUMBER(SEARCH(","&amp;EV_ID&amp;",",","&amp;SUBSTITUTE(L199," ","")&amp;","))*(EV_ID&lt;&gt;"")))</f>
        <v/>
      </c>
      <c r="N199" s="54" t="str">
        <f aca="false">IF(A199="","",IF(I199&lt;&gt;"Applicable",IF(I199="","Applicability not set","Not in scope ("&amp;I199&amp;")"),IF(OR(J199="",J199="Not answered"),"Awaiting supplier response",IF(J199="Not applicable","Supplier states not applicable - analyst to confirm",IF(L199="","Evidence insufficient - none referenced",IF(M199=0,"Evidence insufficient - referenced ID not found",IF(SUMPRODUCT(ISNUMBER(SEARCH(","&amp;EV_ID&amp;",",","&amp;SUBSTITUTE(L199," ","")&amp;","))*(EV_ID&lt;&gt;"")*(EV_SUFF="Sufficient"))&gt;0,"Evidence reviewed - sufficient",IF(SUMPRODUCT(ISNUMBER(SEARCH(","&amp;EV_ID&amp;",",","&amp;SUBSTITUTE(L199," ","")&amp;","))*(EV_ID&lt;&gt;"")*(EV_SUFF="Partially sufficient"))&gt;0,"Evidence partially sufficient","Evidence insufficient - referenced evidence not sufficient"))))))))</f>
        <v/>
      </c>
      <c r="O199" s="50"/>
      <c r="P199" s="34"/>
      <c r="Q199" s="34"/>
      <c r="R199" s="50"/>
      <c r="S199" s="51"/>
      <c r="T199" s="51"/>
      <c r="U199" s="52" t="str">
        <f aca="false">IF(OR(A199="",Q199=""),"",IF(AND(ISNUMBER(S199),S199&lt;AsOf,O199&lt;&gt;"Reviewed"),"Overdue",""))</f>
        <v/>
      </c>
      <c r="V199" s="54" t="str">
        <f aca="false">IF(A199="","",IF(COUNTIF(QA_ID,A199)&gt;1,"CHECK: duplicate ID",IF(B199="","CHECK: Supplier ID missing",IF(COUNTIF(INV_ID,B199)=0,"CHECK: Supplier ID not in inventory",IF(E199="","CHECK: Question ID missing",IF(COUNTIF(QB_ID,E199)=0,"CHECK: Question ID not in bank","OK"))))))</f>
        <v/>
      </c>
    </row>
    <row r="200" customFormat="false" ht="15" hidden="false" customHeight="false" outlineLevel="0" collapsed="false">
      <c r="A200" s="50"/>
      <c r="B200" s="50"/>
      <c r="C200" s="59" t="str">
        <f aca="false">IF(B200="","",IFERROR(INDEX(INV_NAME,MATCH(B200,INV_ID,0)),"CHECK: Supplier ID not found"))</f>
        <v/>
      </c>
      <c r="D200" s="63" t="str">
        <f aca="false">IF(B200="","",IFERROR(INDEX(INV_TIER,MATCH(B200,INV_ID,0)),""))</f>
        <v/>
      </c>
      <c r="E200" s="50"/>
      <c r="F200" s="59" t="str">
        <f aca="false">IF(E200="","",IFERROR(INDEX(QB_Q,MATCH(E200,QB_ID,0)),"CHECK: Question ID not found"))</f>
        <v/>
      </c>
      <c r="G200" s="59" t="str">
        <f aca="false">IF(E200="","",IFERROR(INDEX(QB_DOMAIN,MATCH(E200,QB_ID,0)),""))</f>
        <v/>
      </c>
      <c r="H200" s="54" t="str">
        <f aca="false">IF(OR(A200="",E200=""),"",IFERROR(IF(ISNUMBER(MATCH(D200,{"Low","Medium","High"},0)),IF(MATCH(D200,{"Low","Medium","High"},0)&gt;=MATCH(INDEX(QB_MINTIER,MATCH(E200,QB_ID,0)),{"Low","Medium","High"},0),"Recommended for tier","Optional for tier"),"Tier not determined"),"Check question"))</f>
        <v/>
      </c>
      <c r="I200" s="34"/>
      <c r="J200" s="50"/>
      <c r="K200" s="34"/>
      <c r="L200" s="34"/>
      <c r="M200" s="62" t="str">
        <f aca="false">IF(L200="","",SUMPRODUCT(ISNUMBER(SEARCH(","&amp;EV_ID&amp;",",","&amp;SUBSTITUTE(L200," ","")&amp;","))*(EV_ID&lt;&gt;"")))</f>
        <v/>
      </c>
      <c r="N200" s="54" t="str">
        <f aca="false">IF(A200="","",IF(I200&lt;&gt;"Applicable",IF(I200="","Applicability not set","Not in scope ("&amp;I200&amp;")"),IF(OR(J200="",J200="Not answered"),"Awaiting supplier response",IF(J200="Not applicable","Supplier states not applicable - analyst to confirm",IF(L200="","Evidence insufficient - none referenced",IF(M200=0,"Evidence insufficient - referenced ID not found",IF(SUMPRODUCT(ISNUMBER(SEARCH(","&amp;EV_ID&amp;",",","&amp;SUBSTITUTE(L200," ","")&amp;","))*(EV_ID&lt;&gt;"")*(EV_SUFF="Sufficient"))&gt;0,"Evidence reviewed - sufficient",IF(SUMPRODUCT(ISNUMBER(SEARCH(","&amp;EV_ID&amp;",",","&amp;SUBSTITUTE(L200," ","")&amp;","))*(EV_ID&lt;&gt;"")*(EV_SUFF="Partially sufficient"))&gt;0,"Evidence partially sufficient","Evidence insufficient - referenced evidence not sufficient"))))))))</f>
        <v/>
      </c>
      <c r="O200" s="50"/>
      <c r="P200" s="34"/>
      <c r="Q200" s="34"/>
      <c r="R200" s="50"/>
      <c r="S200" s="51"/>
      <c r="T200" s="51"/>
      <c r="U200" s="52" t="str">
        <f aca="false">IF(OR(A200="",Q200=""),"",IF(AND(ISNUMBER(S200),S200&lt;AsOf,O200&lt;&gt;"Reviewed"),"Overdue",""))</f>
        <v/>
      </c>
      <c r="V200" s="54" t="str">
        <f aca="false">IF(A200="","",IF(COUNTIF(QA_ID,A200)&gt;1,"CHECK: duplicate ID",IF(B200="","CHECK: Supplier ID missing",IF(COUNTIF(INV_ID,B200)=0,"CHECK: Supplier ID not in inventory",IF(E200="","CHECK: Question ID missing",IF(COUNTIF(QB_ID,E200)=0,"CHECK: Question ID not in bank","OK"))))))</f>
        <v/>
      </c>
    </row>
    <row r="201" customFormat="false" ht="15" hidden="false" customHeight="false" outlineLevel="0" collapsed="false">
      <c r="A201" s="50"/>
      <c r="B201" s="50"/>
      <c r="C201" s="59" t="str">
        <f aca="false">IF(B201="","",IFERROR(INDEX(INV_NAME,MATCH(B201,INV_ID,0)),"CHECK: Supplier ID not found"))</f>
        <v/>
      </c>
      <c r="D201" s="63" t="str">
        <f aca="false">IF(B201="","",IFERROR(INDEX(INV_TIER,MATCH(B201,INV_ID,0)),""))</f>
        <v/>
      </c>
      <c r="E201" s="50"/>
      <c r="F201" s="59" t="str">
        <f aca="false">IF(E201="","",IFERROR(INDEX(QB_Q,MATCH(E201,QB_ID,0)),"CHECK: Question ID not found"))</f>
        <v/>
      </c>
      <c r="G201" s="59" t="str">
        <f aca="false">IF(E201="","",IFERROR(INDEX(QB_DOMAIN,MATCH(E201,QB_ID,0)),""))</f>
        <v/>
      </c>
      <c r="H201" s="54" t="str">
        <f aca="false">IF(OR(A201="",E201=""),"",IFERROR(IF(ISNUMBER(MATCH(D201,{"Low","Medium","High"},0)),IF(MATCH(D201,{"Low","Medium","High"},0)&gt;=MATCH(INDEX(QB_MINTIER,MATCH(E201,QB_ID,0)),{"Low","Medium","High"},0),"Recommended for tier","Optional for tier"),"Tier not determined"),"Check question"))</f>
        <v/>
      </c>
      <c r="I201" s="34"/>
      <c r="J201" s="50"/>
      <c r="K201" s="34"/>
      <c r="L201" s="34"/>
      <c r="M201" s="62" t="str">
        <f aca="false">IF(L201="","",SUMPRODUCT(ISNUMBER(SEARCH(","&amp;EV_ID&amp;",",","&amp;SUBSTITUTE(L201," ","")&amp;","))*(EV_ID&lt;&gt;"")))</f>
        <v/>
      </c>
      <c r="N201" s="54" t="str">
        <f aca="false">IF(A201="","",IF(I201&lt;&gt;"Applicable",IF(I201="","Applicability not set","Not in scope ("&amp;I201&amp;")"),IF(OR(J201="",J201="Not answered"),"Awaiting supplier response",IF(J201="Not applicable","Supplier states not applicable - analyst to confirm",IF(L201="","Evidence insufficient - none referenced",IF(M201=0,"Evidence insufficient - referenced ID not found",IF(SUMPRODUCT(ISNUMBER(SEARCH(","&amp;EV_ID&amp;",",","&amp;SUBSTITUTE(L201," ","")&amp;","))*(EV_ID&lt;&gt;"")*(EV_SUFF="Sufficient"))&gt;0,"Evidence reviewed - sufficient",IF(SUMPRODUCT(ISNUMBER(SEARCH(","&amp;EV_ID&amp;",",","&amp;SUBSTITUTE(L201," ","")&amp;","))*(EV_ID&lt;&gt;"")*(EV_SUFF="Partially sufficient"))&gt;0,"Evidence partially sufficient","Evidence insufficient - referenced evidence not sufficient"))))))))</f>
        <v/>
      </c>
      <c r="O201" s="50"/>
      <c r="P201" s="34"/>
      <c r="Q201" s="34"/>
      <c r="R201" s="50"/>
      <c r="S201" s="51"/>
      <c r="T201" s="51"/>
      <c r="U201" s="52" t="str">
        <f aca="false">IF(OR(A201="",Q201=""),"",IF(AND(ISNUMBER(S201),S201&lt;AsOf,O201&lt;&gt;"Reviewed"),"Overdue",""))</f>
        <v/>
      </c>
      <c r="V201" s="54" t="str">
        <f aca="false">IF(A201="","",IF(COUNTIF(QA_ID,A201)&gt;1,"CHECK: duplicate ID",IF(B201="","CHECK: Supplier ID missing",IF(COUNTIF(INV_ID,B201)=0,"CHECK: Supplier ID not in inventory",IF(E201="","CHECK: Question ID missing",IF(COUNTIF(QB_ID,E201)=0,"CHECK: Question ID not in bank","OK"))))))</f>
        <v/>
      </c>
    </row>
    <row r="202" customFormat="false" ht="15" hidden="false" customHeight="false" outlineLevel="0" collapsed="false">
      <c r="A202" s="50"/>
      <c r="B202" s="50"/>
      <c r="C202" s="59" t="str">
        <f aca="false">IF(B202="","",IFERROR(INDEX(INV_NAME,MATCH(B202,INV_ID,0)),"CHECK: Supplier ID not found"))</f>
        <v/>
      </c>
      <c r="D202" s="63" t="str">
        <f aca="false">IF(B202="","",IFERROR(INDEX(INV_TIER,MATCH(B202,INV_ID,0)),""))</f>
        <v/>
      </c>
      <c r="E202" s="50"/>
      <c r="F202" s="59" t="str">
        <f aca="false">IF(E202="","",IFERROR(INDEX(QB_Q,MATCH(E202,QB_ID,0)),"CHECK: Question ID not found"))</f>
        <v/>
      </c>
      <c r="G202" s="59" t="str">
        <f aca="false">IF(E202="","",IFERROR(INDEX(QB_DOMAIN,MATCH(E202,QB_ID,0)),""))</f>
        <v/>
      </c>
      <c r="H202" s="54" t="str">
        <f aca="false">IF(OR(A202="",E202=""),"",IFERROR(IF(ISNUMBER(MATCH(D202,{"Low","Medium","High"},0)),IF(MATCH(D202,{"Low","Medium","High"},0)&gt;=MATCH(INDEX(QB_MINTIER,MATCH(E202,QB_ID,0)),{"Low","Medium","High"},0),"Recommended for tier","Optional for tier"),"Tier not determined"),"Check question"))</f>
        <v/>
      </c>
      <c r="I202" s="34"/>
      <c r="J202" s="50"/>
      <c r="K202" s="34"/>
      <c r="L202" s="34"/>
      <c r="M202" s="62" t="str">
        <f aca="false">IF(L202="","",SUMPRODUCT(ISNUMBER(SEARCH(","&amp;EV_ID&amp;",",","&amp;SUBSTITUTE(L202," ","")&amp;","))*(EV_ID&lt;&gt;"")))</f>
        <v/>
      </c>
      <c r="N202" s="54" t="str">
        <f aca="false">IF(A202="","",IF(I202&lt;&gt;"Applicable",IF(I202="","Applicability not set","Not in scope ("&amp;I202&amp;")"),IF(OR(J202="",J202="Not answered"),"Awaiting supplier response",IF(J202="Not applicable","Supplier states not applicable - analyst to confirm",IF(L202="","Evidence insufficient - none referenced",IF(M202=0,"Evidence insufficient - referenced ID not found",IF(SUMPRODUCT(ISNUMBER(SEARCH(","&amp;EV_ID&amp;",",","&amp;SUBSTITUTE(L202," ","")&amp;","))*(EV_ID&lt;&gt;"")*(EV_SUFF="Sufficient"))&gt;0,"Evidence reviewed - sufficient",IF(SUMPRODUCT(ISNUMBER(SEARCH(","&amp;EV_ID&amp;",",","&amp;SUBSTITUTE(L202," ","")&amp;","))*(EV_ID&lt;&gt;"")*(EV_SUFF="Partially sufficient"))&gt;0,"Evidence partially sufficient","Evidence insufficient - referenced evidence not sufficient"))))))))</f>
        <v/>
      </c>
      <c r="O202" s="50"/>
      <c r="P202" s="34"/>
      <c r="Q202" s="34"/>
      <c r="R202" s="50"/>
      <c r="S202" s="51"/>
      <c r="T202" s="51"/>
      <c r="U202" s="52" t="str">
        <f aca="false">IF(OR(A202="",Q202=""),"",IF(AND(ISNUMBER(S202),S202&lt;AsOf,O202&lt;&gt;"Reviewed"),"Overdue",""))</f>
        <v/>
      </c>
      <c r="V202" s="54" t="str">
        <f aca="false">IF(A202="","",IF(COUNTIF(QA_ID,A202)&gt;1,"CHECK: duplicate ID",IF(B202="","CHECK: Supplier ID missing",IF(COUNTIF(INV_ID,B202)=0,"CHECK: Supplier ID not in inventory",IF(E202="","CHECK: Question ID missing",IF(COUNTIF(QB_ID,E202)=0,"CHECK: Question ID not in bank","OK"))))))</f>
        <v/>
      </c>
    </row>
    <row r="203" customFormat="false" ht="15" hidden="false" customHeight="false" outlineLevel="0" collapsed="false">
      <c r="A203" s="50"/>
      <c r="B203" s="50"/>
      <c r="C203" s="59" t="str">
        <f aca="false">IF(B203="","",IFERROR(INDEX(INV_NAME,MATCH(B203,INV_ID,0)),"CHECK: Supplier ID not found"))</f>
        <v/>
      </c>
      <c r="D203" s="63" t="str">
        <f aca="false">IF(B203="","",IFERROR(INDEX(INV_TIER,MATCH(B203,INV_ID,0)),""))</f>
        <v/>
      </c>
      <c r="E203" s="50"/>
      <c r="F203" s="59" t="str">
        <f aca="false">IF(E203="","",IFERROR(INDEX(QB_Q,MATCH(E203,QB_ID,0)),"CHECK: Question ID not found"))</f>
        <v/>
      </c>
      <c r="G203" s="59" t="str">
        <f aca="false">IF(E203="","",IFERROR(INDEX(QB_DOMAIN,MATCH(E203,QB_ID,0)),""))</f>
        <v/>
      </c>
      <c r="H203" s="54" t="str">
        <f aca="false">IF(OR(A203="",E203=""),"",IFERROR(IF(ISNUMBER(MATCH(D203,{"Low","Medium","High"},0)),IF(MATCH(D203,{"Low","Medium","High"},0)&gt;=MATCH(INDEX(QB_MINTIER,MATCH(E203,QB_ID,0)),{"Low","Medium","High"},0),"Recommended for tier","Optional for tier"),"Tier not determined"),"Check question"))</f>
        <v/>
      </c>
      <c r="I203" s="34"/>
      <c r="J203" s="50"/>
      <c r="K203" s="34"/>
      <c r="L203" s="34"/>
      <c r="M203" s="62" t="str">
        <f aca="false">IF(L203="","",SUMPRODUCT(ISNUMBER(SEARCH(","&amp;EV_ID&amp;",",","&amp;SUBSTITUTE(L203," ","")&amp;","))*(EV_ID&lt;&gt;"")))</f>
        <v/>
      </c>
      <c r="N203" s="54" t="str">
        <f aca="false">IF(A203="","",IF(I203&lt;&gt;"Applicable",IF(I203="","Applicability not set","Not in scope ("&amp;I203&amp;")"),IF(OR(J203="",J203="Not answered"),"Awaiting supplier response",IF(J203="Not applicable","Supplier states not applicable - analyst to confirm",IF(L203="","Evidence insufficient - none referenced",IF(M203=0,"Evidence insufficient - referenced ID not found",IF(SUMPRODUCT(ISNUMBER(SEARCH(","&amp;EV_ID&amp;",",","&amp;SUBSTITUTE(L203," ","")&amp;","))*(EV_ID&lt;&gt;"")*(EV_SUFF="Sufficient"))&gt;0,"Evidence reviewed - sufficient",IF(SUMPRODUCT(ISNUMBER(SEARCH(","&amp;EV_ID&amp;",",","&amp;SUBSTITUTE(L203," ","")&amp;","))*(EV_ID&lt;&gt;"")*(EV_SUFF="Partially sufficient"))&gt;0,"Evidence partially sufficient","Evidence insufficient - referenced evidence not sufficient"))))))))</f>
        <v/>
      </c>
      <c r="O203" s="50"/>
      <c r="P203" s="34"/>
      <c r="Q203" s="34"/>
      <c r="R203" s="50"/>
      <c r="S203" s="51"/>
      <c r="T203" s="51"/>
      <c r="U203" s="52" t="str">
        <f aca="false">IF(OR(A203="",Q203=""),"",IF(AND(ISNUMBER(S203),S203&lt;AsOf,O203&lt;&gt;"Reviewed"),"Overdue",""))</f>
        <v/>
      </c>
      <c r="V203" s="54" t="str">
        <f aca="false">IF(A203="","",IF(COUNTIF(QA_ID,A203)&gt;1,"CHECK: duplicate ID",IF(B203="","CHECK: Supplier ID missing",IF(COUNTIF(INV_ID,B203)=0,"CHECK: Supplier ID not in inventory",IF(E203="","CHECK: Question ID missing",IF(COUNTIF(QB_ID,E203)=0,"CHECK: Question ID not in bank","OK"))))))</f>
        <v/>
      </c>
    </row>
    <row r="204" customFormat="false" ht="15" hidden="false" customHeight="false" outlineLevel="0" collapsed="false">
      <c r="A204" s="50"/>
      <c r="B204" s="50"/>
      <c r="C204" s="59" t="str">
        <f aca="false">IF(B204="","",IFERROR(INDEX(INV_NAME,MATCH(B204,INV_ID,0)),"CHECK: Supplier ID not found"))</f>
        <v/>
      </c>
      <c r="D204" s="63" t="str">
        <f aca="false">IF(B204="","",IFERROR(INDEX(INV_TIER,MATCH(B204,INV_ID,0)),""))</f>
        <v/>
      </c>
      <c r="E204" s="50"/>
      <c r="F204" s="59" t="str">
        <f aca="false">IF(E204="","",IFERROR(INDEX(QB_Q,MATCH(E204,QB_ID,0)),"CHECK: Question ID not found"))</f>
        <v/>
      </c>
      <c r="G204" s="59" t="str">
        <f aca="false">IF(E204="","",IFERROR(INDEX(QB_DOMAIN,MATCH(E204,QB_ID,0)),""))</f>
        <v/>
      </c>
      <c r="H204" s="54" t="str">
        <f aca="false">IF(OR(A204="",E204=""),"",IFERROR(IF(ISNUMBER(MATCH(D204,{"Low","Medium","High"},0)),IF(MATCH(D204,{"Low","Medium","High"},0)&gt;=MATCH(INDEX(QB_MINTIER,MATCH(E204,QB_ID,0)),{"Low","Medium","High"},0),"Recommended for tier","Optional for tier"),"Tier not determined"),"Check question"))</f>
        <v/>
      </c>
      <c r="I204" s="34"/>
      <c r="J204" s="50"/>
      <c r="K204" s="34"/>
      <c r="L204" s="34"/>
      <c r="M204" s="62" t="str">
        <f aca="false">IF(L204="","",SUMPRODUCT(ISNUMBER(SEARCH(","&amp;EV_ID&amp;",",","&amp;SUBSTITUTE(L204," ","")&amp;","))*(EV_ID&lt;&gt;"")))</f>
        <v/>
      </c>
      <c r="N204" s="54" t="str">
        <f aca="false">IF(A204="","",IF(I204&lt;&gt;"Applicable",IF(I204="","Applicability not set","Not in scope ("&amp;I204&amp;")"),IF(OR(J204="",J204="Not answered"),"Awaiting supplier response",IF(J204="Not applicable","Supplier states not applicable - analyst to confirm",IF(L204="","Evidence insufficient - none referenced",IF(M204=0,"Evidence insufficient - referenced ID not found",IF(SUMPRODUCT(ISNUMBER(SEARCH(","&amp;EV_ID&amp;",",","&amp;SUBSTITUTE(L204," ","")&amp;","))*(EV_ID&lt;&gt;"")*(EV_SUFF="Sufficient"))&gt;0,"Evidence reviewed - sufficient",IF(SUMPRODUCT(ISNUMBER(SEARCH(","&amp;EV_ID&amp;",",","&amp;SUBSTITUTE(L204," ","")&amp;","))*(EV_ID&lt;&gt;"")*(EV_SUFF="Partially sufficient"))&gt;0,"Evidence partially sufficient","Evidence insufficient - referenced evidence not sufficient"))))))))</f>
        <v/>
      </c>
      <c r="O204" s="50"/>
      <c r="P204" s="34"/>
      <c r="Q204" s="34"/>
      <c r="R204" s="50"/>
      <c r="S204" s="51"/>
      <c r="T204" s="51"/>
      <c r="U204" s="52" t="str">
        <f aca="false">IF(OR(A204="",Q204=""),"",IF(AND(ISNUMBER(S204),S204&lt;AsOf,O204&lt;&gt;"Reviewed"),"Overdue",""))</f>
        <v/>
      </c>
      <c r="V204" s="54" t="str">
        <f aca="false">IF(A204="","",IF(COUNTIF(QA_ID,A204)&gt;1,"CHECK: duplicate ID",IF(B204="","CHECK: Supplier ID missing",IF(COUNTIF(INV_ID,B204)=0,"CHECK: Supplier ID not in inventory",IF(E204="","CHECK: Question ID missing",IF(COUNTIF(QB_ID,E204)=0,"CHECK: Question ID not in bank","OK"))))))</f>
        <v/>
      </c>
    </row>
    <row r="205" customFormat="false" ht="15" hidden="false" customHeight="false" outlineLevel="0" collapsed="false">
      <c r="A205" s="50"/>
      <c r="B205" s="50"/>
      <c r="C205" s="59" t="str">
        <f aca="false">IF(B205="","",IFERROR(INDEX(INV_NAME,MATCH(B205,INV_ID,0)),"CHECK: Supplier ID not found"))</f>
        <v/>
      </c>
      <c r="D205" s="63" t="str">
        <f aca="false">IF(B205="","",IFERROR(INDEX(INV_TIER,MATCH(B205,INV_ID,0)),""))</f>
        <v/>
      </c>
      <c r="E205" s="50"/>
      <c r="F205" s="59" t="str">
        <f aca="false">IF(E205="","",IFERROR(INDEX(QB_Q,MATCH(E205,QB_ID,0)),"CHECK: Question ID not found"))</f>
        <v/>
      </c>
      <c r="G205" s="59" t="str">
        <f aca="false">IF(E205="","",IFERROR(INDEX(QB_DOMAIN,MATCH(E205,QB_ID,0)),""))</f>
        <v/>
      </c>
      <c r="H205" s="54" t="str">
        <f aca="false">IF(OR(A205="",E205=""),"",IFERROR(IF(ISNUMBER(MATCH(D205,{"Low","Medium","High"},0)),IF(MATCH(D205,{"Low","Medium","High"},0)&gt;=MATCH(INDEX(QB_MINTIER,MATCH(E205,QB_ID,0)),{"Low","Medium","High"},0),"Recommended for tier","Optional for tier"),"Tier not determined"),"Check question"))</f>
        <v/>
      </c>
      <c r="I205" s="34"/>
      <c r="J205" s="50"/>
      <c r="K205" s="34"/>
      <c r="L205" s="34"/>
      <c r="M205" s="62" t="str">
        <f aca="false">IF(L205="","",SUMPRODUCT(ISNUMBER(SEARCH(","&amp;EV_ID&amp;",",","&amp;SUBSTITUTE(L205," ","")&amp;","))*(EV_ID&lt;&gt;"")))</f>
        <v/>
      </c>
      <c r="N205" s="54" t="str">
        <f aca="false">IF(A205="","",IF(I205&lt;&gt;"Applicable",IF(I205="","Applicability not set","Not in scope ("&amp;I205&amp;")"),IF(OR(J205="",J205="Not answered"),"Awaiting supplier response",IF(J205="Not applicable","Supplier states not applicable - analyst to confirm",IF(L205="","Evidence insufficient - none referenced",IF(M205=0,"Evidence insufficient - referenced ID not found",IF(SUMPRODUCT(ISNUMBER(SEARCH(","&amp;EV_ID&amp;",",","&amp;SUBSTITUTE(L205," ","")&amp;","))*(EV_ID&lt;&gt;"")*(EV_SUFF="Sufficient"))&gt;0,"Evidence reviewed - sufficient",IF(SUMPRODUCT(ISNUMBER(SEARCH(","&amp;EV_ID&amp;",",","&amp;SUBSTITUTE(L205," ","")&amp;","))*(EV_ID&lt;&gt;"")*(EV_SUFF="Partially sufficient"))&gt;0,"Evidence partially sufficient","Evidence insufficient - referenced evidence not sufficient"))))))))</f>
        <v/>
      </c>
      <c r="O205" s="50"/>
      <c r="P205" s="34"/>
      <c r="Q205" s="34"/>
      <c r="R205" s="50"/>
      <c r="S205" s="51"/>
      <c r="T205" s="51"/>
      <c r="U205" s="52" t="str">
        <f aca="false">IF(OR(A205="",Q205=""),"",IF(AND(ISNUMBER(S205),S205&lt;AsOf,O205&lt;&gt;"Reviewed"),"Overdue",""))</f>
        <v/>
      </c>
      <c r="V205" s="54" t="str">
        <f aca="false">IF(A205="","",IF(COUNTIF(QA_ID,A205)&gt;1,"CHECK: duplicate ID",IF(B205="","CHECK: Supplier ID missing",IF(COUNTIF(INV_ID,B205)=0,"CHECK: Supplier ID not in inventory",IF(E205="","CHECK: Question ID missing",IF(COUNTIF(QB_ID,E205)=0,"CHECK: Question ID not in bank","OK"))))))</f>
        <v/>
      </c>
    </row>
    <row r="206" customFormat="false" ht="15" hidden="false" customHeight="false" outlineLevel="0" collapsed="false">
      <c r="A206" s="50"/>
      <c r="B206" s="50"/>
      <c r="C206" s="59" t="str">
        <f aca="false">IF(B206="","",IFERROR(INDEX(INV_NAME,MATCH(B206,INV_ID,0)),"CHECK: Supplier ID not found"))</f>
        <v/>
      </c>
      <c r="D206" s="63" t="str">
        <f aca="false">IF(B206="","",IFERROR(INDEX(INV_TIER,MATCH(B206,INV_ID,0)),""))</f>
        <v/>
      </c>
      <c r="E206" s="50"/>
      <c r="F206" s="59" t="str">
        <f aca="false">IF(E206="","",IFERROR(INDEX(QB_Q,MATCH(E206,QB_ID,0)),"CHECK: Question ID not found"))</f>
        <v/>
      </c>
      <c r="G206" s="59" t="str">
        <f aca="false">IF(E206="","",IFERROR(INDEX(QB_DOMAIN,MATCH(E206,QB_ID,0)),""))</f>
        <v/>
      </c>
      <c r="H206" s="54" t="str">
        <f aca="false">IF(OR(A206="",E206=""),"",IFERROR(IF(ISNUMBER(MATCH(D206,{"Low","Medium","High"},0)),IF(MATCH(D206,{"Low","Medium","High"},0)&gt;=MATCH(INDEX(QB_MINTIER,MATCH(E206,QB_ID,0)),{"Low","Medium","High"},0),"Recommended for tier","Optional for tier"),"Tier not determined"),"Check question"))</f>
        <v/>
      </c>
      <c r="I206" s="34"/>
      <c r="J206" s="50"/>
      <c r="K206" s="34"/>
      <c r="L206" s="34"/>
      <c r="M206" s="62" t="str">
        <f aca="false">IF(L206="","",SUMPRODUCT(ISNUMBER(SEARCH(","&amp;EV_ID&amp;",",","&amp;SUBSTITUTE(L206," ","")&amp;","))*(EV_ID&lt;&gt;"")))</f>
        <v/>
      </c>
      <c r="N206" s="54" t="str">
        <f aca="false">IF(A206="","",IF(I206&lt;&gt;"Applicable",IF(I206="","Applicability not set","Not in scope ("&amp;I206&amp;")"),IF(OR(J206="",J206="Not answered"),"Awaiting supplier response",IF(J206="Not applicable","Supplier states not applicable - analyst to confirm",IF(L206="","Evidence insufficient - none referenced",IF(M206=0,"Evidence insufficient - referenced ID not found",IF(SUMPRODUCT(ISNUMBER(SEARCH(","&amp;EV_ID&amp;",",","&amp;SUBSTITUTE(L206," ","")&amp;","))*(EV_ID&lt;&gt;"")*(EV_SUFF="Sufficient"))&gt;0,"Evidence reviewed - sufficient",IF(SUMPRODUCT(ISNUMBER(SEARCH(","&amp;EV_ID&amp;",",","&amp;SUBSTITUTE(L206," ","")&amp;","))*(EV_ID&lt;&gt;"")*(EV_SUFF="Partially sufficient"))&gt;0,"Evidence partially sufficient","Evidence insufficient - referenced evidence not sufficient"))))))))</f>
        <v/>
      </c>
      <c r="O206" s="50"/>
      <c r="P206" s="34"/>
      <c r="Q206" s="34"/>
      <c r="R206" s="50"/>
      <c r="S206" s="51"/>
      <c r="T206" s="51"/>
      <c r="U206" s="52" t="str">
        <f aca="false">IF(OR(A206="",Q206=""),"",IF(AND(ISNUMBER(S206),S206&lt;AsOf,O206&lt;&gt;"Reviewed"),"Overdue",""))</f>
        <v/>
      </c>
      <c r="V206" s="54" t="str">
        <f aca="false">IF(A206="","",IF(COUNTIF(QA_ID,A206)&gt;1,"CHECK: duplicate ID",IF(B206="","CHECK: Supplier ID missing",IF(COUNTIF(INV_ID,B206)=0,"CHECK: Supplier ID not in inventory",IF(E206="","CHECK: Question ID missing",IF(COUNTIF(QB_ID,E206)=0,"CHECK: Question ID not in bank","OK"))))))</f>
        <v/>
      </c>
    </row>
    <row r="207" customFormat="false" ht="15" hidden="false" customHeight="false" outlineLevel="0" collapsed="false">
      <c r="A207" s="50"/>
      <c r="B207" s="50"/>
      <c r="C207" s="59" t="str">
        <f aca="false">IF(B207="","",IFERROR(INDEX(INV_NAME,MATCH(B207,INV_ID,0)),"CHECK: Supplier ID not found"))</f>
        <v/>
      </c>
      <c r="D207" s="63" t="str">
        <f aca="false">IF(B207="","",IFERROR(INDEX(INV_TIER,MATCH(B207,INV_ID,0)),""))</f>
        <v/>
      </c>
      <c r="E207" s="50"/>
      <c r="F207" s="59" t="str">
        <f aca="false">IF(E207="","",IFERROR(INDEX(QB_Q,MATCH(E207,QB_ID,0)),"CHECK: Question ID not found"))</f>
        <v/>
      </c>
      <c r="G207" s="59" t="str">
        <f aca="false">IF(E207="","",IFERROR(INDEX(QB_DOMAIN,MATCH(E207,QB_ID,0)),""))</f>
        <v/>
      </c>
      <c r="H207" s="54" t="str">
        <f aca="false">IF(OR(A207="",E207=""),"",IFERROR(IF(ISNUMBER(MATCH(D207,{"Low","Medium","High"},0)),IF(MATCH(D207,{"Low","Medium","High"},0)&gt;=MATCH(INDEX(QB_MINTIER,MATCH(E207,QB_ID,0)),{"Low","Medium","High"},0),"Recommended for tier","Optional for tier"),"Tier not determined"),"Check question"))</f>
        <v/>
      </c>
      <c r="I207" s="34"/>
      <c r="J207" s="50"/>
      <c r="K207" s="34"/>
      <c r="L207" s="34"/>
      <c r="M207" s="62" t="str">
        <f aca="false">IF(L207="","",SUMPRODUCT(ISNUMBER(SEARCH(","&amp;EV_ID&amp;",",","&amp;SUBSTITUTE(L207," ","")&amp;","))*(EV_ID&lt;&gt;"")))</f>
        <v/>
      </c>
      <c r="N207" s="54" t="str">
        <f aca="false">IF(A207="","",IF(I207&lt;&gt;"Applicable",IF(I207="","Applicability not set","Not in scope ("&amp;I207&amp;")"),IF(OR(J207="",J207="Not answered"),"Awaiting supplier response",IF(J207="Not applicable","Supplier states not applicable - analyst to confirm",IF(L207="","Evidence insufficient - none referenced",IF(M207=0,"Evidence insufficient - referenced ID not found",IF(SUMPRODUCT(ISNUMBER(SEARCH(","&amp;EV_ID&amp;",",","&amp;SUBSTITUTE(L207," ","")&amp;","))*(EV_ID&lt;&gt;"")*(EV_SUFF="Sufficient"))&gt;0,"Evidence reviewed - sufficient",IF(SUMPRODUCT(ISNUMBER(SEARCH(","&amp;EV_ID&amp;",",","&amp;SUBSTITUTE(L207," ","")&amp;","))*(EV_ID&lt;&gt;"")*(EV_SUFF="Partially sufficient"))&gt;0,"Evidence partially sufficient","Evidence insufficient - referenced evidence not sufficient"))))))))</f>
        <v/>
      </c>
      <c r="O207" s="50"/>
      <c r="P207" s="34"/>
      <c r="Q207" s="34"/>
      <c r="R207" s="50"/>
      <c r="S207" s="51"/>
      <c r="T207" s="51"/>
      <c r="U207" s="52" t="str">
        <f aca="false">IF(OR(A207="",Q207=""),"",IF(AND(ISNUMBER(S207),S207&lt;AsOf,O207&lt;&gt;"Reviewed"),"Overdue",""))</f>
        <v/>
      </c>
      <c r="V207" s="54" t="str">
        <f aca="false">IF(A207="","",IF(COUNTIF(QA_ID,A207)&gt;1,"CHECK: duplicate ID",IF(B207="","CHECK: Supplier ID missing",IF(COUNTIF(INV_ID,B207)=0,"CHECK: Supplier ID not in inventory",IF(E207="","CHECK: Question ID missing",IF(COUNTIF(QB_ID,E207)=0,"CHECK: Question ID not in bank","OK"))))))</f>
        <v/>
      </c>
    </row>
    <row r="208" customFormat="false" ht="15" hidden="false" customHeight="false" outlineLevel="0" collapsed="false">
      <c r="A208" s="50"/>
      <c r="B208" s="50"/>
      <c r="C208" s="59" t="str">
        <f aca="false">IF(B208="","",IFERROR(INDEX(INV_NAME,MATCH(B208,INV_ID,0)),"CHECK: Supplier ID not found"))</f>
        <v/>
      </c>
      <c r="D208" s="63" t="str">
        <f aca="false">IF(B208="","",IFERROR(INDEX(INV_TIER,MATCH(B208,INV_ID,0)),""))</f>
        <v/>
      </c>
      <c r="E208" s="50"/>
      <c r="F208" s="59" t="str">
        <f aca="false">IF(E208="","",IFERROR(INDEX(QB_Q,MATCH(E208,QB_ID,0)),"CHECK: Question ID not found"))</f>
        <v/>
      </c>
      <c r="G208" s="59" t="str">
        <f aca="false">IF(E208="","",IFERROR(INDEX(QB_DOMAIN,MATCH(E208,QB_ID,0)),""))</f>
        <v/>
      </c>
      <c r="H208" s="54" t="str">
        <f aca="false">IF(OR(A208="",E208=""),"",IFERROR(IF(ISNUMBER(MATCH(D208,{"Low","Medium","High"},0)),IF(MATCH(D208,{"Low","Medium","High"},0)&gt;=MATCH(INDEX(QB_MINTIER,MATCH(E208,QB_ID,0)),{"Low","Medium","High"},0),"Recommended for tier","Optional for tier"),"Tier not determined"),"Check question"))</f>
        <v/>
      </c>
      <c r="I208" s="34"/>
      <c r="J208" s="50"/>
      <c r="K208" s="34"/>
      <c r="L208" s="34"/>
      <c r="M208" s="62" t="str">
        <f aca="false">IF(L208="","",SUMPRODUCT(ISNUMBER(SEARCH(","&amp;EV_ID&amp;",",","&amp;SUBSTITUTE(L208," ","")&amp;","))*(EV_ID&lt;&gt;"")))</f>
        <v/>
      </c>
      <c r="N208" s="54" t="str">
        <f aca="false">IF(A208="","",IF(I208&lt;&gt;"Applicable",IF(I208="","Applicability not set","Not in scope ("&amp;I208&amp;")"),IF(OR(J208="",J208="Not answered"),"Awaiting supplier response",IF(J208="Not applicable","Supplier states not applicable - analyst to confirm",IF(L208="","Evidence insufficient - none referenced",IF(M208=0,"Evidence insufficient - referenced ID not found",IF(SUMPRODUCT(ISNUMBER(SEARCH(","&amp;EV_ID&amp;",",","&amp;SUBSTITUTE(L208," ","")&amp;","))*(EV_ID&lt;&gt;"")*(EV_SUFF="Sufficient"))&gt;0,"Evidence reviewed - sufficient",IF(SUMPRODUCT(ISNUMBER(SEARCH(","&amp;EV_ID&amp;",",","&amp;SUBSTITUTE(L208," ","")&amp;","))*(EV_ID&lt;&gt;"")*(EV_SUFF="Partially sufficient"))&gt;0,"Evidence partially sufficient","Evidence insufficient - referenced evidence not sufficient"))))))))</f>
        <v/>
      </c>
      <c r="O208" s="50"/>
      <c r="P208" s="34"/>
      <c r="Q208" s="34"/>
      <c r="R208" s="50"/>
      <c r="S208" s="51"/>
      <c r="T208" s="51"/>
      <c r="U208" s="52" t="str">
        <f aca="false">IF(OR(A208="",Q208=""),"",IF(AND(ISNUMBER(S208),S208&lt;AsOf,O208&lt;&gt;"Reviewed"),"Overdue",""))</f>
        <v/>
      </c>
      <c r="V208" s="54" t="str">
        <f aca="false">IF(A208="","",IF(COUNTIF(QA_ID,A208)&gt;1,"CHECK: duplicate ID",IF(B208="","CHECK: Supplier ID missing",IF(COUNTIF(INV_ID,B208)=0,"CHECK: Supplier ID not in inventory",IF(E208="","CHECK: Question ID missing",IF(COUNTIF(QB_ID,E208)=0,"CHECK: Question ID not in bank","OK"))))))</f>
        <v/>
      </c>
    </row>
    <row r="209" customFormat="false" ht="15" hidden="false" customHeight="false" outlineLevel="0" collapsed="false">
      <c r="A209" s="50"/>
      <c r="B209" s="50"/>
      <c r="C209" s="59" t="str">
        <f aca="false">IF(B209="","",IFERROR(INDEX(INV_NAME,MATCH(B209,INV_ID,0)),"CHECK: Supplier ID not found"))</f>
        <v/>
      </c>
      <c r="D209" s="63" t="str">
        <f aca="false">IF(B209="","",IFERROR(INDEX(INV_TIER,MATCH(B209,INV_ID,0)),""))</f>
        <v/>
      </c>
      <c r="E209" s="50"/>
      <c r="F209" s="59" t="str">
        <f aca="false">IF(E209="","",IFERROR(INDEX(QB_Q,MATCH(E209,QB_ID,0)),"CHECK: Question ID not found"))</f>
        <v/>
      </c>
      <c r="G209" s="59" t="str">
        <f aca="false">IF(E209="","",IFERROR(INDEX(QB_DOMAIN,MATCH(E209,QB_ID,0)),""))</f>
        <v/>
      </c>
      <c r="H209" s="54" t="str">
        <f aca="false">IF(OR(A209="",E209=""),"",IFERROR(IF(ISNUMBER(MATCH(D209,{"Low","Medium","High"},0)),IF(MATCH(D209,{"Low","Medium","High"},0)&gt;=MATCH(INDEX(QB_MINTIER,MATCH(E209,QB_ID,0)),{"Low","Medium","High"},0),"Recommended for tier","Optional for tier"),"Tier not determined"),"Check question"))</f>
        <v/>
      </c>
      <c r="I209" s="34"/>
      <c r="J209" s="50"/>
      <c r="K209" s="34"/>
      <c r="L209" s="34"/>
      <c r="M209" s="62" t="str">
        <f aca="false">IF(L209="","",SUMPRODUCT(ISNUMBER(SEARCH(","&amp;EV_ID&amp;",",","&amp;SUBSTITUTE(L209," ","")&amp;","))*(EV_ID&lt;&gt;"")))</f>
        <v/>
      </c>
      <c r="N209" s="54" t="str">
        <f aca="false">IF(A209="","",IF(I209&lt;&gt;"Applicable",IF(I209="","Applicability not set","Not in scope ("&amp;I209&amp;")"),IF(OR(J209="",J209="Not answered"),"Awaiting supplier response",IF(J209="Not applicable","Supplier states not applicable - analyst to confirm",IF(L209="","Evidence insufficient - none referenced",IF(M209=0,"Evidence insufficient - referenced ID not found",IF(SUMPRODUCT(ISNUMBER(SEARCH(","&amp;EV_ID&amp;",",","&amp;SUBSTITUTE(L209," ","")&amp;","))*(EV_ID&lt;&gt;"")*(EV_SUFF="Sufficient"))&gt;0,"Evidence reviewed - sufficient",IF(SUMPRODUCT(ISNUMBER(SEARCH(","&amp;EV_ID&amp;",",","&amp;SUBSTITUTE(L209," ","")&amp;","))*(EV_ID&lt;&gt;"")*(EV_SUFF="Partially sufficient"))&gt;0,"Evidence partially sufficient","Evidence insufficient - referenced evidence not sufficient"))))))))</f>
        <v/>
      </c>
      <c r="O209" s="50"/>
      <c r="P209" s="34"/>
      <c r="Q209" s="34"/>
      <c r="R209" s="50"/>
      <c r="S209" s="51"/>
      <c r="T209" s="51"/>
      <c r="U209" s="52" t="str">
        <f aca="false">IF(OR(A209="",Q209=""),"",IF(AND(ISNUMBER(S209),S209&lt;AsOf,O209&lt;&gt;"Reviewed"),"Overdue",""))</f>
        <v/>
      </c>
      <c r="V209" s="54" t="str">
        <f aca="false">IF(A209="","",IF(COUNTIF(QA_ID,A209)&gt;1,"CHECK: duplicate ID",IF(B209="","CHECK: Supplier ID missing",IF(COUNTIF(INV_ID,B209)=0,"CHECK: Supplier ID not in inventory",IF(E209="","CHECK: Question ID missing",IF(COUNTIF(QB_ID,E209)=0,"CHECK: Question ID not in bank","OK"))))))</f>
        <v/>
      </c>
    </row>
    <row r="210" customFormat="false" ht="15" hidden="false" customHeight="false" outlineLevel="0" collapsed="false">
      <c r="A210" s="50"/>
      <c r="B210" s="50"/>
      <c r="C210" s="59" t="str">
        <f aca="false">IF(B210="","",IFERROR(INDEX(INV_NAME,MATCH(B210,INV_ID,0)),"CHECK: Supplier ID not found"))</f>
        <v/>
      </c>
      <c r="D210" s="63" t="str">
        <f aca="false">IF(B210="","",IFERROR(INDEX(INV_TIER,MATCH(B210,INV_ID,0)),""))</f>
        <v/>
      </c>
      <c r="E210" s="50"/>
      <c r="F210" s="59" t="str">
        <f aca="false">IF(E210="","",IFERROR(INDEX(QB_Q,MATCH(E210,QB_ID,0)),"CHECK: Question ID not found"))</f>
        <v/>
      </c>
      <c r="G210" s="59" t="str">
        <f aca="false">IF(E210="","",IFERROR(INDEX(QB_DOMAIN,MATCH(E210,QB_ID,0)),""))</f>
        <v/>
      </c>
      <c r="H210" s="54" t="str">
        <f aca="false">IF(OR(A210="",E210=""),"",IFERROR(IF(ISNUMBER(MATCH(D210,{"Low","Medium","High"},0)),IF(MATCH(D210,{"Low","Medium","High"},0)&gt;=MATCH(INDEX(QB_MINTIER,MATCH(E210,QB_ID,0)),{"Low","Medium","High"},0),"Recommended for tier","Optional for tier"),"Tier not determined"),"Check question"))</f>
        <v/>
      </c>
      <c r="I210" s="34"/>
      <c r="J210" s="50"/>
      <c r="K210" s="34"/>
      <c r="L210" s="34"/>
      <c r="M210" s="62" t="str">
        <f aca="false">IF(L210="","",SUMPRODUCT(ISNUMBER(SEARCH(","&amp;EV_ID&amp;",",","&amp;SUBSTITUTE(L210," ","")&amp;","))*(EV_ID&lt;&gt;"")))</f>
        <v/>
      </c>
      <c r="N210" s="54" t="str">
        <f aca="false">IF(A210="","",IF(I210&lt;&gt;"Applicable",IF(I210="","Applicability not set","Not in scope ("&amp;I210&amp;")"),IF(OR(J210="",J210="Not answered"),"Awaiting supplier response",IF(J210="Not applicable","Supplier states not applicable - analyst to confirm",IF(L210="","Evidence insufficient - none referenced",IF(M210=0,"Evidence insufficient - referenced ID not found",IF(SUMPRODUCT(ISNUMBER(SEARCH(","&amp;EV_ID&amp;",",","&amp;SUBSTITUTE(L210," ","")&amp;","))*(EV_ID&lt;&gt;"")*(EV_SUFF="Sufficient"))&gt;0,"Evidence reviewed - sufficient",IF(SUMPRODUCT(ISNUMBER(SEARCH(","&amp;EV_ID&amp;",",","&amp;SUBSTITUTE(L210," ","")&amp;","))*(EV_ID&lt;&gt;"")*(EV_SUFF="Partially sufficient"))&gt;0,"Evidence partially sufficient","Evidence insufficient - referenced evidence not sufficient"))))))))</f>
        <v/>
      </c>
      <c r="O210" s="50"/>
      <c r="P210" s="34"/>
      <c r="Q210" s="34"/>
      <c r="R210" s="50"/>
      <c r="S210" s="51"/>
      <c r="T210" s="51"/>
      <c r="U210" s="52" t="str">
        <f aca="false">IF(OR(A210="",Q210=""),"",IF(AND(ISNUMBER(S210),S210&lt;AsOf,O210&lt;&gt;"Reviewed"),"Overdue",""))</f>
        <v/>
      </c>
      <c r="V210" s="54" t="str">
        <f aca="false">IF(A210="","",IF(COUNTIF(QA_ID,A210)&gt;1,"CHECK: duplicate ID",IF(B210="","CHECK: Supplier ID missing",IF(COUNTIF(INV_ID,B210)=0,"CHECK: Supplier ID not in inventory",IF(E210="","CHECK: Question ID missing",IF(COUNTIF(QB_ID,E210)=0,"CHECK: Question ID not in bank","OK"))))))</f>
        <v/>
      </c>
    </row>
    <row r="211" customFormat="false" ht="15" hidden="false" customHeight="false" outlineLevel="0" collapsed="false">
      <c r="A211" s="50"/>
      <c r="B211" s="50"/>
      <c r="C211" s="59" t="str">
        <f aca="false">IF(B211="","",IFERROR(INDEX(INV_NAME,MATCH(B211,INV_ID,0)),"CHECK: Supplier ID not found"))</f>
        <v/>
      </c>
      <c r="D211" s="63" t="str">
        <f aca="false">IF(B211="","",IFERROR(INDEX(INV_TIER,MATCH(B211,INV_ID,0)),""))</f>
        <v/>
      </c>
      <c r="E211" s="50"/>
      <c r="F211" s="59" t="str">
        <f aca="false">IF(E211="","",IFERROR(INDEX(QB_Q,MATCH(E211,QB_ID,0)),"CHECK: Question ID not found"))</f>
        <v/>
      </c>
      <c r="G211" s="59" t="str">
        <f aca="false">IF(E211="","",IFERROR(INDEX(QB_DOMAIN,MATCH(E211,QB_ID,0)),""))</f>
        <v/>
      </c>
      <c r="H211" s="54" t="str">
        <f aca="false">IF(OR(A211="",E211=""),"",IFERROR(IF(ISNUMBER(MATCH(D211,{"Low","Medium","High"},0)),IF(MATCH(D211,{"Low","Medium","High"},0)&gt;=MATCH(INDEX(QB_MINTIER,MATCH(E211,QB_ID,0)),{"Low","Medium","High"},0),"Recommended for tier","Optional for tier"),"Tier not determined"),"Check question"))</f>
        <v/>
      </c>
      <c r="I211" s="34"/>
      <c r="J211" s="50"/>
      <c r="K211" s="34"/>
      <c r="L211" s="34"/>
      <c r="M211" s="62" t="str">
        <f aca="false">IF(L211="","",SUMPRODUCT(ISNUMBER(SEARCH(","&amp;EV_ID&amp;",",","&amp;SUBSTITUTE(L211," ","")&amp;","))*(EV_ID&lt;&gt;"")))</f>
        <v/>
      </c>
      <c r="N211" s="54" t="str">
        <f aca="false">IF(A211="","",IF(I211&lt;&gt;"Applicable",IF(I211="","Applicability not set","Not in scope ("&amp;I211&amp;")"),IF(OR(J211="",J211="Not answered"),"Awaiting supplier response",IF(J211="Not applicable","Supplier states not applicable - analyst to confirm",IF(L211="","Evidence insufficient - none referenced",IF(M211=0,"Evidence insufficient - referenced ID not found",IF(SUMPRODUCT(ISNUMBER(SEARCH(","&amp;EV_ID&amp;",",","&amp;SUBSTITUTE(L211," ","")&amp;","))*(EV_ID&lt;&gt;"")*(EV_SUFF="Sufficient"))&gt;0,"Evidence reviewed - sufficient",IF(SUMPRODUCT(ISNUMBER(SEARCH(","&amp;EV_ID&amp;",",","&amp;SUBSTITUTE(L211," ","")&amp;","))*(EV_ID&lt;&gt;"")*(EV_SUFF="Partially sufficient"))&gt;0,"Evidence partially sufficient","Evidence insufficient - referenced evidence not sufficient"))))))))</f>
        <v/>
      </c>
      <c r="O211" s="50"/>
      <c r="P211" s="34"/>
      <c r="Q211" s="34"/>
      <c r="R211" s="50"/>
      <c r="S211" s="51"/>
      <c r="T211" s="51"/>
      <c r="U211" s="52" t="str">
        <f aca="false">IF(OR(A211="",Q211=""),"",IF(AND(ISNUMBER(S211),S211&lt;AsOf,O211&lt;&gt;"Reviewed"),"Overdue",""))</f>
        <v/>
      </c>
      <c r="V211" s="54" t="str">
        <f aca="false">IF(A211="","",IF(COUNTIF(QA_ID,A211)&gt;1,"CHECK: duplicate ID",IF(B211="","CHECK: Supplier ID missing",IF(COUNTIF(INV_ID,B211)=0,"CHECK: Supplier ID not in inventory",IF(E211="","CHECK: Question ID missing",IF(COUNTIF(QB_ID,E211)=0,"CHECK: Question ID not in bank","OK"))))))</f>
        <v/>
      </c>
    </row>
    <row r="212" customFormat="false" ht="15" hidden="false" customHeight="false" outlineLevel="0" collapsed="false">
      <c r="A212" s="50"/>
      <c r="B212" s="50"/>
      <c r="C212" s="59" t="str">
        <f aca="false">IF(B212="","",IFERROR(INDEX(INV_NAME,MATCH(B212,INV_ID,0)),"CHECK: Supplier ID not found"))</f>
        <v/>
      </c>
      <c r="D212" s="63" t="str">
        <f aca="false">IF(B212="","",IFERROR(INDEX(INV_TIER,MATCH(B212,INV_ID,0)),""))</f>
        <v/>
      </c>
      <c r="E212" s="50"/>
      <c r="F212" s="59" t="str">
        <f aca="false">IF(E212="","",IFERROR(INDEX(QB_Q,MATCH(E212,QB_ID,0)),"CHECK: Question ID not found"))</f>
        <v/>
      </c>
      <c r="G212" s="59" t="str">
        <f aca="false">IF(E212="","",IFERROR(INDEX(QB_DOMAIN,MATCH(E212,QB_ID,0)),""))</f>
        <v/>
      </c>
      <c r="H212" s="54" t="str">
        <f aca="false">IF(OR(A212="",E212=""),"",IFERROR(IF(ISNUMBER(MATCH(D212,{"Low","Medium","High"},0)),IF(MATCH(D212,{"Low","Medium","High"},0)&gt;=MATCH(INDEX(QB_MINTIER,MATCH(E212,QB_ID,0)),{"Low","Medium","High"},0),"Recommended for tier","Optional for tier"),"Tier not determined"),"Check question"))</f>
        <v/>
      </c>
      <c r="I212" s="34"/>
      <c r="J212" s="50"/>
      <c r="K212" s="34"/>
      <c r="L212" s="34"/>
      <c r="M212" s="62" t="str">
        <f aca="false">IF(L212="","",SUMPRODUCT(ISNUMBER(SEARCH(","&amp;EV_ID&amp;",",","&amp;SUBSTITUTE(L212," ","")&amp;","))*(EV_ID&lt;&gt;"")))</f>
        <v/>
      </c>
      <c r="N212" s="54" t="str">
        <f aca="false">IF(A212="","",IF(I212&lt;&gt;"Applicable",IF(I212="","Applicability not set","Not in scope ("&amp;I212&amp;")"),IF(OR(J212="",J212="Not answered"),"Awaiting supplier response",IF(J212="Not applicable","Supplier states not applicable - analyst to confirm",IF(L212="","Evidence insufficient - none referenced",IF(M212=0,"Evidence insufficient - referenced ID not found",IF(SUMPRODUCT(ISNUMBER(SEARCH(","&amp;EV_ID&amp;",",","&amp;SUBSTITUTE(L212," ","")&amp;","))*(EV_ID&lt;&gt;"")*(EV_SUFF="Sufficient"))&gt;0,"Evidence reviewed - sufficient",IF(SUMPRODUCT(ISNUMBER(SEARCH(","&amp;EV_ID&amp;",",","&amp;SUBSTITUTE(L212," ","")&amp;","))*(EV_ID&lt;&gt;"")*(EV_SUFF="Partially sufficient"))&gt;0,"Evidence partially sufficient","Evidence insufficient - referenced evidence not sufficient"))))))))</f>
        <v/>
      </c>
      <c r="O212" s="50"/>
      <c r="P212" s="34"/>
      <c r="Q212" s="34"/>
      <c r="R212" s="50"/>
      <c r="S212" s="51"/>
      <c r="T212" s="51"/>
      <c r="U212" s="52" t="str">
        <f aca="false">IF(OR(A212="",Q212=""),"",IF(AND(ISNUMBER(S212),S212&lt;AsOf,O212&lt;&gt;"Reviewed"),"Overdue",""))</f>
        <v/>
      </c>
      <c r="V212" s="54" t="str">
        <f aca="false">IF(A212="","",IF(COUNTIF(QA_ID,A212)&gt;1,"CHECK: duplicate ID",IF(B212="","CHECK: Supplier ID missing",IF(COUNTIF(INV_ID,B212)=0,"CHECK: Supplier ID not in inventory",IF(E212="","CHECK: Question ID missing",IF(COUNTIF(QB_ID,E212)=0,"CHECK: Question ID not in bank","OK"))))))</f>
        <v/>
      </c>
    </row>
    <row r="213" customFormat="false" ht="15" hidden="false" customHeight="false" outlineLevel="0" collapsed="false">
      <c r="A213" s="50"/>
      <c r="B213" s="50"/>
      <c r="C213" s="59" t="str">
        <f aca="false">IF(B213="","",IFERROR(INDEX(INV_NAME,MATCH(B213,INV_ID,0)),"CHECK: Supplier ID not found"))</f>
        <v/>
      </c>
      <c r="D213" s="63" t="str">
        <f aca="false">IF(B213="","",IFERROR(INDEX(INV_TIER,MATCH(B213,INV_ID,0)),""))</f>
        <v/>
      </c>
      <c r="E213" s="50"/>
      <c r="F213" s="59" t="str">
        <f aca="false">IF(E213="","",IFERROR(INDEX(QB_Q,MATCH(E213,QB_ID,0)),"CHECK: Question ID not found"))</f>
        <v/>
      </c>
      <c r="G213" s="59" t="str">
        <f aca="false">IF(E213="","",IFERROR(INDEX(QB_DOMAIN,MATCH(E213,QB_ID,0)),""))</f>
        <v/>
      </c>
      <c r="H213" s="54" t="str">
        <f aca="false">IF(OR(A213="",E213=""),"",IFERROR(IF(ISNUMBER(MATCH(D213,{"Low","Medium","High"},0)),IF(MATCH(D213,{"Low","Medium","High"},0)&gt;=MATCH(INDEX(QB_MINTIER,MATCH(E213,QB_ID,0)),{"Low","Medium","High"},0),"Recommended for tier","Optional for tier"),"Tier not determined"),"Check question"))</f>
        <v/>
      </c>
      <c r="I213" s="34"/>
      <c r="J213" s="50"/>
      <c r="K213" s="34"/>
      <c r="L213" s="34"/>
      <c r="M213" s="62" t="str">
        <f aca="false">IF(L213="","",SUMPRODUCT(ISNUMBER(SEARCH(","&amp;EV_ID&amp;",",","&amp;SUBSTITUTE(L213," ","")&amp;","))*(EV_ID&lt;&gt;"")))</f>
        <v/>
      </c>
      <c r="N213" s="54" t="str">
        <f aca="false">IF(A213="","",IF(I213&lt;&gt;"Applicable",IF(I213="","Applicability not set","Not in scope ("&amp;I213&amp;")"),IF(OR(J213="",J213="Not answered"),"Awaiting supplier response",IF(J213="Not applicable","Supplier states not applicable - analyst to confirm",IF(L213="","Evidence insufficient - none referenced",IF(M213=0,"Evidence insufficient - referenced ID not found",IF(SUMPRODUCT(ISNUMBER(SEARCH(","&amp;EV_ID&amp;",",","&amp;SUBSTITUTE(L213," ","")&amp;","))*(EV_ID&lt;&gt;"")*(EV_SUFF="Sufficient"))&gt;0,"Evidence reviewed - sufficient",IF(SUMPRODUCT(ISNUMBER(SEARCH(","&amp;EV_ID&amp;",",","&amp;SUBSTITUTE(L213," ","")&amp;","))*(EV_ID&lt;&gt;"")*(EV_SUFF="Partially sufficient"))&gt;0,"Evidence partially sufficient","Evidence insufficient - referenced evidence not sufficient"))))))))</f>
        <v/>
      </c>
      <c r="O213" s="50"/>
      <c r="P213" s="34"/>
      <c r="Q213" s="34"/>
      <c r="R213" s="50"/>
      <c r="S213" s="51"/>
      <c r="T213" s="51"/>
      <c r="U213" s="52" t="str">
        <f aca="false">IF(OR(A213="",Q213=""),"",IF(AND(ISNUMBER(S213),S213&lt;AsOf,O213&lt;&gt;"Reviewed"),"Overdue",""))</f>
        <v/>
      </c>
      <c r="V213" s="54" t="str">
        <f aca="false">IF(A213="","",IF(COUNTIF(QA_ID,A213)&gt;1,"CHECK: duplicate ID",IF(B213="","CHECK: Supplier ID missing",IF(COUNTIF(INV_ID,B213)=0,"CHECK: Supplier ID not in inventory",IF(E213="","CHECK: Question ID missing",IF(COUNTIF(QB_ID,E213)=0,"CHECK: Question ID not in bank","OK"))))))</f>
        <v/>
      </c>
    </row>
    <row r="214" customFormat="false" ht="15" hidden="false" customHeight="false" outlineLevel="0" collapsed="false">
      <c r="A214" s="50"/>
      <c r="B214" s="50"/>
      <c r="C214" s="59" t="str">
        <f aca="false">IF(B214="","",IFERROR(INDEX(INV_NAME,MATCH(B214,INV_ID,0)),"CHECK: Supplier ID not found"))</f>
        <v/>
      </c>
      <c r="D214" s="63" t="str">
        <f aca="false">IF(B214="","",IFERROR(INDEX(INV_TIER,MATCH(B214,INV_ID,0)),""))</f>
        <v/>
      </c>
      <c r="E214" s="50"/>
      <c r="F214" s="59" t="str">
        <f aca="false">IF(E214="","",IFERROR(INDEX(QB_Q,MATCH(E214,QB_ID,0)),"CHECK: Question ID not found"))</f>
        <v/>
      </c>
      <c r="G214" s="59" t="str">
        <f aca="false">IF(E214="","",IFERROR(INDEX(QB_DOMAIN,MATCH(E214,QB_ID,0)),""))</f>
        <v/>
      </c>
      <c r="H214" s="54" t="str">
        <f aca="false">IF(OR(A214="",E214=""),"",IFERROR(IF(ISNUMBER(MATCH(D214,{"Low","Medium","High"},0)),IF(MATCH(D214,{"Low","Medium","High"},0)&gt;=MATCH(INDEX(QB_MINTIER,MATCH(E214,QB_ID,0)),{"Low","Medium","High"},0),"Recommended for tier","Optional for tier"),"Tier not determined"),"Check question"))</f>
        <v/>
      </c>
      <c r="I214" s="34"/>
      <c r="J214" s="50"/>
      <c r="K214" s="34"/>
      <c r="L214" s="34"/>
      <c r="M214" s="62" t="str">
        <f aca="false">IF(L214="","",SUMPRODUCT(ISNUMBER(SEARCH(","&amp;EV_ID&amp;",",","&amp;SUBSTITUTE(L214," ","")&amp;","))*(EV_ID&lt;&gt;"")))</f>
        <v/>
      </c>
      <c r="N214" s="54" t="str">
        <f aca="false">IF(A214="","",IF(I214&lt;&gt;"Applicable",IF(I214="","Applicability not set","Not in scope ("&amp;I214&amp;")"),IF(OR(J214="",J214="Not answered"),"Awaiting supplier response",IF(J214="Not applicable","Supplier states not applicable - analyst to confirm",IF(L214="","Evidence insufficient - none referenced",IF(M214=0,"Evidence insufficient - referenced ID not found",IF(SUMPRODUCT(ISNUMBER(SEARCH(","&amp;EV_ID&amp;",",","&amp;SUBSTITUTE(L214," ","")&amp;","))*(EV_ID&lt;&gt;"")*(EV_SUFF="Sufficient"))&gt;0,"Evidence reviewed - sufficient",IF(SUMPRODUCT(ISNUMBER(SEARCH(","&amp;EV_ID&amp;",",","&amp;SUBSTITUTE(L214," ","")&amp;","))*(EV_ID&lt;&gt;"")*(EV_SUFF="Partially sufficient"))&gt;0,"Evidence partially sufficient","Evidence insufficient - referenced evidence not sufficient"))))))))</f>
        <v/>
      </c>
      <c r="O214" s="50"/>
      <c r="P214" s="34"/>
      <c r="Q214" s="34"/>
      <c r="R214" s="50"/>
      <c r="S214" s="51"/>
      <c r="T214" s="51"/>
      <c r="U214" s="52" t="str">
        <f aca="false">IF(OR(A214="",Q214=""),"",IF(AND(ISNUMBER(S214),S214&lt;AsOf,O214&lt;&gt;"Reviewed"),"Overdue",""))</f>
        <v/>
      </c>
      <c r="V214" s="54" t="str">
        <f aca="false">IF(A214="","",IF(COUNTIF(QA_ID,A214)&gt;1,"CHECK: duplicate ID",IF(B214="","CHECK: Supplier ID missing",IF(COUNTIF(INV_ID,B214)=0,"CHECK: Supplier ID not in inventory",IF(E214="","CHECK: Question ID missing",IF(COUNTIF(QB_ID,E214)=0,"CHECK: Question ID not in bank","OK"))))))</f>
        <v/>
      </c>
    </row>
    <row r="215" customFormat="false" ht="15" hidden="false" customHeight="false" outlineLevel="0" collapsed="false">
      <c r="A215" s="50"/>
      <c r="B215" s="50"/>
      <c r="C215" s="59" t="str">
        <f aca="false">IF(B215="","",IFERROR(INDEX(INV_NAME,MATCH(B215,INV_ID,0)),"CHECK: Supplier ID not found"))</f>
        <v/>
      </c>
      <c r="D215" s="63" t="str">
        <f aca="false">IF(B215="","",IFERROR(INDEX(INV_TIER,MATCH(B215,INV_ID,0)),""))</f>
        <v/>
      </c>
      <c r="E215" s="50"/>
      <c r="F215" s="59" t="str">
        <f aca="false">IF(E215="","",IFERROR(INDEX(QB_Q,MATCH(E215,QB_ID,0)),"CHECK: Question ID not found"))</f>
        <v/>
      </c>
      <c r="G215" s="59" t="str">
        <f aca="false">IF(E215="","",IFERROR(INDEX(QB_DOMAIN,MATCH(E215,QB_ID,0)),""))</f>
        <v/>
      </c>
      <c r="H215" s="54" t="str">
        <f aca="false">IF(OR(A215="",E215=""),"",IFERROR(IF(ISNUMBER(MATCH(D215,{"Low","Medium","High"},0)),IF(MATCH(D215,{"Low","Medium","High"},0)&gt;=MATCH(INDEX(QB_MINTIER,MATCH(E215,QB_ID,0)),{"Low","Medium","High"},0),"Recommended for tier","Optional for tier"),"Tier not determined"),"Check question"))</f>
        <v/>
      </c>
      <c r="I215" s="34"/>
      <c r="J215" s="50"/>
      <c r="K215" s="34"/>
      <c r="L215" s="34"/>
      <c r="M215" s="62" t="str">
        <f aca="false">IF(L215="","",SUMPRODUCT(ISNUMBER(SEARCH(","&amp;EV_ID&amp;",",","&amp;SUBSTITUTE(L215," ","")&amp;","))*(EV_ID&lt;&gt;"")))</f>
        <v/>
      </c>
      <c r="N215" s="54" t="str">
        <f aca="false">IF(A215="","",IF(I215&lt;&gt;"Applicable",IF(I215="","Applicability not set","Not in scope ("&amp;I215&amp;")"),IF(OR(J215="",J215="Not answered"),"Awaiting supplier response",IF(J215="Not applicable","Supplier states not applicable - analyst to confirm",IF(L215="","Evidence insufficient - none referenced",IF(M215=0,"Evidence insufficient - referenced ID not found",IF(SUMPRODUCT(ISNUMBER(SEARCH(","&amp;EV_ID&amp;",",","&amp;SUBSTITUTE(L215," ","")&amp;","))*(EV_ID&lt;&gt;"")*(EV_SUFF="Sufficient"))&gt;0,"Evidence reviewed - sufficient",IF(SUMPRODUCT(ISNUMBER(SEARCH(","&amp;EV_ID&amp;",",","&amp;SUBSTITUTE(L215," ","")&amp;","))*(EV_ID&lt;&gt;"")*(EV_SUFF="Partially sufficient"))&gt;0,"Evidence partially sufficient","Evidence insufficient - referenced evidence not sufficient"))))))))</f>
        <v/>
      </c>
      <c r="O215" s="50"/>
      <c r="P215" s="34"/>
      <c r="Q215" s="34"/>
      <c r="R215" s="50"/>
      <c r="S215" s="51"/>
      <c r="T215" s="51"/>
      <c r="U215" s="52" t="str">
        <f aca="false">IF(OR(A215="",Q215=""),"",IF(AND(ISNUMBER(S215),S215&lt;AsOf,O215&lt;&gt;"Reviewed"),"Overdue",""))</f>
        <v/>
      </c>
      <c r="V215" s="54" t="str">
        <f aca="false">IF(A215="","",IF(COUNTIF(QA_ID,A215)&gt;1,"CHECK: duplicate ID",IF(B215="","CHECK: Supplier ID missing",IF(COUNTIF(INV_ID,B215)=0,"CHECK: Supplier ID not in inventory",IF(E215="","CHECK: Question ID missing",IF(COUNTIF(QB_ID,E215)=0,"CHECK: Question ID not in bank","OK"))))))</f>
        <v/>
      </c>
    </row>
    <row r="216" customFormat="false" ht="15" hidden="false" customHeight="false" outlineLevel="0" collapsed="false">
      <c r="A216" s="50"/>
      <c r="B216" s="50"/>
      <c r="C216" s="59" t="str">
        <f aca="false">IF(B216="","",IFERROR(INDEX(INV_NAME,MATCH(B216,INV_ID,0)),"CHECK: Supplier ID not found"))</f>
        <v/>
      </c>
      <c r="D216" s="63" t="str">
        <f aca="false">IF(B216="","",IFERROR(INDEX(INV_TIER,MATCH(B216,INV_ID,0)),""))</f>
        <v/>
      </c>
      <c r="E216" s="50"/>
      <c r="F216" s="59" t="str">
        <f aca="false">IF(E216="","",IFERROR(INDEX(QB_Q,MATCH(E216,QB_ID,0)),"CHECK: Question ID not found"))</f>
        <v/>
      </c>
      <c r="G216" s="59" t="str">
        <f aca="false">IF(E216="","",IFERROR(INDEX(QB_DOMAIN,MATCH(E216,QB_ID,0)),""))</f>
        <v/>
      </c>
      <c r="H216" s="54" t="str">
        <f aca="false">IF(OR(A216="",E216=""),"",IFERROR(IF(ISNUMBER(MATCH(D216,{"Low","Medium","High"},0)),IF(MATCH(D216,{"Low","Medium","High"},0)&gt;=MATCH(INDEX(QB_MINTIER,MATCH(E216,QB_ID,0)),{"Low","Medium","High"},0),"Recommended for tier","Optional for tier"),"Tier not determined"),"Check question"))</f>
        <v/>
      </c>
      <c r="I216" s="34"/>
      <c r="J216" s="50"/>
      <c r="K216" s="34"/>
      <c r="L216" s="34"/>
      <c r="M216" s="62" t="str">
        <f aca="false">IF(L216="","",SUMPRODUCT(ISNUMBER(SEARCH(","&amp;EV_ID&amp;",",","&amp;SUBSTITUTE(L216," ","")&amp;","))*(EV_ID&lt;&gt;"")))</f>
        <v/>
      </c>
      <c r="N216" s="54" t="str">
        <f aca="false">IF(A216="","",IF(I216&lt;&gt;"Applicable",IF(I216="","Applicability not set","Not in scope ("&amp;I216&amp;")"),IF(OR(J216="",J216="Not answered"),"Awaiting supplier response",IF(J216="Not applicable","Supplier states not applicable - analyst to confirm",IF(L216="","Evidence insufficient - none referenced",IF(M216=0,"Evidence insufficient - referenced ID not found",IF(SUMPRODUCT(ISNUMBER(SEARCH(","&amp;EV_ID&amp;",",","&amp;SUBSTITUTE(L216," ","")&amp;","))*(EV_ID&lt;&gt;"")*(EV_SUFF="Sufficient"))&gt;0,"Evidence reviewed - sufficient",IF(SUMPRODUCT(ISNUMBER(SEARCH(","&amp;EV_ID&amp;",",","&amp;SUBSTITUTE(L216," ","")&amp;","))*(EV_ID&lt;&gt;"")*(EV_SUFF="Partially sufficient"))&gt;0,"Evidence partially sufficient","Evidence insufficient - referenced evidence not sufficient"))))))))</f>
        <v/>
      </c>
      <c r="O216" s="50"/>
      <c r="P216" s="34"/>
      <c r="Q216" s="34"/>
      <c r="R216" s="50"/>
      <c r="S216" s="51"/>
      <c r="T216" s="51"/>
      <c r="U216" s="52" t="str">
        <f aca="false">IF(OR(A216="",Q216=""),"",IF(AND(ISNUMBER(S216),S216&lt;AsOf,O216&lt;&gt;"Reviewed"),"Overdue",""))</f>
        <v/>
      </c>
      <c r="V216" s="54" t="str">
        <f aca="false">IF(A216="","",IF(COUNTIF(QA_ID,A216)&gt;1,"CHECK: duplicate ID",IF(B216="","CHECK: Supplier ID missing",IF(COUNTIF(INV_ID,B216)=0,"CHECK: Supplier ID not in inventory",IF(E216="","CHECK: Question ID missing",IF(COUNTIF(QB_ID,E216)=0,"CHECK: Question ID not in bank","OK"))))))</f>
        <v/>
      </c>
    </row>
    <row r="217" customFormat="false" ht="15" hidden="false" customHeight="false" outlineLevel="0" collapsed="false">
      <c r="A217" s="50"/>
      <c r="B217" s="50"/>
      <c r="C217" s="59" t="str">
        <f aca="false">IF(B217="","",IFERROR(INDEX(INV_NAME,MATCH(B217,INV_ID,0)),"CHECK: Supplier ID not found"))</f>
        <v/>
      </c>
      <c r="D217" s="63" t="str">
        <f aca="false">IF(B217="","",IFERROR(INDEX(INV_TIER,MATCH(B217,INV_ID,0)),""))</f>
        <v/>
      </c>
      <c r="E217" s="50"/>
      <c r="F217" s="59" t="str">
        <f aca="false">IF(E217="","",IFERROR(INDEX(QB_Q,MATCH(E217,QB_ID,0)),"CHECK: Question ID not found"))</f>
        <v/>
      </c>
      <c r="G217" s="59" t="str">
        <f aca="false">IF(E217="","",IFERROR(INDEX(QB_DOMAIN,MATCH(E217,QB_ID,0)),""))</f>
        <v/>
      </c>
      <c r="H217" s="54" t="str">
        <f aca="false">IF(OR(A217="",E217=""),"",IFERROR(IF(ISNUMBER(MATCH(D217,{"Low","Medium","High"},0)),IF(MATCH(D217,{"Low","Medium","High"},0)&gt;=MATCH(INDEX(QB_MINTIER,MATCH(E217,QB_ID,0)),{"Low","Medium","High"},0),"Recommended for tier","Optional for tier"),"Tier not determined"),"Check question"))</f>
        <v/>
      </c>
      <c r="I217" s="34"/>
      <c r="J217" s="50"/>
      <c r="K217" s="34"/>
      <c r="L217" s="34"/>
      <c r="M217" s="62" t="str">
        <f aca="false">IF(L217="","",SUMPRODUCT(ISNUMBER(SEARCH(","&amp;EV_ID&amp;",",","&amp;SUBSTITUTE(L217," ","")&amp;","))*(EV_ID&lt;&gt;"")))</f>
        <v/>
      </c>
      <c r="N217" s="54" t="str">
        <f aca="false">IF(A217="","",IF(I217&lt;&gt;"Applicable",IF(I217="","Applicability not set","Not in scope ("&amp;I217&amp;")"),IF(OR(J217="",J217="Not answered"),"Awaiting supplier response",IF(J217="Not applicable","Supplier states not applicable - analyst to confirm",IF(L217="","Evidence insufficient - none referenced",IF(M217=0,"Evidence insufficient - referenced ID not found",IF(SUMPRODUCT(ISNUMBER(SEARCH(","&amp;EV_ID&amp;",",","&amp;SUBSTITUTE(L217," ","")&amp;","))*(EV_ID&lt;&gt;"")*(EV_SUFF="Sufficient"))&gt;0,"Evidence reviewed - sufficient",IF(SUMPRODUCT(ISNUMBER(SEARCH(","&amp;EV_ID&amp;",",","&amp;SUBSTITUTE(L217," ","")&amp;","))*(EV_ID&lt;&gt;"")*(EV_SUFF="Partially sufficient"))&gt;0,"Evidence partially sufficient","Evidence insufficient - referenced evidence not sufficient"))))))))</f>
        <v/>
      </c>
      <c r="O217" s="50"/>
      <c r="P217" s="34"/>
      <c r="Q217" s="34"/>
      <c r="R217" s="50"/>
      <c r="S217" s="51"/>
      <c r="T217" s="51"/>
      <c r="U217" s="52" t="str">
        <f aca="false">IF(OR(A217="",Q217=""),"",IF(AND(ISNUMBER(S217),S217&lt;AsOf,O217&lt;&gt;"Reviewed"),"Overdue",""))</f>
        <v/>
      </c>
      <c r="V217" s="54" t="str">
        <f aca="false">IF(A217="","",IF(COUNTIF(QA_ID,A217)&gt;1,"CHECK: duplicate ID",IF(B217="","CHECK: Supplier ID missing",IF(COUNTIF(INV_ID,B217)=0,"CHECK: Supplier ID not in inventory",IF(E217="","CHECK: Question ID missing",IF(COUNTIF(QB_ID,E217)=0,"CHECK: Question ID not in bank","OK"))))))</f>
        <v/>
      </c>
    </row>
    <row r="218" customFormat="false" ht="15" hidden="false" customHeight="false" outlineLevel="0" collapsed="false">
      <c r="A218" s="50"/>
      <c r="B218" s="50"/>
      <c r="C218" s="59" t="str">
        <f aca="false">IF(B218="","",IFERROR(INDEX(INV_NAME,MATCH(B218,INV_ID,0)),"CHECK: Supplier ID not found"))</f>
        <v/>
      </c>
      <c r="D218" s="63" t="str">
        <f aca="false">IF(B218="","",IFERROR(INDEX(INV_TIER,MATCH(B218,INV_ID,0)),""))</f>
        <v/>
      </c>
      <c r="E218" s="50"/>
      <c r="F218" s="59" t="str">
        <f aca="false">IF(E218="","",IFERROR(INDEX(QB_Q,MATCH(E218,QB_ID,0)),"CHECK: Question ID not found"))</f>
        <v/>
      </c>
      <c r="G218" s="59" t="str">
        <f aca="false">IF(E218="","",IFERROR(INDEX(QB_DOMAIN,MATCH(E218,QB_ID,0)),""))</f>
        <v/>
      </c>
      <c r="H218" s="54" t="str">
        <f aca="false">IF(OR(A218="",E218=""),"",IFERROR(IF(ISNUMBER(MATCH(D218,{"Low","Medium","High"},0)),IF(MATCH(D218,{"Low","Medium","High"},0)&gt;=MATCH(INDEX(QB_MINTIER,MATCH(E218,QB_ID,0)),{"Low","Medium","High"},0),"Recommended for tier","Optional for tier"),"Tier not determined"),"Check question"))</f>
        <v/>
      </c>
      <c r="I218" s="34"/>
      <c r="J218" s="50"/>
      <c r="K218" s="34"/>
      <c r="L218" s="34"/>
      <c r="M218" s="62" t="str">
        <f aca="false">IF(L218="","",SUMPRODUCT(ISNUMBER(SEARCH(","&amp;EV_ID&amp;",",","&amp;SUBSTITUTE(L218," ","")&amp;","))*(EV_ID&lt;&gt;"")))</f>
        <v/>
      </c>
      <c r="N218" s="54" t="str">
        <f aca="false">IF(A218="","",IF(I218&lt;&gt;"Applicable",IF(I218="","Applicability not set","Not in scope ("&amp;I218&amp;")"),IF(OR(J218="",J218="Not answered"),"Awaiting supplier response",IF(J218="Not applicable","Supplier states not applicable - analyst to confirm",IF(L218="","Evidence insufficient - none referenced",IF(M218=0,"Evidence insufficient - referenced ID not found",IF(SUMPRODUCT(ISNUMBER(SEARCH(","&amp;EV_ID&amp;",",","&amp;SUBSTITUTE(L218," ","")&amp;","))*(EV_ID&lt;&gt;"")*(EV_SUFF="Sufficient"))&gt;0,"Evidence reviewed - sufficient",IF(SUMPRODUCT(ISNUMBER(SEARCH(","&amp;EV_ID&amp;",",","&amp;SUBSTITUTE(L218," ","")&amp;","))*(EV_ID&lt;&gt;"")*(EV_SUFF="Partially sufficient"))&gt;0,"Evidence partially sufficient","Evidence insufficient - referenced evidence not sufficient"))))))))</f>
        <v/>
      </c>
      <c r="O218" s="50"/>
      <c r="P218" s="34"/>
      <c r="Q218" s="34"/>
      <c r="R218" s="50"/>
      <c r="S218" s="51"/>
      <c r="T218" s="51"/>
      <c r="U218" s="52" t="str">
        <f aca="false">IF(OR(A218="",Q218=""),"",IF(AND(ISNUMBER(S218),S218&lt;AsOf,O218&lt;&gt;"Reviewed"),"Overdue",""))</f>
        <v/>
      </c>
      <c r="V218" s="54" t="str">
        <f aca="false">IF(A218="","",IF(COUNTIF(QA_ID,A218)&gt;1,"CHECK: duplicate ID",IF(B218="","CHECK: Supplier ID missing",IF(COUNTIF(INV_ID,B218)=0,"CHECK: Supplier ID not in inventory",IF(E218="","CHECK: Question ID missing",IF(COUNTIF(QB_ID,E218)=0,"CHECK: Question ID not in bank","OK"))))))</f>
        <v/>
      </c>
    </row>
    <row r="219" customFormat="false" ht="15" hidden="false" customHeight="false" outlineLevel="0" collapsed="false">
      <c r="A219" s="50"/>
      <c r="B219" s="50"/>
      <c r="C219" s="59" t="str">
        <f aca="false">IF(B219="","",IFERROR(INDEX(INV_NAME,MATCH(B219,INV_ID,0)),"CHECK: Supplier ID not found"))</f>
        <v/>
      </c>
      <c r="D219" s="63" t="str">
        <f aca="false">IF(B219="","",IFERROR(INDEX(INV_TIER,MATCH(B219,INV_ID,0)),""))</f>
        <v/>
      </c>
      <c r="E219" s="50"/>
      <c r="F219" s="59" t="str">
        <f aca="false">IF(E219="","",IFERROR(INDEX(QB_Q,MATCH(E219,QB_ID,0)),"CHECK: Question ID not found"))</f>
        <v/>
      </c>
      <c r="G219" s="59" t="str">
        <f aca="false">IF(E219="","",IFERROR(INDEX(QB_DOMAIN,MATCH(E219,QB_ID,0)),""))</f>
        <v/>
      </c>
      <c r="H219" s="54" t="str">
        <f aca="false">IF(OR(A219="",E219=""),"",IFERROR(IF(ISNUMBER(MATCH(D219,{"Low","Medium","High"},0)),IF(MATCH(D219,{"Low","Medium","High"},0)&gt;=MATCH(INDEX(QB_MINTIER,MATCH(E219,QB_ID,0)),{"Low","Medium","High"},0),"Recommended for tier","Optional for tier"),"Tier not determined"),"Check question"))</f>
        <v/>
      </c>
      <c r="I219" s="34"/>
      <c r="J219" s="50"/>
      <c r="K219" s="34"/>
      <c r="L219" s="34"/>
      <c r="M219" s="62" t="str">
        <f aca="false">IF(L219="","",SUMPRODUCT(ISNUMBER(SEARCH(","&amp;EV_ID&amp;",",","&amp;SUBSTITUTE(L219," ","")&amp;","))*(EV_ID&lt;&gt;"")))</f>
        <v/>
      </c>
      <c r="N219" s="54" t="str">
        <f aca="false">IF(A219="","",IF(I219&lt;&gt;"Applicable",IF(I219="","Applicability not set","Not in scope ("&amp;I219&amp;")"),IF(OR(J219="",J219="Not answered"),"Awaiting supplier response",IF(J219="Not applicable","Supplier states not applicable - analyst to confirm",IF(L219="","Evidence insufficient - none referenced",IF(M219=0,"Evidence insufficient - referenced ID not found",IF(SUMPRODUCT(ISNUMBER(SEARCH(","&amp;EV_ID&amp;",",","&amp;SUBSTITUTE(L219," ","")&amp;","))*(EV_ID&lt;&gt;"")*(EV_SUFF="Sufficient"))&gt;0,"Evidence reviewed - sufficient",IF(SUMPRODUCT(ISNUMBER(SEARCH(","&amp;EV_ID&amp;",",","&amp;SUBSTITUTE(L219," ","")&amp;","))*(EV_ID&lt;&gt;"")*(EV_SUFF="Partially sufficient"))&gt;0,"Evidence partially sufficient","Evidence insufficient - referenced evidence not sufficient"))))))))</f>
        <v/>
      </c>
      <c r="O219" s="50"/>
      <c r="P219" s="34"/>
      <c r="Q219" s="34"/>
      <c r="R219" s="50"/>
      <c r="S219" s="51"/>
      <c r="T219" s="51"/>
      <c r="U219" s="52" t="str">
        <f aca="false">IF(OR(A219="",Q219=""),"",IF(AND(ISNUMBER(S219),S219&lt;AsOf,O219&lt;&gt;"Reviewed"),"Overdue",""))</f>
        <v/>
      </c>
      <c r="V219" s="54" t="str">
        <f aca="false">IF(A219="","",IF(COUNTIF(QA_ID,A219)&gt;1,"CHECK: duplicate ID",IF(B219="","CHECK: Supplier ID missing",IF(COUNTIF(INV_ID,B219)=0,"CHECK: Supplier ID not in inventory",IF(E219="","CHECK: Question ID missing",IF(COUNTIF(QB_ID,E219)=0,"CHECK: Question ID not in bank","OK"))))))</f>
        <v/>
      </c>
    </row>
    <row r="220" customFormat="false" ht="15" hidden="false" customHeight="false" outlineLevel="0" collapsed="false">
      <c r="A220" s="50"/>
      <c r="B220" s="50"/>
      <c r="C220" s="59" t="str">
        <f aca="false">IF(B220="","",IFERROR(INDEX(INV_NAME,MATCH(B220,INV_ID,0)),"CHECK: Supplier ID not found"))</f>
        <v/>
      </c>
      <c r="D220" s="63" t="str">
        <f aca="false">IF(B220="","",IFERROR(INDEX(INV_TIER,MATCH(B220,INV_ID,0)),""))</f>
        <v/>
      </c>
      <c r="E220" s="50"/>
      <c r="F220" s="59" t="str">
        <f aca="false">IF(E220="","",IFERROR(INDEX(QB_Q,MATCH(E220,QB_ID,0)),"CHECK: Question ID not found"))</f>
        <v/>
      </c>
      <c r="G220" s="59" t="str">
        <f aca="false">IF(E220="","",IFERROR(INDEX(QB_DOMAIN,MATCH(E220,QB_ID,0)),""))</f>
        <v/>
      </c>
      <c r="H220" s="54" t="str">
        <f aca="false">IF(OR(A220="",E220=""),"",IFERROR(IF(ISNUMBER(MATCH(D220,{"Low","Medium","High"},0)),IF(MATCH(D220,{"Low","Medium","High"},0)&gt;=MATCH(INDEX(QB_MINTIER,MATCH(E220,QB_ID,0)),{"Low","Medium","High"},0),"Recommended for tier","Optional for tier"),"Tier not determined"),"Check question"))</f>
        <v/>
      </c>
      <c r="I220" s="34"/>
      <c r="J220" s="50"/>
      <c r="K220" s="34"/>
      <c r="L220" s="34"/>
      <c r="M220" s="62" t="str">
        <f aca="false">IF(L220="","",SUMPRODUCT(ISNUMBER(SEARCH(","&amp;EV_ID&amp;",",","&amp;SUBSTITUTE(L220," ","")&amp;","))*(EV_ID&lt;&gt;"")))</f>
        <v/>
      </c>
      <c r="N220" s="54" t="str">
        <f aca="false">IF(A220="","",IF(I220&lt;&gt;"Applicable",IF(I220="","Applicability not set","Not in scope ("&amp;I220&amp;")"),IF(OR(J220="",J220="Not answered"),"Awaiting supplier response",IF(J220="Not applicable","Supplier states not applicable - analyst to confirm",IF(L220="","Evidence insufficient - none referenced",IF(M220=0,"Evidence insufficient - referenced ID not found",IF(SUMPRODUCT(ISNUMBER(SEARCH(","&amp;EV_ID&amp;",",","&amp;SUBSTITUTE(L220," ","")&amp;","))*(EV_ID&lt;&gt;"")*(EV_SUFF="Sufficient"))&gt;0,"Evidence reviewed - sufficient",IF(SUMPRODUCT(ISNUMBER(SEARCH(","&amp;EV_ID&amp;",",","&amp;SUBSTITUTE(L220," ","")&amp;","))*(EV_ID&lt;&gt;"")*(EV_SUFF="Partially sufficient"))&gt;0,"Evidence partially sufficient","Evidence insufficient - referenced evidence not sufficient"))))))))</f>
        <v/>
      </c>
      <c r="O220" s="50"/>
      <c r="P220" s="34"/>
      <c r="Q220" s="34"/>
      <c r="R220" s="50"/>
      <c r="S220" s="51"/>
      <c r="T220" s="51"/>
      <c r="U220" s="52" t="str">
        <f aca="false">IF(OR(A220="",Q220=""),"",IF(AND(ISNUMBER(S220),S220&lt;AsOf,O220&lt;&gt;"Reviewed"),"Overdue",""))</f>
        <v/>
      </c>
      <c r="V220" s="54" t="str">
        <f aca="false">IF(A220="","",IF(COUNTIF(QA_ID,A220)&gt;1,"CHECK: duplicate ID",IF(B220="","CHECK: Supplier ID missing",IF(COUNTIF(INV_ID,B220)=0,"CHECK: Supplier ID not in inventory",IF(E220="","CHECK: Question ID missing",IF(COUNTIF(QB_ID,E220)=0,"CHECK: Question ID not in bank","OK"))))))</f>
        <v/>
      </c>
    </row>
    <row r="221" customFormat="false" ht="15" hidden="false" customHeight="false" outlineLevel="0" collapsed="false">
      <c r="A221" s="50"/>
      <c r="B221" s="50"/>
      <c r="C221" s="59" t="str">
        <f aca="false">IF(B221="","",IFERROR(INDEX(INV_NAME,MATCH(B221,INV_ID,0)),"CHECK: Supplier ID not found"))</f>
        <v/>
      </c>
      <c r="D221" s="63" t="str">
        <f aca="false">IF(B221="","",IFERROR(INDEX(INV_TIER,MATCH(B221,INV_ID,0)),""))</f>
        <v/>
      </c>
      <c r="E221" s="50"/>
      <c r="F221" s="59" t="str">
        <f aca="false">IF(E221="","",IFERROR(INDEX(QB_Q,MATCH(E221,QB_ID,0)),"CHECK: Question ID not found"))</f>
        <v/>
      </c>
      <c r="G221" s="59" t="str">
        <f aca="false">IF(E221="","",IFERROR(INDEX(QB_DOMAIN,MATCH(E221,QB_ID,0)),""))</f>
        <v/>
      </c>
      <c r="H221" s="54" t="str">
        <f aca="false">IF(OR(A221="",E221=""),"",IFERROR(IF(ISNUMBER(MATCH(D221,{"Low","Medium","High"},0)),IF(MATCH(D221,{"Low","Medium","High"},0)&gt;=MATCH(INDEX(QB_MINTIER,MATCH(E221,QB_ID,0)),{"Low","Medium","High"},0),"Recommended for tier","Optional for tier"),"Tier not determined"),"Check question"))</f>
        <v/>
      </c>
      <c r="I221" s="34"/>
      <c r="J221" s="50"/>
      <c r="K221" s="34"/>
      <c r="L221" s="34"/>
      <c r="M221" s="62" t="str">
        <f aca="false">IF(L221="","",SUMPRODUCT(ISNUMBER(SEARCH(","&amp;EV_ID&amp;",",","&amp;SUBSTITUTE(L221," ","")&amp;","))*(EV_ID&lt;&gt;"")))</f>
        <v/>
      </c>
      <c r="N221" s="54" t="str">
        <f aca="false">IF(A221="","",IF(I221&lt;&gt;"Applicable",IF(I221="","Applicability not set","Not in scope ("&amp;I221&amp;")"),IF(OR(J221="",J221="Not answered"),"Awaiting supplier response",IF(J221="Not applicable","Supplier states not applicable - analyst to confirm",IF(L221="","Evidence insufficient - none referenced",IF(M221=0,"Evidence insufficient - referenced ID not found",IF(SUMPRODUCT(ISNUMBER(SEARCH(","&amp;EV_ID&amp;",",","&amp;SUBSTITUTE(L221," ","")&amp;","))*(EV_ID&lt;&gt;"")*(EV_SUFF="Sufficient"))&gt;0,"Evidence reviewed - sufficient",IF(SUMPRODUCT(ISNUMBER(SEARCH(","&amp;EV_ID&amp;",",","&amp;SUBSTITUTE(L221," ","")&amp;","))*(EV_ID&lt;&gt;"")*(EV_SUFF="Partially sufficient"))&gt;0,"Evidence partially sufficient","Evidence insufficient - referenced evidence not sufficient"))))))))</f>
        <v/>
      </c>
      <c r="O221" s="50"/>
      <c r="P221" s="34"/>
      <c r="Q221" s="34"/>
      <c r="R221" s="50"/>
      <c r="S221" s="51"/>
      <c r="T221" s="51"/>
      <c r="U221" s="52" t="str">
        <f aca="false">IF(OR(A221="",Q221=""),"",IF(AND(ISNUMBER(S221),S221&lt;AsOf,O221&lt;&gt;"Reviewed"),"Overdue",""))</f>
        <v/>
      </c>
      <c r="V221" s="54" t="str">
        <f aca="false">IF(A221="","",IF(COUNTIF(QA_ID,A221)&gt;1,"CHECK: duplicate ID",IF(B221="","CHECK: Supplier ID missing",IF(COUNTIF(INV_ID,B221)=0,"CHECK: Supplier ID not in inventory",IF(E221="","CHECK: Question ID missing",IF(COUNTIF(QB_ID,E221)=0,"CHECK: Question ID not in bank","OK"))))))</f>
        <v/>
      </c>
    </row>
    <row r="222" customFormat="false" ht="15" hidden="false" customHeight="false" outlineLevel="0" collapsed="false">
      <c r="A222" s="50"/>
      <c r="B222" s="50"/>
      <c r="C222" s="59" t="str">
        <f aca="false">IF(B222="","",IFERROR(INDEX(INV_NAME,MATCH(B222,INV_ID,0)),"CHECK: Supplier ID not found"))</f>
        <v/>
      </c>
      <c r="D222" s="63" t="str">
        <f aca="false">IF(B222="","",IFERROR(INDEX(INV_TIER,MATCH(B222,INV_ID,0)),""))</f>
        <v/>
      </c>
      <c r="E222" s="50"/>
      <c r="F222" s="59" t="str">
        <f aca="false">IF(E222="","",IFERROR(INDEX(QB_Q,MATCH(E222,QB_ID,0)),"CHECK: Question ID not found"))</f>
        <v/>
      </c>
      <c r="G222" s="59" t="str">
        <f aca="false">IF(E222="","",IFERROR(INDEX(QB_DOMAIN,MATCH(E222,QB_ID,0)),""))</f>
        <v/>
      </c>
      <c r="H222" s="54" t="str">
        <f aca="false">IF(OR(A222="",E222=""),"",IFERROR(IF(ISNUMBER(MATCH(D222,{"Low","Medium","High"},0)),IF(MATCH(D222,{"Low","Medium","High"},0)&gt;=MATCH(INDEX(QB_MINTIER,MATCH(E222,QB_ID,0)),{"Low","Medium","High"},0),"Recommended for tier","Optional for tier"),"Tier not determined"),"Check question"))</f>
        <v/>
      </c>
      <c r="I222" s="34"/>
      <c r="J222" s="50"/>
      <c r="K222" s="34"/>
      <c r="L222" s="34"/>
      <c r="M222" s="62" t="str">
        <f aca="false">IF(L222="","",SUMPRODUCT(ISNUMBER(SEARCH(","&amp;EV_ID&amp;",",","&amp;SUBSTITUTE(L222," ","")&amp;","))*(EV_ID&lt;&gt;"")))</f>
        <v/>
      </c>
      <c r="N222" s="54" t="str">
        <f aca="false">IF(A222="","",IF(I222&lt;&gt;"Applicable",IF(I222="","Applicability not set","Not in scope ("&amp;I222&amp;")"),IF(OR(J222="",J222="Not answered"),"Awaiting supplier response",IF(J222="Not applicable","Supplier states not applicable - analyst to confirm",IF(L222="","Evidence insufficient - none referenced",IF(M222=0,"Evidence insufficient - referenced ID not found",IF(SUMPRODUCT(ISNUMBER(SEARCH(","&amp;EV_ID&amp;",",","&amp;SUBSTITUTE(L222," ","")&amp;","))*(EV_ID&lt;&gt;"")*(EV_SUFF="Sufficient"))&gt;0,"Evidence reviewed - sufficient",IF(SUMPRODUCT(ISNUMBER(SEARCH(","&amp;EV_ID&amp;",",","&amp;SUBSTITUTE(L222," ","")&amp;","))*(EV_ID&lt;&gt;"")*(EV_SUFF="Partially sufficient"))&gt;0,"Evidence partially sufficient","Evidence insufficient - referenced evidence not sufficient"))))))))</f>
        <v/>
      </c>
      <c r="O222" s="50"/>
      <c r="P222" s="34"/>
      <c r="Q222" s="34"/>
      <c r="R222" s="50"/>
      <c r="S222" s="51"/>
      <c r="T222" s="51"/>
      <c r="U222" s="52" t="str">
        <f aca="false">IF(OR(A222="",Q222=""),"",IF(AND(ISNUMBER(S222),S222&lt;AsOf,O222&lt;&gt;"Reviewed"),"Overdue",""))</f>
        <v/>
      </c>
      <c r="V222" s="54" t="str">
        <f aca="false">IF(A222="","",IF(COUNTIF(QA_ID,A222)&gt;1,"CHECK: duplicate ID",IF(B222="","CHECK: Supplier ID missing",IF(COUNTIF(INV_ID,B222)=0,"CHECK: Supplier ID not in inventory",IF(E222="","CHECK: Question ID missing",IF(COUNTIF(QB_ID,E222)=0,"CHECK: Question ID not in bank","OK"))))))</f>
        <v/>
      </c>
    </row>
    <row r="223" customFormat="false" ht="15" hidden="false" customHeight="false" outlineLevel="0" collapsed="false">
      <c r="A223" s="50"/>
      <c r="B223" s="50"/>
      <c r="C223" s="59" t="str">
        <f aca="false">IF(B223="","",IFERROR(INDEX(INV_NAME,MATCH(B223,INV_ID,0)),"CHECK: Supplier ID not found"))</f>
        <v/>
      </c>
      <c r="D223" s="63" t="str">
        <f aca="false">IF(B223="","",IFERROR(INDEX(INV_TIER,MATCH(B223,INV_ID,0)),""))</f>
        <v/>
      </c>
      <c r="E223" s="50"/>
      <c r="F223" s="59" t="str">
        <f aca="false">IF(E223="","",IFERROR(INDEX(QB_Q,MATCH(E223,QB_ID,0)),"CHECK: Question ID not found"))</f>
        <v/>
      </c>
      <c r="G223" s="59" t="str">
        <f aca="false">IF(E223="","",IFERROR(INDEX(QB_DOMAIN,MATCH(E223,QB_ID,0)),""))</f>
        <v/>
      </c>
      <c r="H223" s="54" t="str">
        <f aca="false">IF(OR(A223="",E223=""),"",IFERROR(IF(ISNUMBER(MATCH(D223,{"Low","Medium","High"},0)),IF(MATCH(D223,{"Low","Medium","High"},0)&gt;=MATCH(INDEX(QB_MINTIER,MATCH(E223,QB_ID,0)),{"Low","Medium","High"},0),"Recommended for tier","Optional for tier"),"Tier not determined"),"Check question"))</f>
        <v/>
      </c>
      <c r="I223" s="34"/>
      <c r="J223" s="50"/>
      <c r="K223" s="34"/>
      <c r="L223" s="34"/>
      <c r="M223" s="62" t="str">
        <f aca="false">IF(L223="","",SUMPRODUCT(ISNUMBER(SEARCH(","&amp;EV_ID&amp;",",","&amp;SUBSTITUTE(L223," ","")&amp;","))*(EV_ID&lt;&gt;"")))</f>
        <v/>
      </c>
      <c r="N223" s="54" t="str">
        <f aca="false">IF(A223="","",IF(I223&lt;&gt;"Applicable",IF(I223="","Applicability not set","Not in scope ("&amp;I223&amp;")"),IF(OR(J223="",J223="Not answered"),"Awaiting supplier response",IF(J223="Not applicable","Supplier states not applicable - analyst to confirm",IF(L223="","Evidence insufficient - none referenced",IF(M223=0,"Evidence insufficient - referenced ID not found",IF(SUMPRODUCT(ISNUMBER(SEARCH(","&amp;EV_ID&amp;",",","&amp;SUBSTITUTE(L223," ","")&amp;","))*(EV_ID&lt;&gt;"")*(EV_SUFF="Sufficient"))&gt;0,"Evidence reviewed - sufficient",IF(SUMPRODUCT(ISNUMBER(SEARCH(","&amp;EV_ID&amp;",",","&amp;SUBSTITUTE(L223," ","")&amp;","))*(EV_ID&lt;&gt;"")*(EV_SUFF="Partially sufficient"))&gt;0,"Evidence partially sufficient","Evidence insufficient - referenced evidence not sufficient"))))))))</f>
        <v/>
      </c>
      <c r="O223" s="50"/>
      <c r="P223" s="34"/>
      <c r="Q223" s="34"/>
      <c r="R223" s="50"/>
      <c r="S223" s="51"/>
      <c r="T223" s="51"/>
      <c r="U223" s="52" t="str">
        <f aca="false">IF(OR(A223="",Q223=""),"",IF(AND(ISNUMBER(S223),S223&lt;AsOf,O223&lt;&gt;"Reviewed"),"Overdue",""))</f>
        <v/>
      </c>
      <c r="V223" s="54" t="str">
        <f aca="false">IF(A223="","",IF(COUNTIF(QA_ID,A223)&gt;1,"CHECK: duplicate ID",IF(B223="","CHECK: Supplier ID missing",IF(COUNTIF(INV_ID,B223)=0,"CHECK: Supplier ID not in inventory",IF(E223="","CHECK: Question ID missing",IF(COUNTIF(QB_ID,E223)=0,"CHECK: Question ID not in bank","OK"))))))</f>
        <v/>
      </c>
    </row>
    <row r="224" customFormat="false" ht="15" hidden="false" customHeight="false" outlineLevel="0" collapsed="false">
      <c r="A224" s="50"/>
      <c r="B224" s="50"/>
      <c r="C224" s="59" t="str">
        <f aca="false">IF(B224="","",IFERROR(INDEX(INV_NAME,MATCH(B224,INV_ID,0)),"CHECK: Supplier ID not found"))</f>
        <v/>
      </c>
      <c r="D224" s="63" t="str">
        <f aca="false">IF(B224="","",IFERROR(INDEX(INV_TIER,MATCH(B224,INV_ID,0)),""))</f>
        <v/>
      </c>
      <c r="E224" s="50"/>
      <c r="F224" s="59" t="str">
        <f aca="false">IF(E224="","",IFERROR(INDEX(QB_Q,MATCH(E224,QB_ID,0)),"CHECK: Question ID not found"))</f>
        <v/>
      </c>
      <c r="G224" s="59" t="str">
        <f aca="false">IF(E224="","",IFERROR(INDEX(QB_DOMAIN,MATCH(E224,QB_ID,0)),""))</f>
        <v/>
      </c>
      <c r="H224" s="54" t="str">
        <f aca="false">IF(OR(A224="",E224=""),"",IFERROR(IF(ISNUMBER(MATCH(D224,{"Low","Medium","High"},0)),IF(MATCH(D224,{"Low","Medium","High"},0)&gt;=MATCH(INDEX(QB_MINTIER,MATCH(E224,QB_ID,0)),{"Low","Medium","High"},0),"Recommended for tier","Optional for tier"),"Tier not determined"),"Check question"))</f>
        <v/>
      </c>
      <c r="I224" s="34"/>
      <c r="J224" s="50"/>
      <c r="K224" s="34"/>
      <c r="L224" s="34"/>
      <c r="M224" s="62" t="str">
        <f aca="false">IF(L224="","",SUMPRODUCT(ISNUMBER(SEARCH(","&amp;EV_ID&amp;",",","&amp;SUBSTITUTE(L224," ","")&amp;","))*(EV_ID&lt;&gt;"")))</f>
        <v/>
      </c>
      <c r="N224" s="54" t="str">
        <f aca="false">IF(A224="","",IF(I224&lt;&gt;"Applicable",IF(I224="","Applicability not set","Not in scope ("&amp;I224&amp;")"),IF(OR(J224="",J224="Not answered"),"Awaiting supplier response",IF(J224="Not applicable","Supplier states not applicable - analyst to confirm",IF(L224="","Evidence insufficient - none referenced",IF(M224=0,"Evidence insufficient - referenced ID not found",IF(SUMPRODUCT(ISNUMBER(SEARCH(","&amp;EV_ID&amp;",",","&amp;SUBSTITUTE(L224," ","")&amp;","))*(EV_ID&lt;&gt;"")*(EV_SUFF="Sufficient"))&gt;0,"Evidence reviewed - sufficient",IF(SUMPRODUCT(ISNUMBER(SEARCH(","&amp;EV_ID&amp;",",","&amp;SUBSTITUTE(L224," ","")&amp;","))*(EV_ID&lt;&gt;"")*(EV_SUFF="Partially sufficient"))&gt;0,"Evidence partially sufficient","Evidence insufficient - referenced evidence not sufficient"))))))))</f>
        <v/>
      </c>
      <c r="O224" s="50"/>
      <c r="P224" s="34"/>
      <c r="Q224" s="34"/>
      <c r="R224" s="50"/>
      <c r="S224" s="51"/>
      <c r="T224" s="51"/>
      <c r="U224" s="52" t="str">
        <f aca="false">IF(OR(A224="",Q224=""),"",IF(AND(ISNUMBER(S224),S224&lt;AsOf,O224&lt;&gt;"Reviewed"),"Overdue",""))</f>
        <v/>
      </c>
      <c r="V224" s="54" t="str">
        <f aca="false">IF(A224="","",IF(COUNTIF(QA_ID,A224)&gt;1,"CHECK: duplicate ID",IF(B224="","CHECK: Supplier ID missing",IF(COUNTIF(INV_ID,B224)=0,"CHECK: Supplier ID not in inventory",IF(E224="","CHECK: Question ID missing",IF(COUNTIF(QB_ID,E224)=0,"CHECK: Question ID not in bank","OK"))))))</f>
        <v/>
      </c>
    </row>
    <row r="225" customFormat="false" ht="15" hidden="false" customHeight="false" outlineLevel="0" collapsed="false">
      <c r="A225" s="50"/>
      <c r="B225" s="50"/>
      <c r="C225" s="59" t="str">
        <f aca="false">IF(B225="","",IFERROR(INDEX(INV_NAME,MATCH(B225,INV_ID,0)),"CHECK: Supplier ID not found"))</f>
        <v/>
      </c>
      <c r="D225" s="63" t="str">
        <f aca="false">IF(B225="","",IFERROR(INDEX(INV_TIER,MATCH(B225,INV_ID,0)),""))</f>
        <v/>
      </c>
      <c r="E225" s="50"/>
      <c r="F225" s="59" t="str">
        <f aca="false">IF(E225="","",IFERROR(INDEX(QB_Q,MATCH(E225,QB_ID,0)),"CHECK: Question ID not found"))</f>
        <v/>
      </c>
      <c r="G225" s="59" t="str">
        <f aca="false">IF(E225="","",IFERROR(INDEX(QB_DOMAIN,MATCH(E225,QB_ID,0)),""))</f>
        <v/>
      </c>
      <c r="H225" s="54" t="str">
        <f aca="false">IF(OR(A225="",E225=""),"",IFERROR(IF(ISNUMBER(MATCH(D225,{"Low","Medium","High"},0)),IF(MATCH(D225,{"Low","Medium","High"},0)&gt;=MATCH(INDEX(QB_MINTIER,MATCH(E225,QB_ID,0)),{"Low","Medium","High"},0),"Recommended for tier","Optional for tier"),"Tier not determined"),"Check question"))</f>
        <v/>
      </c>
      <c r="I225" s="34"/>
      <c r="J225" s="50"/>
      <c r="K225" s="34"/>
      <c r="L225" s="34"/>
      <c r="M225" s="62" t="str">
        <f aca="false">IF(L225="","",SUMPRODUCT(ISNUMBER(SEARCH(","&amp;EV_ID&amp;",",","&amp;SUBSTITUTE(L225," ","")&amp;","))*(EV_ID&lt;&gt;"")))</f>
        <v/>
      </c>
      <c r="N225" s="54" t="str">
        <f aca="false">IF(A225="","",IF(I225&lt;&gt;"Applicable",IF(I225="","Applicability not set","Not in scope ("&amp;I225&amp;")"),IF(OR(J225="",J225="Not answered"),"Awaiting supplier response",IF(J225="Not applicable","Supplier states not applicable - analyst to confirm",IF(L225="","Evidence insufficient - none referenced",IF(M225=0,"Evidence insufficient - referenced ID not found",IF(SUMPRODUCT(ISNUMBER(SEARCH(","&amp;EV_ID&amp;",",","&amp;SUBSTITUTE(L225," ","")&amp;","))*(EV_ID&lt;&gt;"")*(EV_SUFF="Sufficient"))&gt;0,"Evidence reviewed - sufficient",IF(SUMPRODUCT(ISNUMBER(SEARCH(","&amp;EV_ID&amp;",",","&amp;SUBSTITUTE(L225," ","")&amp;","))*(EV_ID&lt;&gt;"")*(EV_SUFF="Partially sufficient"))&gt;0,"Evidence partially sufficient","Evidence insufficient - referenced evidence not sufficient"))))))))</f>
        <v/>
      </c>
      <c r="O225" s="50"/>
      <c r="P225" s="34"/>
      <c r="Q225" s="34"/>
      <c r="R225" s="50"/>
      <c r="S225" s="51"/>
      <c r="T225" s="51"/>
      <c r="U225" s="52" t="str">
        <f aca="false">IF(OR(A225="",Q225=""),"",IF(AND(ISNUMBER(S225),S225&lt;AsOf,O225&lt;&gt;"Reviewed"),"Overdue",""))</f>
        <v/>
      </c>
      <c r="V225" s="54" t="str">
        <f aca="false">IF(A225="","",IF(COUNTIF(QA_ID,A225)&gt;1,"CHECK: duplicate ID",IF(B225="","CHECK: Supplier ID missing",IF(COUNTIF(INV_ID,B225)=0,"CHECK: Supplier ID not in inventory",IF(E225="","CHECK: Question ID missing",IF(COUNTIF(QB_ID,E225)=0,"CHECK: Question ID not in bank","OK"))))))</f>
        <v/>
      </c>
    </row>
    <row r="226" customFormat="false" ht="15" hidden="false" customHeight="false" outlineLevel="0" collapsed="false">
      <c r="A226" s="50"/>
      <c r="B226" s="50"/>
      <c r="C226" s="59" t="str">
        <f aca="false">IF(B226="","",IFERROR(INDEX(INV_NAME,MATCH(B226,INV_ID,0)),"CHECK: Supplier ID not found"))</f>
        <v/>
      </c>
      <c r="D226" s="63" t="str">
        <f aca="false">IF(B226="","",IFERROR(INDEX(INV_TIER,MATCH(B226,INV_ID,0)),""))</f>
        <v/>
      </c>
      <c r="E226" s="50"/>
      <c r="F226" s="59" t="str">
        <f aca="false">IF(E226="","",IFERROR(INDEX(QB_Q,MATCH(E226,QB_ID,0)),"CHECK: Question ID not found"))</f>
        <v/>
      </c>
      <c r="G226" s="59" t="str">
        <f aca="false">IF(E226="","",IFERROR(INDEX(QB_DOMAIN,MATCH(E226,QB_ID,0)),""))</f>
        <v/>
      </c>
      <c r="H226" s="54" t="str">
        <f aca="false">IF(OR(A226="",E226=""),"",IFERROR(IF(ISNUMBER(MATCH(D226,{"Low","Medium","High"},0)),IF(MATCH(D226,{"Low","Medium","High"},0)&gt;=MATCH(INDEX(QB_MINTIER,MATCH(E226,QB_ID,0)),{"Low","Medium","High"},0),"Recommended for tier","Optional for tier"),"Tier not determined"),"Check question"))</f>
        <v/>
      </c>
      <c r="I226" s="34"/>
      <c r="J226" s="50"/>
      <c r="K226" s="34"/>
      <c r="L226" s="34"/>
      <c r="M226" s="62" t="str">
        <f aca="false">IF(L226="","",SUMPRODUCT(ISNUMBER(SEARCH(","&amp;EV_ID&amp;",",","&amp;SUBSTITUTE(L226," ","")&amp;","))*(EV_ID&lt;&gt;"")))</f>
        <v/>
      </c>
      <c r="N226" s="54" t="str">
        <f aca="false">IF(A226="","",IF(I226&lt;&gt;"Applicable",IF(I226="","Applicability not set","Not in scope ("&amp;I226&amp;")"),IF(OR(J226="",J226="Not answered"),"Awaiting supplier response",IF(J226="Not applicable","Supplier states not applicable - analyst to confirm",IF(L226="","Evidence insufficient - none referenced",IF(M226=0,"Evidence insufficient - referenced ID not found",IF(SUMPRODUCT(ISNUMBER(SEARCH(","&amp;EV_ID&amp;",",","&amp;SUBSTITUTE(L226," ","")&amp;","))*(EV_ID&lt;&gt;"")*(EV_SUFF="Sufficient"))&gt;0,"Evidence reviewed - sufficient",IF(SUMPRODUCT(ISNUMBER(SEARCH(","&amp;EV_ID&amp;",",","&amp;SUBSTITUTE(L226," ","")&amp;","))*(EV_ID&lt;&gt;"")*(EV_SUFF="Partially sufficient"))&gt;0,"Evidence partially sufficient","Evidence insufficient - referenced evidence not sufficient"))))))))</f>
        <v/>
      </c>
      <c r="O226" s="50"/>
      <c r="P226" s="34"/>
      <c r="Q226" s="34"/>
      <c r="R226" s="50"/>
      <c r="S226" s="51"/>
      <c r="T226" s="51"/>
      <c r="U226" s="52" t="str">
        <f aca="false">IF(OR(A226="",Q226=""),"",IF(AND(ISNUMBER(S226),S226&lt;AsOf,O226&lt;&gt;"Reviewed"),"Overdue",""))</f>
        <v/>
      </c>
      <c r="V226" s="54" t="str">
        <f aca="false">IF(A226="","",IF(COUNTIF(QA_ID,A226)&gt;1,"CHECK: duplicate ID",IF(B226="","CHECK: Supplier ID missing",IF(COUNTIF(INV_ID,B226)=0,"CHECK: Supplier ID not in inventory",IF(E226="","CHECK: Question ID missing",IF(COUNTIF(QB_ID,E226)=0,"CHECK: Question ID not in bank","OK"))))))</f>
        <v/>
      </c>
    </row>
    <row r="227" customFormat="false" ht="15" hidden="false" customHeight="false" outlineLevel="0" collapsed="false">
      <c r="A227" s="50"/>
      <c r="B227" s="50"/>
      <c r="C227" s="59" t="str">
        <f aca="false">IF(B227="","",IFERROR(INDEX(INV_NAME,MATCH(B227,INV_ID,0)),"CHECK: Supplier ID not found"))</f>
        <v/>
      </c>
      <c r="D227" s="63" t="str">
        <f aca="false">IF(B227="","",IFERROR(INDEX(INV_TIER,MATCH(B227,INV_ID,0)),""))</f>
        <v/>
      </c>
      <c r="E227" s="50"/>
      <c r="F227" s="59" t="str">
        <f aca="false">IF(E227="","",IFERROR(INDEX(QB_Q,MATCH(E227,QB_ID,0)),"CHECK: Question ID not found"))</f>
        <v/>
      </c>
      <c r="G227" s="59" t="str">
        <f aca="false">IF(E227="","",IFERROR(INDEX(QB_DOMAIN,MATCH(E227,QB_ID,0)),""))</f>
        <v/>
      </c>
      <c r="H227" s="54" t="str">
        <f aca="false">IF(OR(A227="",E227=""),"",IFERROR(IF(ISNUMBER(MATCH(D227,{"Low","Medium","High"},0)),IF(MATCH(D227,{"Low","Medium","High"},0)&gt;=MATCH(INDEX(QB_MINTIER,MATCH(E227,QB_ID,0)),{"Low","Medium","High"},0),"Recommended for tier","Optional for tier"),"Tier not determined"),"Check question"))</f>
        <v/>
      </c>
      <c r="I227" s="34"/>
      <c r="J227" s="50"/>
      <c r="K227" s="34"/>
      <c r="L227" s="34"/>
      <c r="M227" s="62" t="str">
        <f aca="false">IF(L227="","",SUMPRODUCT(ISNUMBER(SEARCH(","&amp;EV_ID&amp;",",","&amp;SUBSTITUTE(L227," ","")&amp;","))*(EV_ID&lt;&gt;"")))</f>
        <v/>
      </c>
      <c r="N227" s="54" t="str">
        <f aca="false">IF(A227="","",IF(I227&lt;&gt;"Applicable",IF(I227="","Applicability not set","Not in scope ("&amp;I227&amp;")"),IF(OR(J227="",J227="Not answered"),"Awaiting supplier response",IF(J227="Not applicable","Supplier states not applicable - analyst to confirm",IF(L227="","Evidence insufficient - none referenced",IF(M227=0,"Evidence insufficient - referenced ID not found",IF(SUMPRODUCT(ISNUMBER(SEARCH(","&amp;EV_ID&amp;",",","&amp;SUBSTITUTE(L227," ","")&amp;","))*(EV_ID&lt;&gt;"")*(EV_SUFF="Sufficient"))&gt;0,"Evidence reviewed - sufficient",IF(SUMPRODUCT(ISNUMBER(SEARCH(","&amp;EV_ID&amp;",",","&amp;SUBSTITUTE(L227," ","")&amp;","))*(EV_ID&lt;&gt;"")*(EV_SUFF="Partially sufficient"))&gt;0,"Evidence partially sufficient","Evidence insufficient - referenced evidence not sufficient"))))))))</f>
        <v/>
      </c>
      <c r="O227" s="50"/>
      <c r="P227" s="34"/>
      <c r="Q227" s="34"/>
      <c r="R227" s="50"/>
      <c r="S227" s="51"/>
      <c r="T227" s="51"/>
      <c r="U227" s="52" t="str">
        <f aca="false">IF(OR(A227="",Q227=""),"",IF(AND(ISNUMBER(S227),S227&lt;AsOf,O227&lt;&gt;"Reviewed"),"Overdue",""))</f>
        <v/>
      </c>
      <c r="V227" s="54" t="str">
        <f aca="false">IF(A227="","",IF(COUNTIF(QA_ID,A227)&gt;1,"CHECK: duplicate ID",IF(B227="","CHECK: Supplier ID missing",IF(COUNTIF(INV_ID,B227)=0,"CHECK: Supplier ID not in inventory",IF(E227="","CHECK: Question ID missing",IF(COUNTIF(QB_ID,E227)=0,"CHECK: Question ID not in bank","OK"))))))</f>
        <v/>
      </c>
    </row>
    <row r="228" customFormat="false" ht="15" hidden="false" customHeight="false" outlineLevel="0" collapsed="false">
      <c r="A228" s="50"/>
      <c r="B228" s="50"/>
      <c r="C228" s="59" t="str">
        <f aca="false">IF(B228="","",IFERROR(INDEX(INV_NAME,MATCH(B228,INV_ID,0)),"CHECK: Supplier ID not found"))</f>
        <v/>
      </c>
      <c r="D228" s="63" t="str">
        <f aca="false">IF(B228="","",IFERROR(INDEX(INV_TIER,MATCH(B228,INV_ID,0)),""))</f>
        <v/>
      </c>
      <c r="E228" s="50"/>
      <c r="F228" s="59" t="str">
        <f aca="false">IF(E228="","",IFERROR(INDEX(QB_Q,MATCH(E228,QB_ID,0)),"CHECK: Question ID not found"))</f>
        <v/>
      </c>
      <c r="G228" s="59" t="str">
        <f aca="false">IF(E228="","",IFERROR(INDEX(QB_DOMAIN,MATCH(E228,QB_ID,0)),""))</f>
        <v/>
      </c>
      <c r="H228" s="54" t="str">
        <f aca="false">IF(OR(A228="",E228=""),"",IFERROR(IF(ISNUMBER(MATCH(D228,{"Low","Medium","High"},0)),IF(MATCH(D228,{"Low","Medium","High"},0)&gt;=MATCH(INDEX(QB_MINTIER,MATCH(E228,QB_ID,0)),{"Low","Medium","High"},0),"Recommended for tier","Optional for tier"),"Tier not determined"),"Check question"))</f>
        <v/>
      </c>
      <c r="I228" s="34"/>
      <c r="J228" s="50"/>
      <c r="K228" s="34"/>
      <c r="L228" s="34"/>
      <c r="M228" s="62" t="str">
        <f aca="false">IF(L228="","",SUMPRODUCT(ISNUMBER(SEARCH(","&amp;EV_ID&amp;",",","&amp;SUBSTITUTE(L228," ","")&amp;","))*(EV_ID&lt;&gt;"")))</f>
        <v/>
      </c>
      <c r="N228" s="54" t="str">
        <f aca="false">IF(A228="","",IF(I228&lt;&gt;"Applicable",IF(I228="","Applicability not set","Not in scope ("&amp;I228&amp;")"),IF(OR(J228="",J228="Not answered"),"Awaiting supplier response",IF(J228="Not applicable","Supplier states not applicable - analyst to confirm",IF(L228="","Evidence insufficient - none referenced",IF(M228=0,"Evidence insufficient - referenced ID not found",IF(SUMPRODUCT(ISNUMBER(SEARCH(","&amp;EV_ID&amp;",",","&amp;SUBSTITUTE(L228," ","")&amp;","))*(EV_ID&lt;&gt;"")*(EV_SUFF="Sufficient"))&gt;0,"Evidence reviewed - sufficient",IF(SUMPRODUCT(ISNUMBER(SEARCH(","&amp;EV_ID&amp;",",","&amp;SUBSTITUTE(L228," ","")&amp;","))*(EV_ID&lt;&gt;"")*(EV_SUFF="Partially sufficient"))&gt;0,"Evidence partially sufficient","Evidence insufficient - referenced evidence not sufficient"))))))))</f>
        <v/>
      </c>
      <c r="O228" s="50"/>
      <c r="P228" s="34"/>
      <c r="Q228" s="34"/>
      <c r="R228" s="50"/>
      <c r="S228" s="51"/>
      <c r="T228" s="51"/>
      <c r="U228" s="52" t="str">
        <f aca="false">IF(OR(A228="",Q228=""),"",IF(AND(ISNUMBER(S228),S228&lt;AsOf,O228&lt;&gt;"Reviewed"),"Overdue",""))</f>
        <v/>
      </c>
      <c r="V228" s="54" t="str">
        <f aca="false">IF(A228="","",IF(COUNTIF(QA_ID,A228)&gt;1,"CHECK: duplicate ID",IF(B228="","CHECK: Supplier ID missing",IF(COUNTIF(INV_ID,B228)=0,"CHECK: Supplier ID not in inventory",IF(E228="","CHECK: Question ID missing",IF(COUNTIF(QB_ID,E228)=0,"CHECK: Question ID not in bank","OK"))))))</f>
        <v/>
      </c>
    </row>
    <row r="229" customFormat="false" ht="15" hidden="false" customHeight="false" outlineLevel="0" collapsed="false">
      <c r="A229" s="50"/>
      <c r="B229" s="50"/>
      <c r="C229" s="59" t="str">
        <f aca="false">IF(B229="","",IFERROR(INDEX(INV_NAME,MATCH(B229,INV_ID,0)),"CHECK: Supplier ID not found"))</f>
        <v/>
      </c>
      <c r="D229" s="63" t="str">
        <f aca="false">IF(B229="","",IFERROR(INDEX(INV_TIER,MATCH(B229,INV_ID,0)),""))</f>
        <v/>
      </c>
      <c r="E229" s="50"/>
      <c r="F229" s="59" t="str">
        <f aca="false">IF(E229="","",IFERROR(INDEX(QB_Q,MATCH(E229,QB_ID,0)),"CHECK: Question ID not found"))</f>
        <v/>
      </c>
      <c r="G229" s="59" t="str">
        <f aca="false">IF(E229="","",IFERROR(INDEX(QB_DOMAIN,MATCH(E229,QB_ID,0)),""))</f>
        <v/>
      </c>
      <c r="H229" s="54" t="str">
        <f aca="false">IF(OR(A229="",E229=""),"",IFERROR(IF(ISNUMBER(MATCH(D229,{"Low","Medium","High"},0)),IF(MATCH(D229,{"Low","Medium","High"},0)&gt;=MATCH(INDEX(QB_MINTIER,MATCH(E229,QB_ID,0)),{"Low","Medium","High"},0),"Recommended for tier","Optional for tier"),"Tier not determined"),"Check question"))</f>
        <v/>
      </c>
      <c r="I229" s="34"/>
      <c r="J229" s="50"/>
      <c r="K229" s="34"/>
      <c r="L229" s="34"/>
      <c r="M229" s="62" t="str">
        <f aca="false">IF(L229="","",SUMPRODUCT(ISNUMBER(SEARCH(","&amp;EV_ID&amp;",",","&amp;SUBSTITUTE(L229," ","")&amp;","))*(EV_ID&lt;&gt;"")))</f>
        <v/>
      </c>
      <c r="N229" s="54" t="str">
        <f aca="false">IF(A229="","",IF(I229&lt;&gt;"Applicable",IF(I229="","Applicability not set","Not in scope ("&amp;I229&amp;")"),IF(OR(J229="",J229="Not answered"),"Awaiting supplier response",IF(J229="Not applicable","Supplier states not applicable - analyst to confirm",IF(L229="","Evidence insufficient - none referenced",IF(M229=0,"Evidence insufficient - referenced ID not found",IF(SUMPRODUCT(ISNUMBER(SEARCH(","&amp;EV_ID&amp;",",","&amp;SUBSTITUTE(L229," ","")&amp;","))*(EV_ID&lt;&gt;"")*(EV_SUFF="Sufficient"))&gt;0,"Evidence reviewed - sufficient",IF(SUMPRODUCT(ISNUMBER(SEARCH(","&amp;EV_ID&amp;",",","&amp;SUBSTITUTE(L229," ","")&amp;","))*(EV_ID&lt;&gt;"")*(EV_SUFF="Partially sufficient"))&gt;0,"Evidence partially sufficient","Evidence insufficient - referenced evidence not sufficient"))))))))</f>
        <v/>
      </c>
      <c r="O229" s="50"/>
      <c r="P229" s="34"/>
      <c r="Q229" s="34"/>
      <c r="R229" s="50"/>
      <c r="S229" s="51"/>
      <c r="T229" s="51"/>
      <c r="U229" s="52" t="str">
        <f aca="false">IF(OR(A229="",Q229=""),"",IF(AND(ISNUMBER(S229),S229&lt;AsOf,O229&lt;&gt;"Reviewed"),"Overdue",""))</f>
        <v/>
      </c>
      <c r="V229" s="54" t="str">
        <f aca="false">IF(A229="","",IF(COUNTIF(QA_ID,A229)&gt;1,"CHECK: duplicate ID",IF(B229="","CHECK: Supplier ID missing",IF(COUNTIF(INV_ID,B229)=0,"CHECK: Supplier ID not in inventory",IF(E229="","CHECK: Question ID missing",IF(COUNTIF(QB_ID,E229)=0,"CHECK: Question ID not in bank","OK"))))))</f>
        <v/>
      </c>
    </row>
    <row r="230" customFormat="false" ht="15" hidden="false" customHeight="false" outlineLevel="0" collapsed="false">
      <c r="A230" s="50"/>
      <c r="B230" s="50"/>
      <c r="C230" s="59" t="str">
        <f aca="false">IF(B230="","",IFERROR(INDEX(INV_NAME,MATCH(B230,INV_ID,0)),"CHECK: Supplier ID not found"))</f>
        <v/>
      </c>
      <c r="D230" s="63" t="str">
        <f aca="false">IF(B230="","",IFERROR(INDEX(INV_TIER,MATCH(B230,INV_ID,0)),""))</f>
        <v/>
      </c>
      <c r="E230" s="50"/>
      <c r="F230" s="59" t="str">
        <f aca="false">IF(E230="","",IFERROR(INDEX(QB_Q,MATCH(E230,QB_ID,0)),"CHECK: Question ID not found"))</f>
        <v/>
      </c>
      <c r="G230" s="59" t="str">
        <f aca="false">IF(E230="","",IFERROR(INDEX(QB_DOMAIN,MATCH(E230,QB_ID,0)),""))</f>
        <v/>
      </c>
      <c r="H230" s="54" t="str">
        <f aca="false">IF(OR(A230="",E230=""),"",IFERROR(IF(ISNUMBER(MATCH(D230,{"Low","Medium","High"},0)),IF(MATCH(D230,{"Low","Medium","High"},0)&gt;=MATCH(INDEX(QB_MINTIER,MATCH(E230,QB_ID,0)),{"Low","Medium","High"},0),"Recommended for tier","Optional for tier"),"Tier not determined"),"Check question"))</f>
        <v/>
      </c>
      <c r="I230" s="34"/>
      <c r="J230" s="50"/>
      <c r="K230" s="34"/>
      <c r="L230" s="34"/>
      <c r="M230" s="62" t="str">
        <f aca="false">IF(L230="","",SUMPRODUCT(ISNUMBER(SEARCH(","&amp;EV_ID&amp;",",","&amp;SUBSTITUTE(L230," ","")&amp;","))*(EV_ID&lt;&gt;"")))</f>
        <v/>
      </c>
      <c r="N230" s="54" t="str">
        <f aca="false">IF(A230="","",IF(I230&lt;&gt;"Applicable",IF(I230="","Applicability not set","Not in scope ("&amp;I230&amp;")"),IF(OR(J230="",J230="Not answered"),"Awaiting supplier response",IF(J230="Not applicable","Supplier states not applicable - analyst to confirm",IF(L230="","Evidence insufficient - none referenced",IF(M230=0,"Evidence insufficient - referenced ID not found",IF(SUMPRODUCT(ISNUMBER(SEARCH(","&amp;EV_ID&amp;",",","&amp;SUBSTITUTE(L230," ","")&amp;","))*(EV_ID&lt;&gt;"")*(EV_SUFF="Sufficient"))&gt;0,"Evidence reviewed - sufficient",IF(SUMPRODUCT(ISNUMBER(SEARCH(","&amp;EV_ID&amp;",",","&amp;SUBSTITUTE(L230," ","")&amp;","))*(EV_ID&lt;&gt;"")*(EV_SUFF="Partially sufficient"))&gt;0,"Evidence partially sufficient","Evidence insufficient - referenced evidence not sufficient"))))))))</f>
        <v/>
      </c>
      <c r="O230" s="50"/>
      <c r="P230" s="34"/>
      <c r="Q230" s="34"/>
      <c r="R230" s="50"/>
      <c r="S230" s="51"/>
      <c r="T230" s="51"/>
      <c r="U230" s="52" t="str">
        <f aca="false">IF(OR(A230="",Q230=""),"",IF(AND(ISNUMBER(S230),S230&lt;AsOf,O230&lt;&gt;"Reviewed"),"Overdue",""))</f>
        <v/>
      </c>
      <c r="V230" s="54" t="str">
        <f aca="false">IF(A230="","",IF(COUNTIF(QA_ID,A230)&gt;1,"CHECK: duplicate ID",IF(B230="","CHECK: Supplier ID missing",IF(COUNTIF(INV_ID,B230)=0,"CHECK: Supplier ID not in inventory",IF(E230="","CHECK: Question ID missing",IF(COUNTIF(QB_ID,E230)=0,"CHECK: Question ID not in bank","OK"))))))</f>
        <v/>
      </c>
    </row>
    <row r="231" customFormat="false" ht="15" hidden="false" customHeight="false" outlineLevel="0" collapsed="false">
      <c r="A231" s="50"/>
      <c r="B231" s="50"/>
      <c r="C231" s="59" t="str">
        <f aca="false">IF(B231="","",IFERROR(INDEX(INV_NAME,MATCH(B231,INV_ID,0)),"CHECK: Supplier ID not found"))</f>
        <v/>
      </c>
      <c r="D231" s="63" t="str">
        <f aca="false">IF(B231="","",IFERROR(INDEX(INV_TIER,MATCH(B231,INV_ID,0)),""))</f>
        <v/>
      </c>
      <c r="E231" s="50"/>
      <c r="F231" s="59" t="str">
        <f aca="false">IF(E231="","",IFERROR(INDEX(QB_Q,MATCH(E231,QB_ID,0)),"CHECK: Question ID not found"))</f>
        <v/>
      </c>
      <c r="G231" s="59" t="str">
        <f aca="false">IF(E231="","",IFERROR(INDEX(QB_DOMAIN,MATCH(E231,QB_ID,0)),""))</f>
        <v/>
      </c>
      <c r="H231" s="54" t="str">
        <f aca="false">IF(OR(A231="",E231=""),"",IFERROR(IF(ISNUMBER(MATCH(D231,{"Low","Medium","High"},0)),IF(MATCH(D231,{"Low","Medium","High"},0)&gt;=MATCH(INDEX(QB_MINTIER,MATCH(E231,QB_ID,0)),{"Low","Medium","High"},0),"Recommended for tier","Optional for tier"),"Tier not determined"),"Check question"))</f>
        <v/>
      </c>
      <c r="I231" s="34"/>
      <c r="J231" s="50"/>
      <c r="K231" s="34"/>
      <c r="L231" s="34"/>
      <c r="M231" s="62" t="str">
        <f aca="false">IF(L231="","",SUMPRODUCT(ISNUMBER(SEARCH(","&amp;EV_ID&amp;",",","&amp;SUBSTITUTE(L231," ","")&amp;","))*(EV_ID&lt;&gt;"")))</f>
        <v/>
      </c>
      <c r="N231" s="54" t="str">
        <f aca="false">IF(A231="","",IF(I231&lt;&gt;"Applicable",IF(I231="","Applicability not set","Not in scope ("&amp;I231&amp;")"),IF(OR(J231="",J231="Not answered"),"Awaiting supplier response",IF(J231="Not applicable","Supplier states not applicable - analyst to confirm",IF(L231="","Evidence insufficient - none referenced",IF(M231=0,"Evidence insufficient - referenced ID not found",IF(SUMPRODUCT(ISNUMBER(SEARCH(","&amp;EV_ID&amp;",",","&amp;SUBSTITUTE(L231," ","")&amp;","))*(EV_ID&lt;&gt;"")*(EV_SUFF="Sufficient"))&gt;0,"Evidence reviewed - sufficient",IF(SUMPRODUCT(ISNUMBER(SEARCH(","&amp;EV_ID&amp;",",","&amp;SUBSTITUTE(L231," ","")&amp;","))*(EV_ID&lt;&gt;"")*(EV_SUFF="Partially sufficient"))&gt;0,"Evidence partially sufficient","Evidence insufficient - referenced evidence not sufficient"))))))))</f>
        <v/>
      </c>
      <c r="O231" s="50"/>
      <c r="P231" s="34"/>
      <c r="Q231" s="34"/>
      <c r="R231" s="50"/>
      <c r="S231" s="51"/>
      <c r="T231" s="51"/>
      <c r="U231" s="52" t="str">
        <f aca="false">IF(OR(A231="",Q231=""),"",IF(AND(ISNUMBER(S231),S231&lt;AsOf,O231&lt;&gt;"Reviewed"),"Overdue",""))</f>
        <v/>
      </c>
      <c r="V231" s="54" t="str">
        <f aca="false">IF(A231="","",IF(COUNTIF(QA_ID,A231)&gt;1,"CHECK: duplicate ID",IF(B231="","CHECK: Supplier ID missing",IF(COUNTIF(INV_ID,B231)=0,"CHECK: Supplier ID not in inventory",IF(E231="","CHECK: Question ID missing",IF(COUNTIF(QB_ID,E231)=0,"CHECK: Question ID not in bank","OK"))))))</f>
        <v/>
      </c>
    </row>
    <row r="232" customFormat="false" ht="15" hidden="false" customHeight="false" outlineLevel="0" collapsed="false">
      <c r="A232" s="50"/>
      <c r="B232" s="50"/>
      <c r="C232" s="59" t="str">
        <f aca="false">IF(B232="","",IFERROR(INDEX(INV_NAME,MATCH(B232,INV_ID,0)),"CHECK: Supplier ID not found"))</f>
        <v/>
      </c>
      <c r="D232" s="63" t="str">
        <f aca="false">IF(B232="","",IFERROR(INDEX(INV_TIER,MATCH(B232,INV_ID,0)),""))</f>
        <v/>
      </c>
      <c r="E232" s="50"/>
      <c r="F232" s="59" t="str">
        <f aca="false">IF(E232="","",IFERROR(INDEX(QB_Q,MATCH(E232,QB_ID,0)),"CHECK: Question ID not found"))</f>
        <v/>
      </c>
      <c r="G232" s="59" t="str">
        <f aca="false">IF(E232="","",IFERROR(INDEX(QB_DOMAIN,MATCH(E232,QB_ID,0)),""))</f>
        <v/>
      </c>
      <c r="H232" s="54" t="str">
        <f aca="false">IF(OR(A232="",E232=""),"",IFERROR(IF(ISNUMBER(MATCH(D232,{"Low","Medium","High"},0)),IF(MATCH(D232,{"Low","Medium","High"},0)&gt;=MATCH(INDEX(QB_MINTIER,MATCH(E232,QB_ID,0)),{"Low","Medium","High"},0),"Recommended for tier","Optional for tier"),"Tier not determined"),"Check question"))</f>
        <v/>
      </c>
      <c r="I232" s="34"/>
      <c r="J232" s="50"/>
      <c r="K232" s="34"/>
      <c r="L232" s="34"/>
      <c r="M232" s="62" t="str">
        <f aca="false">IF(L232="","",SUMPRODUCT(ISNUMBER(SEARCH(","&amp;EV_ID&amp;",",","&amp;SUBSTITUTE(L232," ","")&amp;","))*(EV_ID&lt;&gt;"")))</f>
        <v/>
      </c>
      <c r="N232" s="54" t="str">
        <f aca="false">IF(A232="","",IF(I232&lt;&gt;"Applicable",IF(I232="","Applicability not set","Not in scope ("&amp;I232&amp;")"),IF(OR(J232="",J232="Not answered"),"Awaiting supplier response",IF(J232="Not applicable","Supplier states not applicable - analyst to confirm",IF(L232="","Evidence insufficient - none referenced",IF(M232=0,"Evidence insufficient - referenced ID not found",IF(SUMPRODUCT(ISNUMBER(SEARCH(","&amp;EV_ID&amp;",",","&amp;SUBSTITUTE(L232," ","")&amp;","))*(EV_ID&lt;&gt;"")*(EV_SUFF="Sufficient"))&gt;0,"Evidence reviewed - sufficient",IF(SUMPRODUCT(ISNUMBER(SEARCH(","&amp;EV_ID&amp;",",","&amp;SUBSTITUTE(L232," ","")&amp;","))*(EV_ID&lt;&gt;"")*(EV_SUFF="Partially sufficient"))&gt;0,"Evidence partially sufficient","Evidence insufficient - referenced evidence not sufficient"))))))))</f>
        <v/>
      </c>
      <c r="O232" s="50"/>
      <c r="P232" s="34"/>
      <c r="Q232" s="34"/>
      <c r="R232" s="50"/>
      <c r="S232" s="51"/>
      <c r="T232" s="51"/>
      <c r="U232" s="52" t="str">
        <f aca="false">IF(OR(A232="",Q232=""),"",IF(AND(ISNUMBER(S232),S232&lt;AsOf,O232&lt;&gt;"Reviewed"),"Overdue",""))</f>
        <v/>
      </c>
      <c r="V232" s="54" t="str">
        <f aca="false">IF(A232="","",IF(COUNTIF(QA_ID,A232)&gt;1,"CHECK: duplicate ID",IF(B232="","CHECK: Supplier ID missing",IF(COUNTIF(INV_ID,B232)=0,"CHECK: Supplier ID not in inventory",IF(E232="","CHECK: Question ID missing",IF(COUNTIF(QB_ID,E232)=0,"CHECK: Question ID not in bank","OK"))))))</f>
        <v/>
      </c>
    </row>
    <row r="233" customFormat="false" ht="15" hidden="false" customHeight="false" outlineLevel="0" collapsed="false">
      <c r="A233" s="50"/>
      <c r="B233" s="50"/>
      <c r="C233" s="59" t="str">
        <f aca="false">IF(B233="","",IFERROR(INDEX(INV_NAME,MATCH(B233,INV_ID,0)),"CHECK: Supplier ID not found"))</f>
        <v/>
      </c>
      <c r="D233" s="63" t="str">
        <f aca="false">IF(B233="","",IFERROR(INDEX(INV_TIER,MATCH(B233,INV_ID,0)),""))</f>
        <v/>
      </c>
      <c r="E233" s="50"/>
      <c r="F233" s="59" t="str">
        <f aca="false">IF(E233="","",IFERROR(INDEX(QB_Q,MATCH(E233,QB_ID,0)),"CHECK: Question ID not found"))</f>
        <v/>
      </c>
      <c r="G233" s="59" t="str">
        <f aca="false">IF(E233="","",IFERROR(INDEX(QB_DOMAIN,MATCH(E233,QB_ID,0)),""))</f>
        <v/>
      </c>
      <c r="H233" s="54" t="str">
        <f aca="false">IF(OR(A233="",E233=""),"",IFERROR(IF(ISNUMBER(MATCH(D233,{"Low","Medium","High"},0)),IF(MATCH(D233,{"Low","Medium","High"},0)&gt;=MATCH(INDEX(QB_MINTIER,MATCH(E233,QB_ID,0)),{"Low","Medium","High"},0),"Recommended for tier","Optional for tier"),"Tier not determined"),"Check question"))</f>
        <v/>
      </c>
      <c r="I233" s="34"/>
      <c r="J233" s="50"/>
      <c r="K233" s="34"/>
      <c r="L233" s="34"/>
      <c r="M233" s="62" t="str">
        <f aca="false">IF(L233="","",SUMPRODUCT(ISNUMBER(SEARCH(","&amp;EV_ID&amp;",",","&amp;SUBSTITUTE(L233," ","")&amp;","))*(EV_ID&lt;&gt;"")))</f>
        <v/>
      </c>
      <c r="N233" s="54" t="str">
        <f aca="false">IF(A233="","",IF(I233&lt;&gt;"Applicable",IF(I233="","Applicability not set","Not in scope ("&amp;I233&amp;")"),IF(OR(J233="",J233="Not answered"),"Awaiting supplier response",IF(J233="Not applicable","Supplier states not applicable - analyst to confirm",IF(L233="","Evidence insufficient - none referenced",IF(M233=0,"Evidence insufficient - referenced ID not found",IF(SUMPRODUCT(ISNUMBER(SEARCH(","&amp;EV_ID&amp;",",","&amp;SUBSTITUTE(L233," ","")&amp;","))*(EV_ID&lt;&gt;"")*(EV_SUFF="Sufficient"))&gt;0,"Evidence reviewed - sufficient",IF(SUMPRODUCT(ISNUMBER(SEARCH(","&amp;EV_ID&amp;",",","&amp;SUBSTITUTE(L233," ","")&amp;","))*(EV_ID&lt;&gt;"")*(EV_SUFF="Partially sufficient"))&gt;0,"Evidence partially sufficient","Evidence insufficient - referenced evidence not sufficient"))))))))</f>
        <v/>
      </c>
      <c r="O233" s="50"/>
      <c r="P233" s="34"/>
      <c r="Q233" s="34"/>
      <c r="R233" s="50"/>
      <c r="S233" s="51"/>
      <c r="T233" s="51"/>
      <c r="U233" s="52" t="str">
        <f aca="false">IF(OR(A233="",Q233=""),"",IF(AND(ISNUMBER(S233),S233&lt;AsOf,O233&lt;&gt;"Reviewed"),"Overdue",""))</f>
        <v/>
      </c>
      <c r="V233" s="54" t="str">
        <f aca="false">IF(A233="","",IF(COUNTIF(QA_ID,A233)&gt;1,"CHECK: duplicate ID",IF(B233="","CHECK: Supplier ID missing",IF(COUNTIF(INV_ID,B233)=0,"CHECK: Supplier ID not in inventory",IF(E233="","CHECK: Question ID missing",IF(COUNTIF(QB_ID,E233)=0,"CHECK: Question ID not in bank","OK"))))))</f>
        <v/>
      </c>
    </row>
    <row r="234" customFormat="false" ht="15" hidden="false" customHeight="false" outlineLevel="0" collapsed="false">
      <c r="A234" s="50"/>
      <c r="B234" s="50"/>
      <c r="C234" s="59" t="str">
        <f aca="false">IF(B234="","",IFERROR(INDEX(INV_NAME,MATCH(B234,INV_ID,0)),"CHECK: Supplier ID not found"))</f>
        <v/>
      </c>
      <c r="D234" s="63" t="str">
        <f aca="false">IF(B234="","",IFERROR(INDEX(INV_TIER,MATCH(B234,INV_ID,0)),""))</f>
        <v/>
      </c>
      <c r="E234" s="50"/>
      <c r="F234" s="59" t="str">
        <f aca="false">IF(E234="","",IFERROR(INDEX(QB_Q,MATCH(E234,QB_ID,0)),"CHECK: Question ID not found"))</f>
        <v/>
      </c>
      <c r="G234" s="59" t="str">
        <f aca="false">IF(E234="","",IFERROR(INDEX(QB_DOMAIN,MATCH(E234,QB_ID,0)),""))</f>
        <v/>
      </c>
      <c r="H234" s="54" t="str">
        <f aca="false">IF(OR(A234="",E234=""),"",IFERROR(IF(ISNUMBER(MATCH(D234,{"Low","Medium","High"},0)),IF(MATCH(D234,{"Low","Medium","High"},0)&gt;=MATCH(INDEX(QB_MINTIER,MATCH(E234,QB_ID,0)),{"Low","Medium","High"},0),"Recommended for tier","Optional for tier"),"Tier not determined"),"Check question"))</f>
        <v/>
      </c>
      <c r="I234" s="34"/>
      <c r="J234" s="50"/>
      <c r="K234" s="34"/>
      <c r="L234" s="34"/>
      <c r="M234" s="62" t="str">
        <f aca="false">IF(L234="","",SUMPRODUCT(ISNUMBER(SEARCH(","&amp;EV_ID&amp;",",","&amp;SUBSTITUTE(L234," ","")&amp;","))*(EV_ID&lt;&gt;"")))</f>
        <v/>
      </c>
      <c r="N234" s="54" t="str">
        <f aca="false">IF(A234="","",IF(I234&lt;&gt;"Applicable",IF(I234="","Applicability not set","Not in scope ("&amp;I234&amp;")"),IF(OR(J234="",J234="Not answered"),"Awaiting supplier response",IF(J234="Not applicable","Supplier states not applicable - analyst to confirm",IF(L234="","Evidence insufficient - none referenced",IF(M234=0,"Evidence insufficient - referenced ID not found",IF(SUMPRODUCT(ISNUMBER(SEARCH(","&amp;EV_ID&amp;",",","&amp;SUBSTITUTE(L234," ","")&amp;","))*(EV_ID&lt;&gt;"")*(EV_SUFF="Sufficient"))&gt;0,"Evidence reviewed - sufficient",IF(SUMPRODUCT(ISNUMBER(SEARCH(","&amp;EV_ID&amp;",",","&amp;SUBSTITUTE(L234," ","")&amp;","))*(EV_ID&lt;&gt;"")*(EV_SUFF="Partially sufficient"))&gt;0,"Evidence partially sufficient","Evidence insufficient - referenced evidence not sufficient"))))))))</f>
        <v/>
      </c>
      <c r="O234" s="50"/>
      <c r="P234" s="34"/>
      <c r="Q234" s="34"/>
      <c r="R234" s="50"/>
      <c r="S234" s="51"/>
      <c r="T234" s="51"/>
      <c r="U234" s="52" t="str">
        <f aca="false">IF(OR(A234="",Q234=""),"",IF(AND(ISNUMBER(S234),S234&lt;AsOf,O234&lt;&gt;"Reviewed"),"Overdue",""))</f>
        <v/>
      </c>
      <c r="V234" s="54" t="str">
        <f aca="false">IF(A234="","",IF(COUNTIF(QA_ID,A234)&gt;1,"CHECK: duplicate ID",IF(B234="","CHECK: Supplier ID missing",IF(COUNTIF(INV_ID,B234)=0,"CHECK: Supplier ID not in inventory",IF(E234="","CHECK: Question ID missing",IF(COUNTIF(QB_ID,E234)=0,"CHECK: Question ID not in bank","OK"))))))</f>
        <v/>
      </c>
    </row>
    <row r="235" customFormat="false" ht="15" hidden="false" customHeight="false" outlineLevel="0" collapsed="false">
      <c r="A235" s="50"/>
      <c r="B235" s="50"/>
      <c r="C235" s="59" t="str">
        <f aca="false">IF(B235="","",IFERROR(INDEX(INV_NAME,MATCH(B235,INV_ID,0)),"CHECK: Supplier ID not found"))</f>
        <v/>
      </c>
      <c r="D235" s="63" t="str">
        <f aca="false">IF(B235="","",IFERROR(INDEX(INV_TIER,MATCH(B235,INV_ID,0)),""))</f>
        <v/>
      </c>
      <c r="E235" s="50"/>
      <c r="F235" s="59" t="str">
        <f aca="false">IF(E235="","",IFERROR(INDEX(QB_Q,MATCH(E235,QB_ID,0)),"CHECK: Question ID not found"))</f>
        <v/>
      </c>
      <c r="G235" s="59" t="str">
        <f aca="false">IF(E235="","",IFERROR(INDEX(QB_DOMAIN,MATCH(E235,QB_ID,0)),""))</f>
        <v/>
      </c>
      <c r="H235" s="54" t="str">
        <f aca="false">IF(OR(A235="",E235=""),"",IFERROR(IF(ISNUMBER(MATCH(D235,{"Low","Medium","High"},0)),IF(MATCH(D235,{"Low","Medium","High"},0)&gt;=MATCH(INDEX(QB_MINTIER,MATCH(E235,QB_ID,0)),{"Low","Medium","High"},0),"Recommended for tier","Optional for tier"),"Tier not determined"),"Check question"))</f>
        <v/>
      </c>
      <c r="I235" s="34"/>
      <c r="J235" s="50"/>
      <c r="K235" s="34"/>
      <c r="L235" s="34"/>
      <c r="M235" s="62" t="str">
        <f aca="false">IF(L235="","",SUMPRODUCT(ISNUMBER(SEARCH(","&amp;EV_ID&amp;",",","&amp;SUBSTITUTE(L235," ","")&amp;","))*(EV_ID&lt;&gt;"")))</f>
        <v/>
      </c>
      <c r="N235" s="54" t="str">
        <f aca="false">IF(A235="","",IF(I235&lt;&gt;"Applicable",IF(I235="","Applicability not set","Not in scope ("&amp;I235&amp;")"),IF(OR(J235="",J235="Not answered"),"Awaiting supplier response",IF(J235="Not applicable","Supplier states not applicable - analyst to confirm",IF(L235="","Evidence insufficient - none referenced",IF(M235=0,"Evidence insufficient - referenced ID not found",IF(SUMPRODUCT(ISNUMBER(SEARCH(","&amp;EV_ID&amp;",",","&amp;SUBSTITUTE(L235," ","")&amp;","))*(EV_ID&lt;&gt;"")*(EV_SUFF="Sufficient"))&gt;0,"Evidence reviewed - sufficient",IF(SUMPRODUCT(ISNUMBER(SEARCH(","&amp;EV_ID&amp;",",","&amp;SUBSTITUTE(L235," ","")&amp;","))*(EV_ID&lt;&gt;"")*(EV_SUFF="Partially sufficient"))&gt;0,"Evidence partially sufficient","Evidence insufficient - referenced evidence not sufficient"))))))))</f>
        <v/>
      </c>
      <c r="O235" s="50"/>
      <c r="P235" s="34"/>
      <c r="Q235" s="34"/>
      <c r="R235" s="50"/>
      <c r="S235" s="51"/>
      <c r="T235" s="51"/>
      <c r="U235" s="52" t="str">
        <f aca="false">IF(OR(A235="",Q235=""),"",IF(AND(ISNUMBER(S235),S235&lt;AsOf,O235&lt;&gt;"Reviewed"),"Overdue",""))</f>
        <v/>
      </c>
      <c r="V235" s="54" t="str">
        <f aca="false">IF(A235="","",IF(COUNTIF(QA_ID,A235)&gt;1,"CHECK: duplicate ID",IF(B235="","CHECK: Supplier ID missing",IF(COUNTIF(INV_ID,B235)=0,"CHECK: Supplier ID not in inventory",IF(E235="","CHECK: Question ID missing",IF(COUNTIF(QB_ID,E235)=0,"CHECK: Question ID not in bank","OK"))))))</f>
        <v/>
      </c>
    </row>
    <row r="236" customFormat="false" ht="15" hidden="false" customHeight="false" outlineLevel="0" collapsed="false">
      <c r="A236" s="50"/>
      <c r="B236" s="50"/>
      <c r="C236" s="59" t="str">
        <f aca="false">IF(B236="","",IFERROR(INDEX(INV_NAME,MATCH(B236,INV_ID,0)),"CHECK: Supplier ID not found"))</f>
        <v/>
      </c>
      <c r="D236" s="63" t="str">
        <f aca="false">IF(B236="","",IFERROR(INDEX(INV_TIER,MATCH(B236,INV_ID,0)),""))</f>
        <v/>
      </c>
      <c r="E236" s="50"/>
      <c r="F236" s="59" t="str">
        <f aca="false">IF(E236="","",IFERROR(INDEX(QB_Q,MATCH(E236,QB_ID,0)),"CHECK: Question ID not found"))</f>
        <v/>
      </c>
      <c r="G236" s="59" t="str">
        <f aca="false">IF(E236="","",IFERROR(INDEX(QB_DOMAIN,MATCH(E236,QB_ID,0)),""))</f>
        <v/>
      </c>
      <c r="H236" s="54" t="str">
        <f aca="false">IF(OR(A236="",E236=""),"",IFERROR(IF(ISNUMBER(MATCH(D236,{"Low","Medium","High"},0)),IF(MATCH(D236,{"Low","Medium","High"},0)&gt;=MATCH(INDEX(QB_MINTIER,MATCH(E236,QB_ID,0)),{"Low","Medium","High"},0),"Recommended for tier","Optional for tier"),"Tier not determined"),"Check question"))</f>
        <v/>
      </c>
      <c r="I236" s="34"/>
      <c r="J236" s="50"/>
      <c r="K236" s="34"/>
      <c r="L236" s="34"/>
      <c r="M236" s="62" t="str">
        <f aca="false">IF(L236="","",SUMPRODUCT(ISNUMBER(SEARCH(","&amp;EV_ID&amp;",",","&amp;SUBSTITUTE(L236," ","")&amp;","))*(EV_ID&lt;&gt;"")))</f>
        <v/>
      </c>
      <c r="N236" s="54" t="str">
        <f aca="false">IF(A236="","",IF(I236&lt;&gt;"Applicable",IF(I236="","Applicability not set","Not in scope ("&amp;I236&amp;")"),IF(OR(J236="",J236="Not answered"),"Awaiting supplier response",IF(J236="Not applicable","Supplier states not applicable - analyst to confirm",IF(L236="","Evidence insufficient - none referenced",IF(M236=0,"Evidence insufficient - referenced ID not found",IF(SUMPRODUCT(ISNUMBER(SEARCH(","&amp;EV_ID&amp;",",","&amp;SUBSTITUTE(L236," ","")&amp;","))*(EV_ID&lt;&gt;"")*(EV_SUFF="Sufficient"))&gt;0,"Evidence reviewed - sufficient",IF(SUMPRODUCT(ISNUMBER(SEARCH(","&amp;EV_ID&amp;",",","&amp;SUBSTITUTE(L236," ","")&amp;","))*(EV_ID&lt;&gt;"")*(EV_SUFF="Partially sufficient"))&gt;0,"Evidence partially sufficient","Evidence insufficient - referenced evidence not sufficient"))))))))</f>
        <v/>
      </c>
      <c r="O236" s="50"/>
      <c r="P236" s="34"/>
      <c r="Q236" s="34"/>
      <c r="R236" s="50"/>
      <c r="S236" s="51"/>
      <c r="T236" s="51"/>
      <c r="U236" s="52" t="str">
        <f aca="false">IF(OR(A236="",Q236=""),"",IF(AND(ISNUMBER(S236),S236&lt;AsOf,O236&lt;&gt;"Reviewed"),"Overdue",""))</f>
        <v/>
      </c>
      <c r="V236" s="54" t="str">
        <f aca="false">IF(A236="","",IF(COUNTIF(QA_ID,A236)&gt;1,"CHECK: duplicate ID",IF(B236="","CHECK: Supplier ID missing",IF(COUNTIF(INV_ID,B236)=0,"CHECK: Supplier ID not in inventory",IF(E236="","CHECK: Question ID missing",IF(COUNTIF(QB_ID,E236)=0,"CHECK: Question ID not in bank","OK"))))))</f>
        <v/>
      </c>
    </row>
    <row r="237" customFormat="false" ht="15" hidden="false" customHeight="false" outlineLevel="0" collapsed="false">
      <c r="A237" s="50"/>
      <c r="B237" s="50"/>
      <c r="C237" s="59" t="str">
        <f aca="false">IF(B237="","",IFERROR(INDEX(INV_NAME,MATCH(B237,INV_ID,0)),"CHECK: Supplier ID not found"))</f>
        <v/>
      </c>
      <c r="D237" s="63" t="str">
        <f aca="false">IF(B237="","",IFERROR(INDEX(INV_TIER,MATCH(B237,INV_ID,0)),""))</f>
        <v/>
      </c>
      <c r="E237" s="50"/>
      <c r="F237" s="59" t="str">
        <f aca="false">IF(E237="","",IFERROR(INDEX(QB_Q,MATCH(E237,QB_ID,0)),"CHECK: Question ID not found"))</f>
        <v/>
      </c>
      <c r="G237" s="59" t="str">
        <f aca="false">IF(E237="","",IFERROR(INDEX(QB_DOMAIN,MATCH(E237,QB_ID,0)),""))</f>
        <v/>
      </c>
      <c r="H237" s="54" t="str">
        <f aca="false">IF(OR(A237="",E237=""),"",IFERROR(IF(ISNUMBER(MATCH(D237,{"Low","Medium","High"},0)),IF(MATCH(D237,{"Low","Medium","High"},0)&gt;=MATCH(INDEX(QB_MINTIER,MATCH(E237,QB_ID,0)),{"Low","Medium","High"},0),"Recommended for tier","Optional for tier"),"Tier not determined"),"Check question"))</f>
        <v/>
      </c>
      <c r="I237" s="34"/>
      <c r="J237" s="50"/>
      <c r="K237" s="34"/>
      <c r="L237" s="34"/>
      <c r="M237" s="62" t="str">
        <f aca="false">IF(L237="","",SUMPRODUCT(ISNUMBER(SEARCH(","&amp;EV_ID&amp;",",","&amp;SUBSTITUTE(L237," ","")&amp;","))*(EV_ID&lt;&gt;"")))</f>
        <v/>
      </c>
      <c r="N237" s="54" t="str">
        <f aca="false">IF(A237="","",IF(I237&lt;&gt;"Applicable",IF(I237="","Applicability not set","Not in scope ("&amp;I237&amp;")"),IF(OR(J237="",J237="Not answered"),"Awaiting supplier response",IF(J237="Not applicable","Supplier states not applicable - analyst to confirm",IF(L237="","Evidence insufficient - none referenced",IF(M237=0,"Evidence insufficient - referenced ID not found",IF(SUMPRODUCT(ISNUMBER(SEARCH(","&amp;EV_ID&amp;",",","&amp;SUBSTITUTE(L237," ","")&amp;","))*(EV_ID&lt;&gt;"")*(EV_SUFF="Sufficient"))&gt;0,"Evidence reviewed - sufficient",IF(SUMPRODUCT(ISNUMBER(SEARCH(","&amp;EV_ID&amp;",",","&amp;SUBSTITUTE(L237," ","")&amp;","))*(EV_ID&lt;&gt;"")*(EV_SUFF="Partially sufficient"))&gt;0,"Evidence partially sufficient","Evidence insufficient - referenced evidence not sufficient"))))))))</f>
        <v/>
      </c>
      <c r="O237" s="50"/>
      <c r="P237" s="34"/>
      <c r="Q237" s="34"/>
      <c r="R237" s="50"/>
      <c r="S237" s="51"/>
      <c r="T237" s="51"/>
      <c r="U237" s="52" t="str">
        <f aca="false">IF(OR(A237="",Q237=""),"",IF(AND(ISNUMBER(S237),S237&lt;AsOf,O237&lt;&gt;"Reviewed"),"Overdue",""))</f>
        <v/>
      </c>
      <c r="V237" s="54" t="str">
        <f aca="false">IF(A237="","",IF(COUNTIF(QA_ID,A237)&gt;1,"CHECK: duplicate ID",IF(B237="","CHECK: Supplier ID missing",IF(COUNTIF(INV_ID,B237)=0,"CHECK: Supplier ID not in inventory",IF(E237="","CHECK: Question ID missing",IF(COUNTIF(QB_ID,E237)=0,"CHECK: Question ID not in bank","OK"))))))</f>
        <v/>
      </c>
    </row>
    <row r="238" customFormat="false" ht="15" hidden="false" customHeight="false" outlineLevel="0" collapsed="false">
      <c r="A238" s="50"/>
      <c r="B238" s="50"/>
      <c r="C238" s="59" t="str">
        <f aca="false">IF(B238="","",IFERROR(INDEX(INV_NAME,MATCH(B238,INV_ID,0)),"CHECK: Supplier ID not found"))</f>
        <v/>
      </c>
      <c r="D238" s="63" t="str">
        <f aca="false">IF(B238="","",IFERROR(INDEX(INV_TIER,MATCH(B238,INV_ID,0)),""))</f>
        <v/>
      </c>
      <c r="E238" s="50"/>
      <c r="F238" s="59" t="str">
        <f aca="false">IF(E238="","",IFERROR(INDEX(QB_Q,MATCH(E238,QB_ID,0)),"CHECK: Question ID not found"))</f>
        <v/>
      </c>
      <c r="G238" s="59" t="str">
        <f aca="false">IF(E238="","",IFERROR(INDEX(QB_DOMAIN,MATCH(E238,QB_ID,0)),""))</f>
        <v/>
      </c>
      <c r="H238" s="54" t="str">
        <f aca="false">IF(OR(A238="",E238=""),"",IFERROR(IF(ISNUMBER(MATCH(D238,{"Low","Medium","High"},0)),IF(MATCH(D238,{"Low","Medium","High"},0)&gt;=MATCH(INDEX(QB_MINTIER,MATCH(E238,QB_ID,0)),{"Low","Medium","High"},0),"Recommended for tier","Optional for tier"),"Tier not determined"),"Check question"))</f>
        <v/>
      </c>
      <c r="I238" s="34"/>
      <c r="J238" s="50"/>
      <c r="K238" s="34"/>
      <c r="L238" s="34"/>
      <c r="M238" s="62" t="str">
        <f aca="false">IF(L238="","",SUMPRODUCT(ISNUMBER(SEARCH(","&amp;EV_ID&amp;",",","&amp;SUBSTITUTE(L238," ","")&amp;","))*(EV_ID&lt;&gt;"")))</f>
        <v/>
      </c>
      <c r="N238" s="54" t="str">
        <f aca="false">IF(A238="","",IF(I238&lt;&gt;"Applicable",IF(I238="","Applicability not set","Not in scope ("&amp;I238&amp;")"),IF(OR(J238="",J238="Not answered"),"Awaiting supplier response",IF(J238="Not applicable","Supplier states not applicable - analyst to confirm",IF(L238="","Evidence insufficient - none referenced",IF(M238=0,"Evidence insufficient - referenced ID not found",IF(SUMPRODUCT(ISNUMBER(SEARCH(","&amp;EV_ID&amp;",",","&amp;SUBSTITUTE(L238," ","")&amp;","))*(EV_ID&lt;&gt;"")*(EV_SUFF="Sufficient"))&gt;0,"Evidence reviewed - sufficient",IF(SUMPRODUCT(ISNUMBER(SEARCH(","&amp;EV_ID&amp;",",","&amp;SUBSTITUTE(L238," ","")&amp;","))*(EV_ID&lt;&gt;"")*(EV_SUFF="Partially sufficient"))&gt;0,"Evidence partially sufficient","Evidence insufficient - referenced evidence not sufficient"))))))))</f>
        <v/>
      </c>
      <c r="O238" s="50"/>
      <c r="P238" s="34"/>
      <c r="Q238" s="34"/>
      <c r="R238" s="50"/>
      <c r="S238" s="51"/>
      <c r="T238" s="51"/>
      <c r="U238" s="52" t="str">
        <f aca="false">IF(OR(A238="",Q238=""),"",IF(AND(ISNUMBER(S238),S238&lt;AsOf,O238&lt;&gt;"Reviewed"),"Overdue",""))</f>
        <v/>
      </c>
      <c r="V238" s="54" t="str">
        <f aca="false">IF(A238="","",IF(COUNTIF(QA_ID,A238)&gt;1,"CHECK: duplicate ID",IF(B238="","CHECK: Supplier ID missing",IF(COUNTIF(INV_ID,B238)=0,"CHECK: Supplier ID not in inventory",IF(E238="","CHECK: Question ID missing",IF(COUNTIF(QB_ID,E238)=0,"CHECK: Question ID not in bank","OK"))))))</f>
        <v/>
      </c>
    </row>
    <row r="239" customFormat="false" ht="15" hidden="false" customHeight="false" outlineLevel="0" collapsed="false">
      <c r="A239" s="50"/>
      <c r="B239" s="50"/>
      <c r="C239" s="59" t="str">
        <f aca="false">IF(B239="","",IFERROR(INDEX(INV_NAME,MATCH(B239,INV_ID,0)),"CHECK: Supplier ID not found"))</f>
        <v/>
      </c>
      <c r="D239" s="63" t="str">
        <f aca="false">IF(B239="","",IFERROR(INDEX(INV_TIER,MATCH(B239,INV_ID,0)),""))</f>
        <v/>
      </c>
      <c r="E239" s="50"/>
      <c r="F239" s="59" t="str">
        <f aca="false">IF(E239="","",IFERROR(INDEX(QB_Q,MATCH(E239,QB_ID,0)),"CHECK: Question ID not found"))</f>
        <v/>
      </c>
      <c r="G239" s="59" t="str">
        <f aca="false">IF(E239="","",IFERROR(INDEX(QB_DOMAIN,MATCH(E239,QB_ID,0)),""))</f>
        <v/>
      </c>
      <c r="H239" s="54" t="str">
        <f aca="false">IF(OR(A239="",E239=""),"",IFERROR(IF(ISNUMBER(MATCH(D239,{"Low","Medium","High"},0)),IF(MATCH(D239,{"Low","Medium","High"},0)&gt;=MATCH(INDEX(QB_MINTIER,MATCH(E239,QB_ID,0)),{"Low","Medium","High"},0),"Recommended for tier","Optional for tier"),"Tier not determined"),"Check question"))</f>
        <v/>
      </c>
      <c r="I239" s="34"/>
      <c r="J239" s="50"/>
      <c r="K239" s="34"/>
      <c r="L239" s="34"/>
      <c r="M239" s="62" t="str">
        <f aca="false">IF(L239="","",SUMPRODUCT(ISNUMBER(SEARCH(","&amp;EV_ID&amp;",",","&amp;SUBSTITUTE(L239," ","")&amp;","))*(EV_ID&lt;&gt;"")))</f>
        <v/>
      </c>
      <c r="N239" s="54" t="str">
        <f aca="false">IF(A239="","",IF(I239&lt;&gt;"Applicable",IF(I239="","Applicability not set","Not in scope ("&amp;I239&amp;")"),IF(OR(J239="",J239="Not answered"),"Awaiting supplier response",IF(J239="Not applicable","Supplier states not applicable - analyst to confirm",IF(L239="","Evidence insufficient - none referenced",IF(M239=0,"Evidence insufficient - referenced ID not found",IF(SUMPRODUCT(ISNUMBER(SEARCH(","&amp;EV_ID&amp;",",","&amp;SUBSTITUTE(L239," ","")&amp;","))*(EV_ID&lt;&gt;"")*(EV_SUFF="Sufficient"))&gt;0,"Evidence reviewed - sufficient",IF(SUMPRODUCT(ISNUMBER(SEARCH(","&amp;EV_ID&amp;",",","&amp;SUBSTITUTE(L239," ","")&amp;","))*(EV_ID&lt;&gt;"")*(EV_SUFF="Partially sufficient"))&gt;0,"Evidence partially sufficient","Evidence insufficient - referenced evidence not sufficient"))))))))</f>
        <v/>
      </c>
      <c r="O239" s="50"/>
      <c r="P239" s="34"/>
      <c r="Q239" s="34"/>
      <c r="R239" s="50"/>
      <c r="S239" s="51"/>
      <c r="T239" s="51"/>
      <c r="U239" s="52" t="str">
        <f aca="false">IF(OR(A239="",Q239=""),"",IF(AND(ISNUMBER(S239),S239&lt;AsOf,O239&lt;&gt;"Reviewed"),"Overdue",""))</f>
        <v/>
      </c>
      <c r="V239" s="54" t="str">
        <f aca="false">IF(A239="","",IF(COUNTIF(QA_ID,A239)&gt;1,"CHECK: duplicate ID",IF(B239="","CHECK: Supplier ID missing",IF(COUNTIF(INV_ID,B239)=0,"CHECK: Supplier ID not in inventory",IF(E239="","CHECK: Question ID missing",IF(COUNTIF(QB_ID,E239)=0,"CHECK: Question ID not in bank","OK"))))))</f>
        <v/>
      </c>
    </row>
    <row r="240" customFormat="false" ht="15" hidden="false" customHeight="false" outlineLevel="0" collapsed="false">
      <c r="A240" s="50"/>
      <c r="B240" s="50"/>
      <c r="C240" s="59" t="str">
        <f aca="false">IF(B240="","",IFERROR(INDEX(INV_NAME,MATCH(B240,INV_ID,0)),"CHECK: Supplier ID not found"))</f>
        <v/>
      </c>
      <c r="D240" s="63" t="str">
        <f aca="false">IF(B240="","",IFERROR(INDEX(INV_TIER,MATCH(B240,INV_ID,0)),""))</f>
        <v/>
      </c>
      <c r="E240" s="50"/>
      <c r="F240" s="59" t="str">
        <f aca="false">IF(E240="","",IFERROR(INDEX(QB_Q,MATCH(E240,QB_ID,0)),"CHECK: Question ID not found"))</f>
        <v/>
      </c>
      <c r="G240" s="59" t="str">
        <f aca="false">IF(E240="","",IFERROR(INDEX(QB_DOMAIN,MATCH(E240,QB_ID,0)),""))</f>
        <v/>
      </c>
      <c r="H240" s="54" t="str">
        <f aca="false">IF(OR(A240="",E240=""),"",IFERROR(IF(ISNUMBER(MATCH(D240,{"Low","Medium","High"},0)),IF(MATCH(D240,{"Low","Medium","High"},0)&gt;=MATCH(INDEX(QB_MINTIER,MATCH(E240,QB_ID,0)),{"Low","Medium","High"},0),"Recommended for tier","Optional for tier"),"Tier not determined"),"Check question"))</f>
        <v/>
      </c>
      <c r="I240" s="34"/>
      <c r="J240" s="50"/>
      <c r="K240" s="34"/>
      <c r="L240" s="34"/>
      <c r="M240" s="62" t="str">
        <f aca="false">IF(L240="","",SUMPRODUCT(ISNUMBER(SEARCH(","&amp;EV_ID&amp;",",","&amp;SUBSTITUTE(L240," ","")&amp;","))*(EV_ID&lt;&gt;"")))</f>
        <v/>
      </c>
      <c r="N240" s="54" t="str">
        <f aca="false">IF(A240="","",IF(I240&lt;&gt;"Applicable",IF(I240="","Applicability not set","Not in scope ("&amp;I240&amp;")"),IF(OR(J240="",J240="Not answered"),"Awaiting supplier response",IF(J240="Not applicable","Supplier states not applicable - analyst to confirm",IF(L240="","Evidence insufficient - none referenced",IF(M240=0,"Evidence insufficient - referenced ID not found",IF(SUMPRODUCT(ISNUMBER(SEARCH(","&amp;EV_ID&amp;",",","&amp;SUBSTITUTE(L240," ","")&amp;","))*(EV_ID&lt;&gt;"")*(EV_SUFF="Sufficient"))&gt;0,"Evidence reviewed - sufficient",IF(SUMPRODUCT(ISNUMBER(SEARCH(","&amp;EV_ID&amp;",",","&amp;SUBSTITUTE(L240," ","")&amp;","))*(EV_ID&lt;&gt;"")*(EV_SUFF="Partially sufficient"))&gt;0,"Evidence partially sufficient","Evidence insufficient - referenced evidence not sufficient"))))))))</f>
        <v/>
      </c>
      <c r="O240" s="50"/>
      <c r="P240" s="34"/>
      <c r="Q240" s="34"/>
      <c r="R240" s="50"/>
      <c r="S240" s="51"/>
      <c r="T240" s="51"/>
      <c r="U240" s="52" t="str">
        <f aca="false">IF(OR(A240="",Q240=""),"",IF(AND(ISNUMBER(S240),S240&lt;AsOf,O240&lt;&gt;"Reviewed"),"Overdue",""))</f>
        <v/>
      </c>
      <c r="V240" s="54" t="str">
        <f aca="false">IF(A240="","",IF(COUNTIF(QA_ID,A240)&gt;1,"CHECK: duplicate ID",IF(B240="","CHECK: Supplier ID missing",IF(COUNTIF(INV_ID,B240)=0,"CHECK: Supplier ID not in inventory",IF(E240="","CHECK: Question ID missing",IF(COUNTIF(QB_ID,E240)=0,"CHECK: Question ID not in bank","OK"))))))</f>
        <v/>
      </c>
    </row>
    <row r="241" customFormat="false" ht="15" hidden="false" customHeight="false" outlineLevel="0" collapsed="false">
      <c r="A241" s="50"/>
      <c r="B241" s="50"/>
      <c r="C241" s="59" t="str">
        <f aca="false">IF(B241="","",IFERROR(INDEX(INV_NAME,MATCH(B241,INV_ID,0)),"CHECK: Supplier ID not found"))</f>
        <v/>
      </c>
      <c r="D241" s="63" t="str">
        <f aca="false">IF(B241="","",IFERROR(INDEX(INV_TIER,MATCH(B241,INV_ID,0)),""))</f>
        <v/>
      </c>
      <c r="E241" s="50"/>
      <c r="F241" s="59" t="str">
        <f aca="false">IF(E241="","",IFERROR(INDEX(QB_Q,MATCH(E241,QB_ID,0)),"CHECK: Question ID not found"))</f>
        <v/>
      </c>
      <c r="G241" s="59" t="str">
        <f aca="false">IF(E241="","",IFERROR(INDEX(QB_DOMAIN,MATCH(E241,QB_ID,0)),""))</f>
        <v/>
      </c>
      <c r="H241" s="54" t="str">
        <f aca="false">IF(OR(A241="",E241=""),"",IFERROR(IF(ISNUMBER(MATCH(D241,{"Low","Medium","High"},0)),IF(MATCH(D241,{"Low","Medium","High"},0)&gt;=MATCH(INDEX(QB_MINTIER,MATCH(E241,QB_ID,0)),{"Low","Medium","High"},0),"Recommended for tier","Optional for tier"),"Tier not determined"),"Check question"))</f>
        <v/>
      </c>
      <c r="I241" s="34"/>
      <c r="J241" s="50"/>
      <c r="K241" s="34"/>
      <c r="L241" s="34"/>
      <c r="M241" s="62" t="str">
        <f aca="false">IF(L241="","",SUMPRODUCT(ISNUMBER(SEARCH(","&amp;EV_ID&amp;",",","&amp;SUBSTITUTE(L241," ","")&amp;","))*(EV_ID&lt;&gt;"")))</f>
        <v/>
      </c>
      <c r="N241" s="54" t="str">
        <f aca="false">IF(A241="","",IF(I241&lt;&gt;"Applicable",IF(I241="","Applicability not set","Not in scope ("&amp;I241&amp;")"),IF(OR(J241="",J241="Not answered"),"Awaiting supplier response",IF(J241="Not applicable","Supplier states not applicable - analyst to confirm",IF(L241="","Evidence insufficient - none referenced",IF(M241=0,"Evidence insufficient - referenced ID not found",IF(SUMPRODUCT(ISNUMBER(SEARCH(","&amp;EV_ID&amp;",",","&amp;SUBSTITUTE(L241," ","")&amp;","))*(EV_ID&lt;&gt;"")*(EV_SUFF="Sufficient"))&gt;0,"Evidence reviewed - sufficient",IF(SUMPRODUCT(ISNUMBER(SEARCH(","&amp;EV_ID&amp;",",","&amp;SUBSTITUTE(L241," ","")&amp;","))*(EV_ID&lt;&gt;"")*(EV_SUFF="Partially sufficient"))&gt;0,"Evidence partially sufficient","Evidence insufficient - referenced evidence not sufficient"))))))))</f>
        <v/>
      </c>
      <c r="O241" s="50"/>
      <c r="P241" s="34"/>
      <c r="Q241" s="34"/>
      <c r="R241" s="50"/>
      <c r="S241" s="51"/>
      <c r="T241" s="51"/>
      <c r="U241" s="52" t="str">
        <f aca="false">IF(OR(A241="",Q241=""),"",IF(AND(ISNUMBER(S241),S241&lt;AsOf,O241&lt;&gt;"Reviewed"),"Overdue",""))</f>
        <v/>
      </c>
      <c r="V241" s="54" t="str">
        <f aca="false">IF(A241="","",IF(COUNTIF(QA_ID,A241)&gt;1,"CHECK: duplicate ID",IF(B241="","CHECK: Supplier ID missing",IF(COUNTIF(INV_ID,B241)=0,"CHECK: Supplier ID not in inventory",IF(E241="","CHECK: Question ID missing",IF(COUNTIF(QB_ID,E241)=0,"CHECK: Question ID not in bank","OK"))))))</f>
        <v/>
      </c>
    </row>
    <row r="242" customFormat="false" ht="15" hidden="false" customHeight="false" outlineLevel="0" collapsed="false">
      <c r="A242" s="50"/>
      <c r="B242" s="50"/>
      <c r="C242" s="59" t="str">
        <f aca="false">IF(B242="","",IFERROR(INDEX(INV_NAME,MATCH(B242,INV_ID,0)),"CHECK: Supplier ID not found"))</f>
        <v/>
      </c>
      <c r="D242" s="63" t="str">
        <f aca="false">IF(B242="","",IFERROR(INDEX(INV_TIER,MATCH(B242,INV_ID,0)),""))</f>
        <v/>
      </c>
      <c r="E242" s="50"/>
      <c r="F242" s="59" t="str">
        <f aca="false">IF(E242="","",IFERROR(INDEX(QB_Q,MATCH(E242,QB_ID,0)),"CHECK: Question ID not found"))</f>
        <v/>
      </c>
      <c r="G242" s="59" t="str">
        <f aca="false">IF(E242="","",IFERROR(INDEX(QB_DOMAIN,MATCH(E242,QB_ID,0)),""))</f>
        <v/>
      </c>
      <c r="H242" s="54" t="str">
        <f aca="false">IF(OR(A242="",E242=""),"",IFERROR(IF(ISNUMBER(MATCH(D242,{"Low","Medium","High"},0)),IF(MATCH(D242,{"Low","Medium","High"},0)&gt;=MATCH(INDEX(QB_MINTIER,MATCH(E242,QB_ID,0)),{"Low","Medium","High"},0),"Recommended for tier","Optional for tier"),"Tier not determined"),"Check question"))</f>
        <v/>
      </c>
      <c r="I242" s="34"/>
      <c r="J242" s="50"/>
      <c r="K242" s="34"/>
      <c r="L242" s="34"/>
      <c r="M242" s="62" t="str">
        <f aca="false">IF(L242="","",SUMPRODUCT(ISNUMBER(SEARCH(","&amp;EV_ID&amp;",",","&amp;SUBSTITUTE(L242," ","")&amp;","))*(EV_ID&lt;&gt;"")))</f>
        <v/>
      </c>
      <c r="N242" s="54" t="str">
        <f aca="false">IF(A242="","",IF(I242&lt;&gt;"Applicable",IF(I242="","Applicability not set","Not in scope ("&amp;I242&amp;")"),IF(OR(J242="",J242="Not answered"),"Awaiting supplier response",IF(J242="Not applicable","Supplier states not applicable - analyst to confirm",IF(L242="","Evidence insufficient - none referenced",IF(M242=0,"Evidence insufficient - referenced ID not found",IF(SUMPRODUCT(ISNUMBER(SEARCH(","&amp;EV_ID&amp;",",","&amp;SUBSTITUTE(L242," ","")&amp;","))*(EV_ID&lt;&gt;"")*(EV_SUFF="Sufficient"))&gt;0,"Evidence reviewed - sufficient",IF(SUMPRODUCT(ISNUMBER(SEARCH(","&amp;EV_ID&amp;",",","&amp;SUBSTITUTE(L242," ","")&amp;","))*(EV_ID&lt;&gt;"")*(EV_SUFF="Partially sufficient"))&gt;0,"Evidence partially sufficient","Evidence insufficient - referenced evidence not sufficient"))))))))</f>
        <v/>
      </c>
      <c r="O242" s="50"/>
      <c r="P242" s="34"/>
      <c r="Q242" s="34"/>
      <c r="R242" s="50"/>
      <c r="S242" s="51"/>
      <c r="T242" s="51"/>
      <c r="U242" s="52" t="str">
        <f aca="false">IF(OR(A242="",Q242=""),"",IF(AND(ISNUMBER(S242),S242&lt;AsOf,O242&lt;&gt;"Reviewed"),"Overdue",""))</f>
        <v/>
      </c>
      <c r="V242" s="54" t="str">
        <f aca="false">IF(A242="","",IF(COUNTIF(QA_ID,A242)&gt;1,"CHECK: duplicate ID",IF(B242="","CHECK: Supplier ID missing",IF(COUNTIF(INV_ID,B242)=0,"CHECK: Supplier ID not in inventory",IF(E242="","CHECK: Question ID missing",IF(COUNTIF(QB_ID,E242)=0,"CHECK: Question ID not in bank","OK"))))))</f>
        <v/>
      </c>
    </row>
    <row r="243" customFormat="false" ht="15" hidden="false" customHeight="false" outlineLevel="0" collapsed="false">
      <c r="A243" s="50"/>
      <c r="B243" s="50"/>
      <c r="C243" s="59" t="str">
        <f aca="false">IF(B243="","",IFERROR(INDEX(INV_NAME,MATCH(B243,INV_ID,0)),"CHECK: Supplier ID not found"))</f>
        <v/>
      </c>
      <c r="D243" s="63" t="str">
        <f aca="false">IF(B243="","",IFERROR(INDEX(INV_TIER,MATCH(B243,INV_ID,0)),""))</f>
        <v/>
      </c>
      <c r="E243" s="50"/>
      <c r="F243" s="59" t="str">
        <f aca="false">IF(E243="","",IFERROR(INDEX(QB_Q,MATCH(E243,QB_ID,0)),"CHECK: Question ID not found"))</f>
        <v/>
      </c>
      <c r="G243" s="59" t="str">
        <f aca="false">IF(E243="","",IFERROR(INDEX(QB_DOMAIN,MATCH(E243,QB_ID,0)),""))</f>
        <v/>
      </c>
      <c r="H243" s="54" t="str">
        <f aca="false">IF(OR(A243="",E243=""),"",IFERROR(IF(ISNUMBER(MATCH(D243,{"Low","Medium","High"},0)),IF(MATCH(D243,{"Low","Medium","High"},0)&gt;=MATCH(INDEX(QB_MINTIER,MATCH(E243,QB_ID,0)),{"Low","Medium","High"},0),"Recommended for tier","Optional for tier"),"Tier not determined"),"Check question"))</f>
        <v/>
      </c>
      <c r="I243" s="34"/>
      <c r="J243" s="50"/>
      <c r="K243" s="34"/>
      <c r="L243" s="34"/>
      <c r="M243" s="62" t="str">
        <f aca="false">IF(L243="","",SUMPRODUCT(ISNUMBER(SEARCH(","&amp;EV_ID&amp;",",","&amp;SUBSTITUTE(L243," ","")&amp;","))*(EV_ID&lt;&gt;"")))</f>
        <v/>
      </c>
      <c r="N243" s="54" t="str">
        <f aca="false">IF(A243="","",IF(I243&lt;&gt;"Applicable",IF(I243="","Applicability not set","Not in scope ("&amp;I243&amp;")"),IF(OR(J243="",J243="Not answered"),"Awaiting supplier response",IF(J243="Not applicable","Supplier states not applicable - analyst to confirm",IF(L243="","Evidence insufficient - none referenced",IF(M243=0,"Evidence insufficient - referenced ID not found",IF(SUMPRODUCT(ISNUMBER(SEARCH(","&amp;EV_ID&amp;",",","&amp;SUBSTITUTE(L243," ","")&amp;","))*(EV_ID&lt;&gt;"")*(EV_SUFF="Sufficient"))&gt;0,"Evidence reviewed - sufficient",IF(SUMPRODUCT(ISNUMBER(SEARCH(","&amp;EV_ID&amp;",",","&amp;SUBSTITUTE(L243," ","")&amp;","))*(EV_ID&lt;&gt;"")*(EV_SUFF="Partially sufficient"))&gt;0,"Evidence partially sufficient","Evidence insufficient - referenced evidence not sufficient"))))))))</f>
        <v/>
      </c>
      <c r="O243" s="50"/>
      <c r="P243" s="34"/>
      <c r="Q243" s="34"/>
      <c r="R243" s="50"/>
      <c r="S243" s="51"/>
      <c r="T243" s="51"/>
      <c r="U243" s="52" t="str">
        <f aca="false">IF(OR(A243="",Q243=""),"",IF(AND(ISNUMBER(S243),S243&lt;AsOf,O243&lt;&gt;"Reviewed"),"Overdue",""))</f>
        <v/>
      </c>
      <c r="V243" s="54" t="str">
        <f aca="false">IF(A243="","",IF(COUNTIF(QA_ID,A243)&gt;1,"CHECK: duplicate ID",IF(B243="","CHECK: Supplier ID missing",IF(COUNTIF(INV_ID,B243)=0,"CHECK: Supplier ID not in inventory",IF(E243="","CHECK: Question ID missing",IF(COUNTIF(QB_ID,E243)=0,"CHECK: Question ID not in bank","OK"))))))</f>
        <v/>
      </c>
    </row>
    <row r="244" customFormat="false" ht="15" hidden="false" customHeight="false" outlineLevel="0" collapsed="false">
      <c r="A244" s="50"/>
      <c r="B244" s="50"/>
      <c r="C244" s="59" t="str">
        <f aca="false">IF(B244="","",IFERROR(INDEX(INV_NAME,MATCH(B244,INV_ID,0)),"CHECK: Supplier ID not found"))</f>
        <v/>
      </c>
      <c r="D244" s="63" t="str">
        <f aca="false">IF(B244="","",IFERROR(INDEX(INV_TIER,MATCH(B244,INV_ID,0)),""))</f>
        <v/>
      </c>
      <c r="E244" s="50"/>
      <c r="F244" s="59" t="str">
        <f aca="false">IF(E244="","",IFERROR(INDEX(QB_Q,MATCH(E244,QB_ID,0)),"CHECK: Question ID not found"))</f>
        <v/>
      </c>
      <c r="G244" s="59" t="str">
        <f aca="false">IF(E244="","",IFERROR(INDEX(QB_DOMAIN,MATCH(E244,QB_ID,0)),""))</f>
        <v/>
      </c>
      <c r="H244" s="54" t="str">
        <f aca="false">IF(OR(A244="",E244=""),"",IFERROR(IF(ISNUMBER(MATCH(D244,{"Low","Medium","High"},0)),IF(MATCH(D244,{"Low","Medium","High"},0)&gt;=MATCH(INDEX(QB_MINTIER,MATCH(E244,QB_ID,0)),{"Low","Medium","High"},0),"Recommended for tier","Optional for tier"),"Tier not determined"),"Check question"))</f>
        <v/>
      </c>
      <c r="I244" s="34"/>
      <c r="J244" s="50"/>
      <c r="K244" s="34"/>
      <c r="L244" s="34"/>
      <c r="M244" s="62" t="str">
        <f aca="false">IF(L244="","",SUMPRODUCT(ISNUMBER(SEARCH(","&amp;EV_ID&amp;",",","&amp;SUBSTITUTE(L244," ","")&amp;","))*(EV_ID&lt;&gt;"")))</f>
        <v/>
      </c>
      <c r="N244" s="54" t="str">
        <f aca="false">IF(A244="","",IF(I244&lt;&gt;"Applicable",IF(I244="","Applicability not set","Not in scope ("&amp;I244&amp;")"),IF(OR(J244="",J244="Not answered"),"Awaiting supplier response",IF(J244="Not applicable","Supplier states not applicable - analyst to confirm",IF(L244="","Evidence insufficient - none referenced",IF(M244=0,"Evidence insufficient - referenced ID not found",IF(SUMPRODUCT(ISNUMBER(SEARCH(","&amp;EV_ID&amp;",",","&amp;SUBSTITUTE(L244," ","")&amp;","))*(EV_ID&lt;&gt;"")*(EV_SUFF="Sufficient"))&gt;0,"Evidence reviewed - sufficient",IF(SUMPRODUCT(ISNUMBER(SEARCH(","&amp;EV_ID&amp;",",","&amp;SUBSTITUTE(L244," ","")&amp;","))*(EV_ID&lt;&gt;"")*(EV_SUFF="Partially sufficient"))&gt;0,"Evidence partially sufficient","Evidence insufficient - referenced evidence not sufficient"))))))))</f>
        <v/>
      </c>
      <c r="O244" s="50"/>
      <c r="P244" s="34"/>
      <c r="Q244" s="34"/>
      <c r="R244" s="50"/>
      <c r="S244" s="51"/>
      <c r="T244" s="51"/>
      <c r="U244" s="52" t="str">
        <f aca="false">IF(OR(A244="",Q244=""),"",IF(AND(ISNUMBER(S244),S244&lt;AsOf,O244&lt;&gt;"Reviewed"),"Overdue",""))</f>
        <v/>
      </c>
      <c r="V244" s="54" t="str">
        <f aca="false">IF(A244="","",IF(COUNTIF(QA_ID,A244)&gt;1,"CHECK: duplicate ID",IF(B244="","CHECK: Supplier ID missing",IF(COUNTIF(INV_ID,B244)=0,"CHECK: Supplier ID not in inventory",IF(E244="","CHECK: Question ID missing",IF(COUNTIF(QB_ID,E244)=0,"CHECK: Question ID not in bank","OK"))))))</f>
        <v/>
      </c>
    </row>
    <row r="245" customFormat="false" ht="15" hidden="false" customHeight="false" outlineLevel="0" collapsed="false">
      <c r="A245" s="50"/>
      <c r="B245" s="50"/>
      <c r="C245" s="59" t="str">
        <f aca="false">IF(B245="","",IFERROR(INDEX(INV_NAME,MATCH(B245,INV_ID,0)),"CHECK: Supplier ID not found"))</f>
        <v/>
      </c>
      <c r="D245" s="63" t="str">
        <f aca="false">IF(B245="","",IFERROR(INDEX(INV_TIER,MATCH(B245,INV_ID,0)),""))</f>
        <v/>
      </c>
      <c r="E245" s="50"/>
      <c r="F245" s="59" t="str">
        <f aca="false">IF(E245="","",IFERROR(INDEX(QB_Q,MATCH(E245,QB_ID,0)),"CHECK: Question ID not found"))</f>
        <v/>
      </c>
      <c r="G245" s="59" t="str">
        <f aca="false">IF(E245="","",IFERROR(INDEX(QB_DOMAIN,MATCH(E245,QB_ID,0)),""))</f>
        <v/>
      </c>
      <c r="H245" s="54" t="str">
        <f aca="false">IF(OR(A245="",E245=""),"",IFERROR(IF(ISNUMBER(MATCH(D245,{"Low","Medium","High"},0)),IF(MATCH(D245,{"Low","Medium","High"},0)&gt;=MATCH(INDEX(QB_MINTIER,MATCH(E245,QB_ID,0)),{"Low","Medium","High"},0),"Recommended for tier","Optional for tier"),"Tier not determined"),"Check question"))</f>
        <v/>
      </c>
      <c r="I245" s="34"/>
      <c r="J245" s="50"/>
      <c r="K245" s="34"/>
      <c r="L245" s="34"/>
      <c r="M245" s="62" t="str">
        <f aca="false">IF(L245="","",SUMPRODUCT(ISNUMBER(SEARCH(","&amp;EV_ID&amp;",",","&amp;SUBSTITUTE(L245," ","")&amp;","))*(EV_ID&lt;&gt;"")))</f>
        <v/>
      </c>
      <c r="N245" s="54" t="str">
        <f aca="false">IF(A245="","",IF(I245&lt;&gt;"Applicable",IF(I245="","Applicability not set","Not in scope ("&amp;I245&amp;")"),IF(OR(J245="",J245="Not answered"),"Awaiting supplier response",IF(J245="Not applicable","Supplier states not applicable - analyst to confirm",IF(L245="","Evidence insufficient - none referenced",IF(M245=0,"Evidence insufficient - referenced ID not found",IF(SUMPRODUCT(ISNUMBER(SEARCH(","&amp;EV_ID&amp;",",","&amp;SUBSTITUTE(L245," ","")&amp;","))*(EV_ID&lt;&gt;"")*(EV_SUFF="Sufficient"))&gt;0,"Evidence reviewed - sufficient",IF(SUMPRODUCT(ISNUMBER(SEARCH(","&amp;EV_ID&amp;",",","&amp;SUBSTITUTE(L245," ","")&amp;","))*(EV_ID&lt;&gt;"")*(EV_SUFF="Partially sufficient"))&gt;0,"Evidence partially sufficient","Evidence insufficient - referenced evidence not sufficient"))))))))</f>
        <v/>
      </c>
      <c r="O245" s="50"/>
      <c r="P245" s="34"/>
      <c r="Q245" s="34"/>
      <c r="R245" s="50"/>
      <c r="S245" s="51"/>
      <c r="T245" s="51"/>
      <c r="U245" s="52" t="str">
        <f aca="false">IF(OR(A245="",Q245=""),"",IF(AND(ISNUMBER(S245),S245&lt;AsOf,O245&lt;&gt;"Reviewed"),"Overdue",""))</f>
        <v/>
      </c>
      <c r="V245" s="54" t="str">
        <f aca="false">IF(A245="","",IF(COUNTIF(QA_ID,A245)&gt;1,"CHECK: duplicate ID",IF(B245="","CHECK: Supplier ID missing",IF(COUNTIF(INV_ID,B245)=0,"CHECK: Supplier ID not in inventory",IF(E245="","CHECK: Question ID missing",IF(COUNTIF(QB_ID,E245)=0,"CHECK: Question ID not in bank","OK"))))))</f>
        <v/>
      </c>
    </row>
    <row r="246" customFormat="false" ht="15" hidden="false" customHeight="false" outlineLevel="0" collapsed="false">
      <c r="A246" s="50"/>
      <c r="B246" s="50"/>
      <c r="C246" s="59" t="str">
        <f aca="false">IF(B246="","",IFERROR(INDEX(INV_NAME,MATCH(B246,INV_ID,0)),"CHECK: Supplier ID not found"))</f>
        <v/>
      </c>
      <c r="D246" s="63" t="str">
        <f aca="false">IF(B246="","",IFERROR(INDEX(INV_TIER,MATCH(B246,INV_ID,0)),""))</f>
        <v/>
      </c>
      <c r="E246" s="50"/>
      <c r="F246" s="59" t="str">
        <f aca="false">IF(E246="","",IFERROR(INDEX(QB_Q,MATCH(E246,QB_ID,0)),"CHECK: Question ID not found"))</f>
        <v/>
      </c>
      <c r="G246" s="59" t="str">
        <f aca="false">IF(E246="","",IFERROR(INDEX(QB_DOMAIN,MATCH(E246,QB_ID,0)),""))</f>
        <v/>
      </c>
      <c r="H246" s="54" t="str">
        <f aca="false">IF(OR(A246="",E246=""),"",IFERROR(IF(ISNUMBER(MATCH(D246,{"Low","Medium","High"},0)),IF(MATCH(D246,{"Low","Medium","High"},0)&gt;=MATCH(INDEX(QB_MINTIER,MATCH(E246,QB_ID,0)),{"Low","Medium","High"},0),"Recommended for tier","Optional for tier"),"Tier not determined"),"Check question"))</f>
        <v/>
      </c>
      <c r="I246" s="34"/>
      <c r="J246" s="50"/>
      <c r="K246" s="34"/>
      <c r="L246" s="34"/>
      <c r="M246" s="62" t="str">
        <f aca="false">IF(L246="","",SUMPRODUCT(ISNUMBER(SEARCH(","&amp;EV_ID&amp;",",","&amp;SUBSTITUTE(L246," ","")&amp;","))*(EV_ID&lt;&gt;"")))</f>
        <v/>
      </c>
      <c r="N246" s="54" t="str">
        <f aca="false">IF(A246="","",IF(I246&lt;&gt;"Applicable",IF(I246="","Applicability not set","Not in scope ("&amp;I246&amp;")"),IF(OR(J246="",J246="Not answered"),"Awaiting supplier response",IF(J246="Not applicable","Supplier states not applicable - analyst to confirm",IF(L246="","Evidence insufficient - none referenced",IF(M246=0,"Evidence insufficient - referenced ID not found",IF(SUMPRODUCT(ISNUMBER(SEARCH(","&amp;EV_ID&amp;",",","&amp;SUBSTITUTE(L246," ","")&amp;","))*(EV_ID&lt;&gt;"")*(EV_SUFF="Sufficient"))&gt;0,"Evidence reviewed - sufficient",IF(SUMPRODUCT(ISNUMBER(SEARCH(","&amp;EV_ID&amp;",",","&amp;SUBSTITUTE(L246," ","")&amp;","))*(EV_ID&lt;&gt;"")*(EV_SUFF="Partially sufficient"))&gt;0,"Evidence partially sufficient","Evidence insufficient - referenced evidence not sufficient"))))))))</f>
        <v/>
      </c>
      <c r="O246" s="50"/>
      <c r="P246" s="34"/>
      <c r="Q246" s="34"/>
      <c r="R246" s="50"/>
      <c r="S246" s="51"/>
      <c r="T246" s="51"/>
      <c r="U246" s="52" t="str">
        <f aca="false">IF(OR(A246="",Q246=""),"",IF(AND(ISNUMBER(S246),S246&lt;AsOf,O246&lt;&gt;"Reviewed"),"Overdue",""))</f>
        <v/>
      </c>
      <c r="V246" s="54" t="str">
        <f aca="false">IF(A246="","",IF(COUNTIF(QA_ID,A246)&gt;1,"CHECK: duplicate ID",IF(B246="","CHECK: Supplier ID missing",IF(COUNTIF(INV_ID,B246)=0,"CHECK: Supplier ID not in inventory",IF(E246="","CHECK: Question ID missing",IF(COUNTIF(QB_ID,E246)=0,"CHECK: Question ID not in bank","OK"))))))</f>
        <v/>
      </c>
    </row>
    <row r="247" customFormat="false" ht="15" hidden="false" customHeight="false" outlineLevel="0" collapsed="false">
      <c r="A247" s="50"/>
      <c r="B247" s="50"/>
      <c r="C247" s="59" t="str">
        <f aca="false">IF(B247="","",IFERROR(INDEX(INV_NAME,MATCH(B247,INV_ID,0)),"CHECK: Supplier ID not found"))</f>
        <v/>
      </c>
      <c r="D247" s="63" t="str">
        <f aca="false">IF(B247="","",IFERROR(INDEX(INV_TIER,MATCH(B247,INV_ID,0)),""))</f>
        <v/>
      </c>
      <c r="E247" s="50"/>
      <c r="F247" s="59" t="str">
        <f aca="false">IF(E247="","",IFERROR(INDEX(QB_Q,MATCH(E247,QB_ID,0)),"CHECK: Question ID not found"))</f>
        <v/>
      </c>
      <c r="G247" s="59" t="str">
        <f aca="false">IF(E247="","",IFERROR(INDEX(QB_DOMAIN,MATCH(E247,QB_ID,0)),""))</f>
        <v/>
      </c>
      <c r="H247" s="54" t="str">
        <f aca="false">IF(OR(A247="",E247=""),"",IFERROR(IF(ISNUMBER(MATCH(D247,{"Low","Medium","High"},0)),IF(MATCH(D247,{"Low","Medium","High"},0)&gt;=MATCH(INDEX(QB_MINTIER,MATCH(E247,QB_ID,0)),{"Low","Medium","High"},0),"Recommended for tier","Optional for tier"),"Tier not determined"),"Check question"))</f>
        <v/>
      </c>
      <c r="I247" s="34"/>
      <c r="J247" s="50"/>
      <c r="K247" s="34"/>
      <c r="L247" s="34"/>
      <c r="M247" s="62" t="str">
        <f aca="false">IF(L247="","",SUMPRODUCT(ISNUMBER(SEARCH(","&amp;EV_ID&amp;",",","&amp;SUBSTITUTE(L247," ","")&amp;","))*(EV_ID&lt;&gt;"")))</f>
        <v/>
      </c>
      <c r="N247" s="54" t="str">
        <f aca="false">IF(A247="","",IF(I247&lt;&gt;"Applicable",IF(I247="","Applicability not set","Not in scope ("&amp;I247&amp;")"),IF(OR(J247="",J247="Not answered"),"Awaiting supplier response",IF(J247="Not applicable","Supplier states not applicable - analyst to confirm",IF(L247="","Evidence insufficient - none referenced",IF(M247=0,"Evidence insufficient - referenced ID not found",IF(SUMPRODUCT(ISNUMBER(SEARCH(","&amp;EV_ID&amp;",",","&amp;SUBSTITUTE(L247," ","")&amp;","))*(EV_ID&lt;&gt;"")*(EV_SUFF="Sufficient"))&gt;0,"Evidence reviewed - sufficient",IF(SUMPRODUCT(ISNUMBER(SEARCH(","&amp;EV_ID&amp;",",","&amp;SUBSTITUTE(L247," ","")&amp;","))*(EV_ID&lt;&gt;"")*(EV_SUFF="Partially sufficient"))&gt;0,"Evidence partially sufficient","Evidence insufficient - referenced evidence not sufficient"))))))))</f>
        <v/>
      </c>
      <c r="O247" s="50"/>
      <c r="P247" s="34"/>
      <c r="Q247" s="34"/>
      <c r="R247" s="50"/>
      <c r="S247" s="51"/>
      <c r="T247" s="51"/>
      <c r="U247" s="52" t="str">
        <f aca="false">IF(OR(A247="",Q247=""),"",IF(AND(ISNUMBER(S247),S247&lt;AsOf,O247&lt;&gt;"Reviewed"),"Overdue",""))</f>
        <v/>
      </c>
      <c r="V247" s="54" t="str">
        <f aca="false">IF(A247="","",IF(COUNTIF(QA_ID,A247)&gt;1,"CHECK: duplicate ID",IF(B247="","CHECK: Supplier ID missing",IF(COUNTIF(INV_ID,B247)=0,"CHECK: Supplier ID not in inventory",IF(E247="","CHECK: Question ID missing",IF(COUNTIF(QB_ID,E247)=0,"CHECK: Question ID not in bank","OK"))))))</f>
        <v/>
      </c>
    </row>
    <row r="248" customFormat="false" ht="15" hidden="false" customHeight="false" outlineLevel="0" collapsed="false">
      <c r="A248" s="50"/>
      <c r="B248" s="50"/>
      <c r="C248" s="59" t="str">
        <f aca="false">IF(B248="","",IFERROR(INDEX(INV_NAME,MATCH(B248,INV_ID,0)),"CHECK: Supplier ID not found"))</f>
        <v/>
      </c>
      <c r="D248" s="63" t="str">
        <f aca="false">IF(B248="","",IFERROR(INDEX(INV_TIER,MATCH(B248,INV_ID,0)),""))</f>
        <v/>
      </c>
      <c r="E248" s="50"/>
      <c r="F248" s="59" t="str">
        <f aca="false">IF(E248="","",IFERROR(INDEX(QB_Q,MATCH(E248,QB_ID,0)),"CHECK: Question ID not found"))</f>
        <v/>
      </c>
      <c r="G248" s="59" t="str">
        <f aca="false">IF(E248="","",IFERROR(INDEX(QB_DOMAIN,MATCH(E248,QB_ID,0)),""))</f>
        <v/>
      </c>
      <c r="H248" s="54" t="str">
        <f aca="false">IF(OR(A248="",E248=""),"",IFERROR(IF(ISNUMBER(MATCH(D248,{"Low","Medium","High"},0)),IF(MATCH(D248,{"Low","Medium","High"},0)&gt;=MATCH(INDEX(QB_MINTIER,MATCH(E248,QB_ID,0)),{"Low","Medium","High"},0),"Recommended for tier","Optional for tier"),"Tier not determined"),"Check question"))</f>
        <v/>
      </c>
      <c r="I248" s="34"/>
      <c r="J248" s="50"/>
      <c r="K248" s="34"/>
      <c r="L248" s="34"/>
      <c r="M248" s="62" t="str">
        <f aca="false">IF(L248="","",SUMPRODUCT(ISNUMBER(SEARCH(","&amp;EV_ID&amp;",",","&amp;SUBSTITUTE(L248," ","")&amp;","))*(EV_ID&lt;&gt;"")))</f>
        <v/>
      </c>
      <c r="N248" s="54" t="str">
        <f aca="false">IF(A248="","",IF(I248&lt;&gt;"Applicable",IF(I248="","Applicability not set","Not in scope ("&amp;I248&amp;")"),IF(OR(J248="",J248="Not answered"),"Awaiting supplier response",IF(J248="Not applicable","Supplier states not applicable - analyst to confirm",IF(L248="","Evidence insufficient - none referenced",IF(M248=0,"Evidence insufficient - referenced ID not found",IF(SUMPRODUCT(ISNUMBER(SEARCH(","&amp;EV_ID&amp;",",","&amp;SUBSTITUTE(L248," ","")&amp;","))*(EV_ID&lt;&gt;"")*(EV_SUFF="Sufficient"))&gt;0,"Evidence reviewed - sufficient",IF(SUMPRODUCT(ISNUMBER(SEARCH(","&amp;EV_ID&amp;",",","&amp;SUBSTITUTE(L248," ","")&amp;","))*(EV_ID&lt;&gt;"")*(EV_SUFF="Partially sufficient"))&gt;0,"Evidence partially sufficient","Evidence insufficient - referenced evidence not sufficient"))))))))</f>
        <v/>
      </c>
      <c r="O248" s="50"/>
      <c r="P248" s="34"/>
      <c r="Q248" s="34"/>
      <c r="R248" s="50"/>
      <c r="S248" s="51"/>
      <c r="T248" s="51"/>
      <c r="U248" s="52" t="str">
        <f aca="false">IF(OR(A248="",Q248=""),"",IF(AND(ISNUMBER(S248),S248&lt;AsOf,O248&lt;&gt;"Reviewed"),"Overdue",""))</f>
        <v/>
      </c>
      <c r="V248" s="54" t="str">
        <f aca="false">IF(A248="","",IF(COUNTIF(QA_ID,A248)&gt;1,"CHECK: duplicate ID",IF(B248="","CHECK: Supplier ID missing",IF(COUNTIF(INV_ID,B248)=0,"CHECK: Supplier ID not in inventory",IF(E248="","CHECK: Question ID missing",IF(COUNTIF(QB_ID,E248)=0,"CHECK: Question ID not in bank","OK"))))))</f>
        <v/>
      </c>
    </row>
    <row r="249" customFormat="false" ht="15" hidden="false" customHeight="false" outlineLevel="0" collapsed="false">
      <c r="A249" s="50"/>
      <c r="B249" s="50"/>
      <c r="C249" s="59" t="str">
        <f aca="false">IF(B249="","",IFERROR(INDEX(INV_NAME,MATCH(B249,INV_ID,0)),"CHECK: Supplier ID not found"))</f>
        <v/>
      </c>
      <c r="D249" s="63" t="str">
        <f aca="false">IF(B249="","",IFERROR(INDEX(INV_TIER,MATCH(B249,INV_ID,0)),""))</f>
        <v/>
      </c>
      <c r="E249" s="50"/>
      <c r="F249" s="59" t="str">
        <f aca="false">IF(E249="","",IFERROR(INDEX(QB_Q,MATCH(E249,QB_ID,0)),"CHECK: Question ID not found"))</f>
        <v/>
      </c>
      <c r="G249" s="59" t="str">
        <f aca="false">IF(E249="","",IFERROR(INDEX(QB_DOMAIN,MATCH(E249,QB_ID,0)),""))</f>
        <v/>
      </c>
      <c r="H249" s="54" t="str">
        <f aca="false">IF(OR(A249="",E249=""),"",IFERROR(IF(ISNUMBER(MATCH(D249,{"Low","Medium","High"},0)),IF(MATCH(D249,{"Low","Medium","High"},0)&gt;=MATCH(INDEX(QB_MINTIER,MATCH(E249,QB_ID,0)),{"Low","Medium","High"},0),"Recommended for tier","Optional for tier"),"Tier not determined"),"Check question"))</f>
        <v/>
      </c>
      <c r="I249" s="34"/>
      <c r="J249" s="50"/>
      <c r="K249" s="34"/>
      <c r="L249" s="34"/>
      <c r="M249" s="62" t="str">
        <f aca="false">IF(L249="","",SUMPRODUCT(ISNUMBER(SEARCH(","&amp;EV_ID&amp;",",","&amp;SUBSTITUTE(L249," ","")&amp;","))*(EV_ID&lt;&gt;"")))</f>
        <v/>
      </c>
      <c r="N249" s="54" t="str">
        <f aca="false">IF(A249="","",IF(I249&lt;&gt;"Applicable",IF(I249="","Applicability not set","Not in scope ("&amp;I249&amp;")"),IF(OR(J249="",J249="Not answered"),"Awaiting supplier response",IF(J249="Not applicable","Supplier states not applicable - analyst to confirm",IF(L249="","Evidence insufficient - none referenced",IF(M249=0,"Evidence insufficient - referenced ID not found",IF(SUMPRODUCT(ISNUMBER(SEARCH(","&amp;EV_ID&amp;",",","&amp;SUBSTITUTE(L249," ","")&amp;","))*(EV_ID&lt;&gt;"")*(EV_SUFF="Sufficient"))&gt;0,"Evidence reviewed - sufficient",IF(SUMPRODUCT(ISNUMBER(SEARCH(","&amp;EV_ID&amp;",",","&amp;SUBSTITUTE(L249," ","")&amp;","))*(EV_ID&lt;&gt;"")*(EV_SUFF="Partially sufficient"))&gt;0,"Evidence partially sufficient","Evidence insufficient - referenced evidence not sufficient"))))))))</f>
        <v/>
      </c>
      <c r="O249" s="50"/>
      <c r="P249" s="34"/>
      <c r="Q249" s="34"/>
      <c r="R249" s="50"/>
      <c r="S249" s="51"/>
      <c r="T249" s="51"/>
      <c r="U249" s="52" t="str">
        <f aca="false">IF(OR(A249="",Q249=""),"",IF(AND(ISNUMBER(S249),S249&lt;AsOf,O249&lt;&gt;"Reviewed"),"Overdue",""))</f>
        <v/>
      </c>
      <c r="V249" s="54" t="str">
        <f aca="false">IF(A249="","",IF(COUNTIF(QA_ID,A249)&gt;1,"CHECK: duplicate ID",IF(B249="","CHECK: Supplier ID missing",IF(COUNTIF(INV_ID,B249)=0,"CHECK: Supplier ID not in inventory",IF(E249="","CHECK: Question ID missing",IF(COUNTIF(QB_ID,E249)=0,"CHECK: Question ID not in bank","OK"))))))</f>
        <v/>
      </c>
    </row>
    <row r="250" customFormat="false" ht="15" hidden="false" customHeight="false" outlineLevel="0" collapsed="false">
      <c r="A250" s="50"/>
      <c r="B250" s="50"/>
      <c r="C250" s="59" t="str">
        <f aca="false">IF(B250="","",IFERROR(INDEX(INV_NAME,MATCH(B250,INV_ID,0)),"CHECK: Supplier ID not found"))</f>
        <v/>
      </c>
      <c r="D250" s="63" t="str">
        <f aca="false">IF(B250="","",IFERROR(INDEX(INV_TIER,MATCH(B250,INV_ID,0)),""))</f>
        <v/>
      </c>
      <c r="E250" s="50"/>
      <c r="F250" s="59" t="str">
        <f aca="false">IF(E250="","",IFERROR(INDEX(QB_Q,MATCH(E250,QB_ID,0)),"CHECK: Question ID not found"))</f>
        <v/>
      </c>
      <c r="G250" s="59" t="str">
        <f aca="false">IF(E250="","",IFERROR(INDEX(QB_DOMAIN,MATCH(E250,QB_ID,0)),""))</f>
        <v/>
      </c>
      <c r="H250" s="54" t="str">
        <f aca="false">IF(OR(A250="",E250=""),"",IFERROR(IF(ISNUMBER(MATCH(D250,{"Low","Medium","High"},0)),IF(MATCH(D250,{"Low","Medium","High"},0)&gt;=MATCH(INDEX(QB_MINTIER,MATCH(E250,QB_ID,0)),{"Low","Medium","High"},0),"Recommended for tier","Optional for tier"),"Tier not determined"),"Check question"))</f>
        <v/>
      </c>
      <c r="I250" s="34"/>
      <c r="J250" s="50"/>
      <c r="K250" s="34"/>
      <c r="L250" s="34"/>
      <c r="M250" s="62" t="str">
        <f aca="false">IF(L250="","",SUMPRODUCT(ISNUMBER(SEARCH(","&amp;EV_ID&amp;",",","&amp;SUBSTITUTE(L250," ","")&amp;","))*(EV_ID&lt;&gt;"")))</f>
        <v/>
      </c>
      <c r="N250" s="54" t="str">
        <f aca="false">IF(A250="","",IF(I250&lt;&gt;"Applicable",IF(I250="","Applicability not set","Not in scope ("&amp;I250&amp;")"),IF(OR(J250="",J250="Not answered"),"Awaiting supplier response",IF(J250="Not applicable","Supplier states not applicable - analyst to confirm",IF(L250="","Evidence insufficient - none referenced",IF(M250=0,"Evidence insufficient - referenced ID not found",IF(SUMPRODUCT(ISNUMBER(SEARCH(","&amp;EV_ID&amp;",",","&amp;SUBSTITUTE(L250," ","")&amp;","))*(EV_ID&lt;&gt;"")*(EV_SUFF="Sufficient"))&gt;0,"Evidence reviewed - sufficient",IF(SUMPRODUCT(ISNUMBER(SEARCH(","&amp;EV_ID&amp;",",","&amp;SUBSTITUTE(L250," ","")&amp;","))*(EV_ID&lt;&gt;"")*(EV_SUFF="Partially sufficient"))&gt;0,"Evidence partially sufficient","Evidence insufficient - referenced evidence not sufficient"))))))))</f>
        <v/>
      </c>
      <c r="O250" s="50"/>
      <c r="P250" s="34"/>
      <c r="Q250" s="34"/>
      <c r="R250" s="50"/>
      <c r="S250" s="51"/>
      <c r="T250" s="51"/>
      <c r="U250" s="52" t="str">
        <f aca="false">IF(OR(A250="",Q250=""),"",IF(AND(ISNUMBER(S250),S250&lt;AsOf,O250&lt;&gt;"Reviewed"),"Overdue",""))</f>
        <v/>
      </c>
      <c r="V250" s="54" t="str">
        <f aca="false">IF(A250="","",IF(COUNTIF(QA_ID,A250)&gt;1,"CHECK: duplicate ID",IF(B250="","CHECK: Supplier ID missing",IF(COUNTIF(INV_ID,B250)=0,"CHECK: Supplier ID not in inventory",IF(E250="","CHECK: Question ID missing",IF(COUNTIF(QB_ID,E250)=0,"CHECK: Question ID not in bank","OK"))))))</f>
        <v/>
      </c>
    </row>
    <row r="251" customFormat="false" ht="15" hidden="false" customHeight="false" outlineLevel="0" collapsed="false">
      <c r="A251" s="50"/>
      <c r="B251" s="50"/>
      <c r="C251" s="59" t="str">
        <f aca="false">IF(B251="","",IFERROR(INDEX(INV_NAME,MATCH(B251,INV_ID,0)),"CHECK: Supplier ID not found"))</f>
        <v/>
      </c>
      <c r="D251" s="63" t="str">
        <f aca="false">IF(B251="","",IFERROR(INDEX(INV_TIER,MATCH(B251,INV_ID,0)),""))</f>
        <v/>
      </c>
      <c r="E251" s="50"/>
      <c r="F251" s="59" t="str">
        <f aca="false">IF(E251="","",IFERROR(INDEX(QB_Q,MATCH(E251,QB_ID,0)),"CHECK: Question ID not found"))</f>
        <v/>
      </c>
      <c r="G251" s="59" t="str">
        <f aca="false">IF(E251="","",IFERROR(INDEX(QB_DOMAIN,MATCH(E251,QB_ID,0)),""))</f>
        <v/>
      </c>
      <c r="H251" s="54" t="str">
        <f aca="false">IF(OR(A251="",E251=""),"",IFERROR(IF(ISNUMBER(MATCH(D251,{"Low","Medium","High"},0)),IF(MATCH(D251,{"Low","Medium","High"},0)&gt;=MATCH(INDEX(QB_MINTIER,MATCH(E251,QB_ID,0)),{"Low","Medium","High"},0),"Recommended for tier","Optional for tier"),"Tier not determined"),"Check question"))</f>
        <v/>
      </c>
      <c r="I251" s="34"/>
      <c r="J251" s="50"/>
      <c r="K251" s="34"/>
      <c r="L251" s="34"/>
      <c r="M251" s="62" t="str">
        <f aca="false">IF(L251="","",SUMPRODUCT(ISNUMBER(SEARCH(","&amp;EV_ID&amp;",",","&amp;SUBSTITUTE(L251," ","")&amp;","))*(EV_ID&lt;&gt;"")))</f>
        <v/>
      </c>
      <c r="N251" s="54" t="str">
        <f aca="false">IF(A251="","",IF(I251&lt;&gt;"Applicable",IF(I251="","Applicability not set","Not in scope ("&amp;I251&amp;")"),IF(OR(J251="",J251="Not answered"),"Awaiting supplier response",IF(J251="Not applicable","Supplier states not applicable - analyst to confirm",IF(L251="","Evidence insufficient - none referenced",IF(M251=0,"Evidence insufficient - referenced ID not found",IF(SUMPRODUCT(ISNUMBER(SEARCH(","&amp;EV_ID&amp;",",","&amp;SUBSTITUTE(L251," ","")&amp;","))*(EV_ID&lt;&gt;"")*(EV_SUFF="Sufficient"))&gt;0,"Evidence reviewed - sufficient",IF(SUMPRODUCT(ISNUMBER(SEARCH(","&amp;EV_ID&amp;",",","&amp;SUBSTITUTE(L251," ","")&amp;","))*(EV_ID&lt;&gt;"")*(EV_SUFF="Partially sufficient"))&gt;0,"Evidence partially sufficient","Evidence insufficient - referenced evidence not sufficient"))))))))</f>
        <v/>
      </c>
      <c r="O251" s="50"/>
      <c r="P251" s="34"/>
      <c r="Q251" s="34"/>
      <c r="R251" s="50"/>
      <c r="S251" s="51"/>
      <c r="T251" s="51"/>
      <c r="U251" s="52" t="str">
        <f aca="false">IF(OR(A251="",Q251=""),"",IF(AND(ISNUMBER(S251),S251&lt;AsOf,O251&lt;&gt;"Reviewed"),"Overdue",""))</f>
        <v/>
      </c>
      <c r="V251" s="54" t="str">
        <f aca="false">IF(A251="","",IF(COUNTIF(QA_ID,A251)&gt;1,"CHECK: duplicate ID",IF(B251="","CHECK: Supplier ID missing",IF(COUNTIF(INV_ID,B251)=0,"CHECK: Supplier ID not in inventory",IF(E251="","CHECK: Question ID missing",IF(COUNTIF(QB_ID,E251)=0,"CHECK: Question ID not in bank","OK"))))))</f>
        <v/>
      </c>
    </row>
    <row r="252" customFormat="false" ht="15" hidden="false" customHeight="false" outlineLevel="0" collapsed="false">
      <c r="A252" s="50"/>
      <c r="B252" s="50"/>
      <c r="C252" s="59" t="str">
        <f aca="false">IF(B252="","",IFERROR(INDEX(INV_NAME,MATCH(B252,INV_ID,0)),"CHECK: Supplier ID not found"))</f>
        <v/>
      </c>
      <c r="D252" s="63" t="str">
        <f aca="false">IF(B252="","",IFERROR(INDEX(INV_TIER,MATCH(B252,INV_ID,0)),""))</f>
        <v/>
      </c>
      <c r="E252" s="50"/>
      <c r="F252" s="59" t="str">
        <f aca="false">IF(E252="","",IFERROR(INDEX(QB_Q,MATCH(E252,QB_ID,0)),"CHECK: Question ID not found"))</f>
        <v/>
      </c>
      <c r="G252" s="59" t="str">
        <f aca="false">IF(E252="","",IFERROR(INDEX(QB_DOMAIN,MATCH(E252,QB_ID,0)),""))</f>
        <v/>
      </c>
      <c r="H252" s="54" t="str">
        <f aca="false">IF(OR(A252="",E252=""),"",IFERROR(IF(ISNUMBER(MATCH(D252,{"Low","Medium","High"},0)),IF(MATCH(D252,{"Low","Medium","High"},0)&gt;=MATCH(INDEX(QB_MINTIER,MATCH(E252,QB_ID,0)),{"Low","Medium","High"},0),"Recommended for tier","Optional for tier"),"Tier not determined"),"Check question"))</f>
        <v/>
      </c>
      <c r="I252" s="34"/>
      <c r="J252" s="50"/>
      <c r="K252" s="34"/>
      <c r="L252" s="34"/>
      <c r="M252" s="62" t="str">
        <f aca="false">IF(L252="","",SUMPRODUCT(ISNUMBER(SEARCH(","&amp;EV_ID&amp;",",","&amp;SUBSTITUTE(L252," ","")&amp;","))*(EV_ID&lt;&gt;"")))</f>
        <v/>
      </c>
      <c r="N252" s="54" t="str">
        <f aca="false">IF(A252="","",IF(I252&lt;&gt;"Applicable",IF(I252="","Applicability not set","Not in scope ("&amp;I252&amp;")"),IF(OR(J252="",J252="Not answered"),"Awaiting supplier response",IF(J252="Not applicable","Supplier states not applicable - analyst to confirm",IF(L252="","Evidence insufficient - none referenced",IF(M252=0,"Evidence insufficient - referenced ID not found",IF(SUMPRODUCT(ISNUMBER(SEARCH(","&amp;EV_ID&amp;",",","&amp;SUBSTITUTE(L252," ","")&amp;","))*(EV_ID&lt;&gt;"")*(EV_SUFF="Sufficient"))&gt;0,"Evidence reviewed - sufficient",IF(SUMPRODUCT(ISNUMBER(SEARCH(","&amp;EV_ID&amp;",",","&amp;SUBSTITUTE(L252," ","")&amp;","))*(EV_ID&lt;&gt;"")*(EV_SUFF="Partially sufficient"))&gt;0,"Evidence partially sufficient","Evidence insufficient - referenced evidence not sufficient"))))))))</f>
        <v/>
      </c>
      <c r="O252" s="50"/>
      <c r="P252" s="34"/>
      <c r="Q252" s="34"/>
      <c r="R252" s="50"/>
      <c r="S252" s="51"/>
      <c r="T252" s="51"/>
      <c r="U252" s="52" t="str">
        <f aca="false">IF(OR(A252="",Q252=""),"",IF(AND(ISNUMBER(S252),S252&lt;AsOf,O252&lt;&gt;"Reviewed"),"Overdue",""))</f>
        <v/>
      </c>
      <c r="V252" s="54" t="str">
        <f aca="false">IF(A252="","",IF(COUNTIF(QA_ID,A252)&gt;1,"CHECK: duplicate ID",IF(B252="","CHECK: Supplier ID missing",IF(COUNTIF(INV_ID,B252)=0,"CHECK: Supplier ID not in inventory",IF(E252="","CHECK: Question ID missing",IF(COUNTIF(QB_ID,E252)=0,"CHECK: Question ID not in bank","OK"))))))</f>
        <v/>
      </c>
    </row>
    <row r="253" customFormat="false" ht="15" hidden="false" customHeight="false" outlineLevel="0" collapsed="false">
      <c r="A253" s="50"/>
      <c r="B253" s="50"/>
      <c r="C253" s="59" t="str">
        <f aca="false">IF(B253="","",IFERROR(INDEX(INV_NAME,MATCH(B253,INV_ID,0)),"CHECK: Supplier ID not found"))</f>
        <v/>
      </c>
      <c r="D253" s="63" t="str">
        <f aca="false">IF(B253="","",IFERROR(INDEX(INV_TIER,MATCH(B253,INV_ID,0)),""))</f>
        <v/>
      </c>
      <c r="E253" s="50"/>
      <c r="F253" s="59" t="str">
        <f aca="false">IF(E253="","",IFERROR(INDEX(QB_Q,MATCH(E253,QB_ID,0)),"CHECK: Question ID not found"))</f>
        <v/>
      </c>
      <c r="G253" s="59" t="str">
        <f aca="false">IF(E253="","",IFERROR(INDEX(QB_DOMAIN,MATCH(E253,QB_ID,0)),""))</f>
        <v/>
      </c>
      <c r="H253" s="54" t="str">
        <f aca="false">IF(OR(A253="",E253=""),"",IFERROR(IF(ISNUMBER(MATCH(D253,{"Low","Medium","High"},0)),IF(MATCH(D253,{"Low","Medium","High"},0)&gt;=MATCH(INDEX(QB_MINTIER,MATCH(E253,QB_ID,0)),{"Low","Medium","High"},0),"Recommended for tier","Optional for tier"),"Tier not determined"),"Check question"))</f>
        <v/>
      </c>
      <c r="I253" s="34"/>
      <c r="J253" s="50"/>
      <c r="K253" s="34"/>
      <c r="L253" s="34"/>
      <c r="M253" s="62" t="str">
        <f aca="false">IF(L253="","",SUMPRODUCT(ISNUMBER(SEARCH(","&amp;EV_ID&amp;",",","&amp;SUBSTITUTE(L253," ","")&amp;","))*(EV_ID&lt;&gt;"")))</f>
        <v/>
      </c>
      <c r="N253" s="54" t="str">
        <f aca="false">IF(A253="","",IF(I253&lt;&gt;"Applicable",IF(I253="","Applicability not set","Not in scope ("&amp;I253&amp;")"),IF(OR(J253="",J253="Not answered"),"Awaiting supplier response",IF(J253="Not applicable","Supplier states not applicable - analyst to confirm",IF(L253="","Evidence insufficient - none referenced",IF(M253=0,"Evidence insufficient - referenced ID not found",IF(SUMPRODUCT(ISNUMBER(SEARCH(","&amp;EV_ID&amp;",",","&amp;SUBSTITUTE(L253," ","")&amp;","))*(EV_ID&lt;&gt;"")*(EV_SUFF="Sufficient"))&gt;0,"Evidence reviewed - sufficient",IF(SUMPRODUCT(ISNUMBER(SEARCH(","&amp;EV_ID&amp;",",","&amp;SUBSTITUTE(L253," ","")&amp;","))*(EV_ID&lt;&gt;"")*(EV_SUFF="Partially sufficient"))&gt;0,"Evidence partially sufficient","Evidence insufficient - referenced evidence not sufficient"))))))))</f>
        <v/>
      </c>
      <c r="O253" s="50"/>
      <c r="P253" s="34"/>
      <c r="Q253" s="34"/>
      <c r="R253" s="50"/>
      <c r="S253" s="51"/>
      <c r="T253" s="51"/>
      <c r="U253" s="52" t="str">
        <f aca="false">IF(OR(A253="",Q253=""),"",IF(AND(ISNUMBER(S253),S253&lt;AsOf,O253&lt;&gt;"Reviewed"),"Overdue",""))</f>
        <v/>
      </c>
      <c r="V253" s="54" t="str">
        <f aca="false">IF(A253="","",IF(COUNTIF(QA_ID,A253)&gt;1,"CHECK: duplicate ID",IF(B253="","CHECK: Supplier ID missing",IF(COUNTIF(INV_ID,B253)=0,"CHECK: Supplier ID not in inventory",IF(E253="","CHECK: Question ID missing",IF(COUNTIF(QB_ID,E253)=0,"CHECK: Question ID not in bank","OK"))))))</f>
        <v/>
      </c>
    </row>
    <row r="254" customFormat="false" ht="15" hidden="false" customHeight="false" outlineLevel="0" collapsed="false">
      <c r="A254" s="50"/>
      <c r="B254" s="50"/>
      <c r="C254" s="59" t="str">
        <f aca="false">IF(B254="","",IFERROR(INDEX(INV_NAME,MATCH(B254,INV_ID,0)),"CHECK: Supplier ID not found"))</f>
        <v/>
      </c>
      <c r="D254" s="63" t="str">
        <f aca="false">IF(B254="","",IFERROR(INDEX(INV_TIER,MATCH(B254,INV_ID,0)),""))</f>
        <v/>
      </c>
      <c r="E254" s="50"/>
      <c r="F254" s="59" t="str">
        <f aca="false">IF(E254="","",IFERROR(INDEX(QB_Q,MATCH(E254,QB_ID,0)),"CHECK: Question ID not found"))</f>
        <v/>
      </c>
      <c r="G254" s="59" t="str">
        <f aca="false">IF(E254="","",IFERROR(INDEX(QB_DOMAIN,MATCH(E254,QB_ID,0)),""))</f>
        <v/>
      </c>
      <c r="H254" s="54" t="str">
        <f aca="false">IF(OR(A254="",E254=""),"",IFERROR(IF(ISNUMBER(MATCH(D254,{"Low","Medium","High"},0)),IF(MATCH(D254,{"Low","Medium","High"},0)&gt;=MATCH(INDEX(QB_MINTIER,MATCH(E254,QB_ID,0)),{"Low","Medium","High"},0),"Recommended for tier","Optional for tier"),"Tier not determined"),"Check question"))</f>
        <v/>
      </c>
      <c r="I254" s="34"/>
      <c r="J254" s="50"/>
      <c r="K254" s="34"/>
      <c r="L254" s="34"/>
      <c r="M254" s="62" t="str">
        <f aca="false">IF(L254="","",SUMPRODUCT(ISNUMBER(SEARCH(","&amp;EV_ID&amp;",",","&amp;SUBSTITUTE(L254," ","")&amp;","))*(EV_ID&lt;&gt;"")))</f>
        <v/>
      </c>
      <c r="N254" s="54" t="str">
        <f aca="false">IF(A254="","",IF(I254&lt;&gt;"Applicable",IF(I254="","Applicability not set","Not in scope ("&amp;I254&amp;")"),IF(OR(J254="",J254="Not answered"),"Awaiting supplier response",IF(J254="Not applicable","Supplier states not applicable - analyst to confirm",IF(L254="","Evidence insufficient - none referenced",IF(M254=0,"Evidence insufficient - referenced ID not found",IF(SUMPRODUCT(ISNUMBER(SEARCH(","&amp;EV_ID&amp;",",","&amp;SUBSTITUTE(L254," ","")&amp;","))*(EV_ID&lt;&gt;"")*(EV_SUFF="Sufficient"))&gt;0,"Evidence reviewed - sufficient",IF(SUMPRODUCT(ISNUMBER(SEARCH(","&amp;EV_ID&amp;",",","&amp;SUBSTITUTE(L254," ","")&amp;","))*(EV_ID&lt;&gt;"")*(EV_SUFF="Partially sufficient"))&gt;0,"Evidence partially sufficient","Evidence insufficient - referenced evidence not sufficient"))))))))</f>
        <v/>
      </c>
      <c r="O254" s="50"/>
      <c r="P254" s="34"/>
      <c r="Q254" s="34"/>
      <c r="R254" s="50"/>
      <c r="S254" s="51"/>
      <c r="T254" s="51"/>
      <c r="U254" s="52" t="str">
        <f aca="false">IF(OR(A254="",Q254=""),"",IF(AND(ISNUMBER(S254),S254&lt;AsOf,O254&lt;&gt;"Reviewed"),"Overdue",""))</f>
        <v/>
      </c>
      <c r="V254" s="54" t="str">
        <f aca="false">IF(A254="","",IF(COUNTIF(QA_ID,A254)&gt;1,"CHECK: duplicate ID",IF(B254="","CHECK: Supplier ID missing",IF(COUNTIF(INV_ID,B254)=0,"CHECK: Supplier ID not in inventory",IF(E254="","CHECK: Question ID missing",IF(COUNTIF(QB_ID,E254)=0,"CHECK: Question ID not in bank","OK"))))))</f>
        <v/>
      </c>
    </row>
    <row r="255" customFormat="false" ht="15" hidden="false" customHeight="false" outlineLevel="0" collapsed="false">
      <c r="A255" s="50"/>
      <c r="B255" s="50"/>
      <c r="C255" s="59" t="str">
        <f aca="false">IF(B255="","",IFERROR(INDEX(INV_NAME,MATCH(B255,INV_ID,0)),"CHECK: Supplier ID not found"))</f>
        <v/>
      </c>
      <c r="D255" s="63" t="str">
        <f aca="false">IF(B255="","",IFERROR(INDEX(INV_TIER,MATCH(B255,INV_ID,0)),""))</f>
        <v/>
      </c>
      <c r="E255" s="50"/>
      <c r="F255" s="59" t="str">
        <f aca="false">IF(E255="","",IFERROR(INDEX(QB_Q,MATCH(E255,QB_ID,0)),"CHECK: Question ID not found"))</f>
        <v/>
      </c>
      <c r="G255" s="59" t="str">
        <f aca="false">IF(E255="","",IFERROR(INDEX(QB_DOMAIN,MATCH(E255,QB_ID,0)),""))</f>
        <v/>
      </c>
      <c r="H255" s="54" t="str">
        <f aca="false">IF(OR(A255="",E255=""),"",IFERROR(IF(ISNUMBER(MATCH(D255,{"Low","Medium","High"},0)),IF(MATCH(D255,{"Low","Medium","High"},0)&gt;=MATCH(INDEX(QB_MINTIER,MATCH(E255,QB_ID,0)),{"Low","Medium","High"},0),"Recommended for tier","Optional for tier"),"Tier not determined"),"Check question"))</f>
        <v/>
      </c>
      <c r="I255" s="34"/>
      <c r="J255" s="50"/>
      <c r="K255" s="34"/>
      <c r="L255" s="34"/>
      <c r="M255" s="62" t="str">
        <f aca="false">IF(L255="","",SUMPRODUCT(ISNUMBER(SEARCH(","&amp;EV_ID&amp;",",","&amp;SUBSTITUTE(L255," ","")&amp;","))*(EV_ID&lt;&gt;"")))</f>
        <v/>
      </c>
      <c r="N255" s="54" t="str">
        <f aca="false">IF(A255="","",IF(I255&lt;&gt;"Applicable",IF(I255="","Applicability not set","Not in scope ("&amp;I255&amp;")"),IF(OR(J255="",J255="Not answered"),"Awaiting supplier response",IF(J255="Not applicable","Supplier states not applicable - analyst to confirm",IF(L255="","Evidence insufficient - none referenced",IF(M255=0,"Evidence insufficient - referenced ID not found",IF(SUMPRODUCT(ISNUMBER(SEARCH(","&amp;EV_ID&amp;",",","&amp;SUBSTITUTE(L255," ","")&amp;","))*(EV_ID&lt;&gt;"")*(EV_SUFF="Sufficient"))&gt;0,"Evidence reviewed - sufficient",IF(SUMPRODUCT(ISNUMBER(SEARCH(","&amp;EV_ID&amp;",",","&amp;SUBSTITUTE(L255," ","")&amp;","))*(EV_ID&lt;&gt;"")*(EV_SUFF="Partially sufficient"))&gt;0,"Evidence partially sufficient","Evidence insufficient - referenced evidence not sufficient"))))))))</f>
        <v/>
      </c>
      <c r="O255" s="50"/>
      <c r="P255" s="34"/>
      <c r="Q255" s="34"/>
      <c r="R255" s="50"/>
      <c r="S255" s="51"/>
      <c r="T255" s="51"/>
      <c r="U255" s="52" t="str">
        <f aca="false">IF(OR(A255="",Q255=""),"",IF(AND(ISNUMBER(S255),S255&lt;AsOf,O255&lt;&gt;"Reviewed"),"Overdue",""))</f>
        <v/>
      </c>
      <c r="V255" s="54" t="str">
        <f aca="false">IF(A255="","",IF(COUNTIF(QA_ID,A255)&gt;1,"CHECK: duplicate ID",IF(B255="","CHECK: Supplier ID missing",IF(COUNTIF(INV_ID,B255)=0,"CHECK: Supplier ID not in inventory",IF(E255="","CHECK: Question ID missing",IF(COUNTIF(QB_ID,E255)=0,"CHECK: Question ID not in bank","OK"))))))</f>
        <v/>
      </c>
    </row>
    <row r="256" customFormat="false" ht="15" hidden="false" customHeight="false" outlineLevel="0" collapsed="false">
      <c r="A256" s="50"/>
      <c r="B256" s="50"/>
      <c r="C256" s="59" t="str">
        <f aca="false">IF(B256="","",IFERROR(INDEX(INV_NAME,MATCH(B256,INV_ID,0)),"CHECK: Supplier ID not found"))</f>
        <v/>
      </c>
      <c r="D256" s="63" t="str">
        <f aca="false">IF(B256="","",IFERROR(INDEX(INV_TIER,MATCH(B256,INV_ID,0)),""))</f>
        <v/>
      </c>
      <c r="E256" s="50"/>
      <c r="F256" s="59" t="str">
        <f aca="false">IF(E256="","",IFERROR(INDEX(QB_Q,MATCH(E256,QB_ID,0)),"CHECK: Question ID not found"))</f>
        <v/>
      </c>
      <c r="G256" s="59" t="str">
        <f aca="false">IF(E256="","",IFERROR(INDEX(QB_DOMAIN,MATCH(E256,QB_ID,0)),""))</f>
        <v/>
      </c>
      <c r="H256" s="54" t="str">
        <f aca="false">IF(OR(A256="",E256=""),"",IFERROR(IF(ISNUMBER(MATCH(D256,{"Low","Medium","High"},0)),IF(MATCH(D256,{"Low","Medium","High"},0)&gt;=MATCH(INDEX(QB_MINTIER,MATCH(E256,QB_ID,0)),{"Low","Medium","High"},0),"Recommended for tier","Optional for tier"),"Tier not determined"),"Check question"))</f>
        <v/>
      </c>
      <c r="I256" s="34"/>
      <c r="J256" s="50"/>
      <c r="K256" s="34"/>
      <c r="L256" s="34"/>
      <c r="M256" s="62" t="str">
        <f aca="false">IF(L256="","",SUMPRODUCT(ISNUMBER(SEARCH(","&amp;EV_ID&amp;",",","&amp;SUBSTITUTE(L256," ","")&amp;","))*(EV_ID&lt;&gt;"")))</f>
        <v/>
      </c>
      <c r="N256" s="54" t="str">
        <f aca="false">IF(A256="","",IF(I256&lt;&gt;"Applicable",IF(I256="","Applicability not set","Not in scope ("&amp;I256&amp;")"),IF(OR(J256="",J256="Not answered"),"Awaiting supplier response",IF(J256="Not applicable","Supplier states not applicable - analyst to confirm",IF(L256="","Evidence insufficient - none referenced",IF(M256=0,"Evidence insufficient - referenced ID not found",IF(SUMPRODUCT(ISNUMBER(SEARCH(","&amp;EV_ID&amp;",",","&amp;SUBSTITUTE(L256," ","")&amp;","))*(EV_ID&lt;&gt;"")*(EV_SUFF="Sufficient"))&gt;0,"Evidence reviewed - sufficient",IF(SUMPRODUCT(ISNUMBER(SEARCH(","&amp;EV_ID&amp;",",","&amp;SUBSTITUTE(L256," ","")&amp;","))*(EV_ID&lt;&gt;"")*(EV_SUFF="Partially sufficient"))&gt;0,"Evidence partially sufficient","Evidence insufficient - referenced evidence not sufficient"))))))))</f>
        <v/>
      </c>
      <c r="O256" s="50"/>
      <c r="P256" s="34"/>
      <c r="Q256" s="34"/>
      <c r="R256" s="50"/>
      <c r="S256" s="51"/>
      <c r="T256" s="51"/>
      <c r="U256" s="52" t="str">
        <f aca="false">IF(OR(A256="",Q256=""),"",IF(AND(ISNUMBER(S256),S256&lt;AsOf,O256&lt;&gt;"Reviewed"),"Overdue",""))</f>
        <v/>
      </c>
      <c r="V256" s="54" t="str">
        <f aca="false">IF(A256="","",IF(COUNTIF(QA_ID,A256)&gt;1,"CHECK: duplicate ID",IF(B256="","CHECK: Supplier ID missing",IF(COUNTIF(INV_ID,B256)=0,"CHECK: Supplier ID not in inventory",IF(E256="","CHECK: Question ID missing",IF(COUNTIF(QB_ID,E256)=0,"CHECK: Question ID not in bank","OK"))))))</f>
        <v/>
      </c>
    </row>
    <row r="257" customFormat="false" ht="15" hidden="false" customHeight="false" outlineLevel="0" collapsed="false">
      <c r="A257" s="50"/>
      <c r="B257" s="50"/>
      <c r="C257" s="59" t="str">
        <f aca="false">IF(B257="","",IFERROR(INDEX(INV_NAME,MATCH(B257,INV_ID,0)),"CHECK: Supplier ID not found"))</f>
        <v/>
      </c>
      <c r="D257" s="63" t="str">
        <f aca="false">IF(B257="","",IFERROR(INDEX(INV_TIER,MATCH(B257,INV_ID,0)),""))</f>
        <v/>
      </c>
      <c r="E257" s="50"/>
      <c r="F257" s="59" t="str">
        <f aca="false">IF(E257="","",IFERROR(INDEX(QB_Q,MATCH(E257,QB_ID,0)),"CHECK: Question ID not found"))</f>
        <v/>
      </c>
      <c r="G257" s="59" t="str">
        <f aca="false">IF(E257="","",IFERROR(INDEX(QB_DOMAIN,MATCH(E257,QB_ID,0)),""))</f>
        <v/>
      </c>
      <c r="H257" s="54" t="str">
        <f aca="false">IF(OR(A257="",E257=""),"",IFERROR(IF(ISNUMBER(MATCH(D257,{"Low","Medium","High"},0)),IF(MATCH(D257,{"Low","Medium","High"},0)&gt;=MATCH(INDEX(QB_MINTIER,MATCH(E257,QB_ID,0)),{"Low","Medium","High"},0),"Recommended for tier","Optional for tier"),"Tier not determined"),"Check question"))</f>
        <v/>
      </c>
      <c r="I257" s="34"/>
      <c r="J257" s="50"/>
      <c r="K257" s="34"/>
      <c r="L257" s="34"/>
      <c r="M257" s="62" t="str">
        <f aca="false">IF(L257="","",SUMPRODUCT(ISNUMBER(SEARCH(","&amp;EV_ID&amp;",",","&amp;SUBSTITUTE(L257," ","")&amp;","))*(EV_ID&lt;&gt;"")))</f>
        <v/>
      </c>
      <c r="N257" s="54" t="str">
        <f aca="false">IF(A257="","",IF(I257&lt;&gt;"Applicable",IF(I257="","Applicability not set","Not in scope ("&amp;I257&amp;")"),IF(OR(J257="",J257="Not answered"),"Awaiting supplier response",IF(J257="Not applicable","Supplier states not applicable - analyst to confirm",IF(L257="","Evidence insufficient - none referenced",IF(M257=0,"Evidence insufficient - referenced ID not found",IF(SUMPRODUCT(ISNUMBER(SEARCH(","&amp;EV_ID&amp;",",","&amp;SUBSTITUTE(L257," ","")&amp;","))*(EV_ID&lt;&gt;"")*(EV_SUFF="Sufficient"))&gt;0,"Evidence reviewed - sufficient",IF(SUMPRODUCT(ISNUMBER(SEARCH(","&amp;EV_ID&amp;",",","&amp;SUBSTITUTE(L257," ","")&amp;","))*(EV_ID&lt;&gt;"")*(EV_SUFF="Partially sufficient"))&gt;0,"Evidence partially sufficient","Evidence insufficient - referenced evidence not sufficient"))))))))</f>
        <v/>
      </c>
      <c r="O257" s="50"/>
      <c r="P257" s="34"/>
      <c r="Q257" s="34"/>
      <c r="R257" s="50"/>
      <c r="S257" s="51"/>
      <c r="T257" s="51"/>
      <c r="U257" s="52" t="str">
        <f aca="false">IF(OR(A257="",Q257=""),"",IF(AND(ISNUMBER(S257),S257&lt;AsOf,O257&lt;&gt;"Reviewed"),"Overdue",""))</f>
        <v/>
      </c>
      <c r="V257" s="54" t="str">
        <f aca="false">IF(A257="","",IF(COUNTIF(QA_ID,A257)&gt;1,"CHECK: duplicate ID",IF(B257="","CHECK: Supplier ID missing",IF(COUNTIF(INV_ID,B257)=0,"CHECK: Supplier ID not in inventory",IF(E257="","CHECK: Question ID missing",IF(COUNTIF(QB_ID,E257)=0,"CHECK: Question ID not in bank","OK"))))))</f>
        <v/>
      </c>
    </row>
    <row r="258" customFormat="false" ht="15" hidden="false" customHeight="false" outlineLevel="0" collapsed="false">
      <c r="A258" s="50"/>
      <c r="B258" s="50"/>
      <c r="C258" s="59" t="str">
        <f aca="false">IF(B258="","",IFERROR(INDEX(INV_NAME,MATCH(B258,INV_ID,0)),"CHECK: Supplier ID not found"))</f>
        <v/>
      </c>
      <c r="D258" s="63" t="str">
        <f aca="false">IF(B258="","",IFERROR(INDEX(INV_TIER,MATCH(B258,INV_ID,0)),""))</f>
        <v/>
      </c>
      <c r="E258" s="50"/>
      <c r="F258" s="59" t="str">
        <f aca="false">IF(E258="","",IFERROR(INDEX(QB_Q,MATCH(E258,QB_ID,0)),"CHECK: Question ID not found"))</f>
        <v/>
      </c>
      <c r="G258" s="59" t="str">
        <f aca="false">IF(E258="","",IFERROR(INDEX(QB_DOMAIN,MATCH(E258,QB_ID,0)),""))</f>
        <v/>
      </c>
      <c r="H258" s="54" t="str">
        <f aca="false">IF(OR(A258="",E258=""),"",IFERROR(IF(ISNUMBER(MATCH(D258,{"Low","Medium","High"},0)),IF(MATCH(D258,{"Low","Medium","High"},0)&gt;=MATCH(INDEX(QB_MINTIER,MATCH(E258,QB_ID,0)),{"Low","Medium","High"},0),"Recommended for tier","Optional for tier"),"Tier not determined"),"Check question"))</f>
        <v/>
      </c>
      <c r="I258" s="34"/>
      <c r="J258" s="50"/>
      <c r="K258" s="34"/>
      <c r="L258" s="34"/>
      <c r="M258" s="62" t="str">
        <f aca="false">IF(L258="","",SUMPRODUCT(ISNUMBER(SEARCH(","&amp;EV_ID&amp;",",","&amp;SUBSTITUTE(L258," ","")&amp;","))*(EV_ID&lt;&gt;"")))</f>
        <v/>
      </c>
      <c r="N258" s="54" t="str">
        <f aca="false">IF(A258="","",IF(I258&lt;&gt;"Applicable",IF(I258="","Applicability not set","Not in scope ("&amp;I258&amp;")"),IF(OR(J258="",J258="Not answered"),"Awaiting supplier response",IF(J258="Not applicable","Supplier states not applicable - analyst to confirm",IF(L258="","Evidence insufficient - none referenced",IF(M258=0,"Evidence insufficient - referenced ID not found",IF(SUMPRODUCT(ISNUMBER(SEARCH(","&amp;EV_ID&amp;",",","&amp;SUBSTITUTE(L258," ","")&amp;","))*(EV_ID&lt;&gt;"")*(EV_SUFF="Sufficient"))&gt;0,"Evidence reviewed - sufficient",IF(SUMPRODUCT(ISNUMBER(SEARCH(","&amp;EV_ID&amp;",",","&amp;SUBSTITUTE(L258," ","")&amp;","))*(EV_ID&lt;&gt;"")*(EV_SUFF="Partially sufficient"))&gt;0,"Evidence partially sufficient","Evidence insufficient - referenced evidence not sufficient"))))))))</f>
        <v/>
      </c>
      <c r="O258" s="50"/>
      <c r="P258" s="34"/>
      <c r="Q258" s="34"/>
      <c r="R258" s="50"/>
      <c r="S258" s="51"/>
      <c r="T258" s="51"/>
      <c r="U258" s="52" t="str">
        <f aca="false">IF(OR(A258="",Q258=""),"",IF(AND(ISNUMBER(S258),S258&lt;AsOf,O258&lt;&gt;"Reviewed"),"Overdue",""))</f>
        <v/>
      </c>
      <c r="V258" s="54" t="str">
        <f aca="false">IF(A258="","",IF(COUNTIF(QA_ID,A258)&gt;1,"CHECK: duplicate ID",IF(B258="","CHECK: Supplier ID missing",IF(COUNTIF(INV_ID,B258)=0,"CHECK: Supplier ID not in inventory",IF(E258="","CHECK: Question ID missing",IF(COUNTIF(QB_ID,E258)=0,"CHECK: Question ID not in bank","OK"))))))</f>
        <v/>
      </c>
    </row>
    <row r="259" customFormat="false" ht="15" hidden="false" customHeight="false" outlineLevel="0" collapsed="false">
      <c r="A259" s="50"/>
      <c r="B259" s="50"/>
      <c r="C259" s="59" t="str">
        <f aca="false">IF(B259="","",IFERROR(INDEX(INV_NAME,MATCH(B259,INV_ID,0)),"CHECK: Supplier ID not found"))</f>
        <v/>
      </c>
      <c r="D259" s="63" t="str">
        <f aca="false">IF(B259="","",IFERROR(INDEX(INV_TIER,MATCH(B259,INV_ID,0)),""))</f>
        <v/>
      </c>
      <c r="E259" s="50"/>
      <c r="F259" s="59" t="str">
        <f aca="false">IF(E259="","",IFERROR(INDEX(QB_Q,MATCH(E259,QB_ID,0)),"CHECK: Question ID not found"))</f>
        <v/>
      </c>
      <c r="G259" s="59" t="str">
        <f aca="false">IF(E259="","",IFERROR(INDEX(QB_DOMAIN,MATCH(E259,QB_ID,0)),""))</f>
        <v/>
      </c>
      <c r="H259" s="54" t="str">
        <f aca="false">IF(OR(A259="",E259=""),"",IFERROR(IF(ISNUMBER(MATCH(D259,{"Low","Medium","High"},0)),IF(MATCH(D259,{"Low","Medium","High"},0)&gt;=MATCH(INDEX(QB_MINTIER,MATCH(E259,QB_ID,0)),{"Low","Medium","High"},0),"Recommended for tier","Optional for tier"),"Tier not determined"),"Check question"))</f>
        <v/>
      </c>
      <c r="I259" s="34"/>
      <c r="J259" s="50"/>
      <c r="K259" s="34"/>
      <c r="L259" s="34"/>
      <c r="M259" s="62" t="str">
        <f aca="false">IF(L259="","",SUMPRODUCT(ISNUMBER(SEARCH(","&amp;EV_ID&amp;",",","&amp;SUBSTITUTE(L259," ","")&amp;","))*(EV_ID&lt;&gt;"")))</f>
        <v/>
      </c>
      <c r="N259" s="54" t="str">
        <f aca="false">IF(A259="","",IF(I259&lt;&gt;"Applicable",IF(I259="","Applicability not set","Not in scope ("&amp;I259&amp;")"),IF(OR(J259="",J259="Not answered"),"Awaiting supplier response",IF(J259="Not applicable","Supplier states not applicable - analyst to confirm",IF(L259="","Evidence insufficient - none referenced",IF(M259=0,"Evidence insufficient - referenced ID not found",IF(SUMPRODUCT(ISNUMBER(SEARCH(","&amp;EV_ID&amp;",",","&amp;SUBSTITUTE(L259," ","")&amp;","))*(EV_ID&lt;&gt;"")*(EV_SUFF="Sufficient"))&gt;0,"Evidence reviewed - sufficient",IF(SUMPRODUCT(ISNUMBER(SEARCH(","&amp;EV_ID&amp;",",","&amp;SUBSTITUTE(L259," ","")&amp;","))*(EV_ID&lt;&gt;"")*(EV_SUFF="Partially sufficient"))&gt;0,"Evidence partially sufficient","Evidence insufficient - referenced evidence not sufficient"))))))))</f>
        <v/>
      </c>
      <c r="O259" s="50"/>
      <c r="P259" s="34"/>
      <c r="Q259" s="34"/>
      <c r="R259" s="50"/>
      <c r="S259" s="51"/>
      <c r="T259" s="51"/>
      <c r="U259" s="52" t="str">
        <f aca="false">IF(OR(A259="",Q259=""),"",IF(AND(ISNUMBER(S259),S259&lt;AsOf,O259&lt;&gt;"Reviewed"),"Overdue",""))</f>
        <v/>
      </c>
      <c r="V259" s="54" t="str">
        <f aca="false">IF(A259="","",IF(COUNTIF(QA_ID,A259)&gt;1,"CHECK: duplicate ID",IF(B259="","CHECK: Supplier ID missing",IF(COUNTIF(INV_ID,B259)=0,"CHECK: Supplier ID not in inventory",IF(E259="","CHECK: Question ID missing",IF(COUNTIF(QB_ID,E259)=0,"CHECK: Question ID not in bank","OK"))))))</f>
        <v/>
      </c>
    </row>
    <row r="260" customFormat="false" ht="15" hidden="false" customHeight="false" outlineLevel="0" collapsed="false">
      <c r="A260" s="50"/>
      <c r="B260" s="50"/>
      <c r="C260" s="59" t="str">
        <f aca="false">IF(B260="","",IFERROR(INDEX(INV_NAME,MATCH(B260,INV_ID,0)),"CHECK: Supplier ID not found"))</f>
        <v/>
      </c>
      <c r="D260" s="63" t="str">
        <f aca="false">IF(B260="","",IFERROR(INDEX(INV_TIER,MATCH(B260,INV_ID,0)),""))</f>
        <v/>
      </c>
      <c r="E260" s="50"/>
      <c r="F260" s="59" t="str">
        <f aca="false">IF(E260="","",IFERROR(INDEX(QB_Q,MATCH(E260,QB_ID,0)),"CHECK: Question ID not found"))</f>
        <v/>
      </c>
      <c r="G260" s="59" t="str">
        <f aca="false">IF(E260="","",IFERROR(INDEX(QB_DOMAIN,MATCH(E260,QB_ID,0)),""))</f>
        <v/>
      </c>
      <c r="H260" s="54" t="str">
        <f aca="false">IF(OR(A260="",E260=""),"",IFERROR(IF(ISNUMBER(MATCH(D260,{"Low","Medium","High"},0)),IF(MATCH(D260,{"Low","Medium","High"},0)&gt;=MATCH(INDEX(QB_MINTIER,MATCH(E260,QB_ID,0)),{"Low","Medium","High"},0),"Recommended for tier","Optional for tier"),"Tier not determined"),"Check question"))</f>
        <v/>
      </c>
      <c r="I260" s="34"/>
      <c r="J260" s="50"/>
      <c r="K260" s="34"/>
      <c r="L260" s="34"/>
      <c r="M260" s="62" t="str">
        <f aca="false">IF(L260="","",SUMPRODUCT(ISNUMBER(SEARCH(","&amp;EV_ID&amp;",",","&amp;SUBSTITUTE(L260," ","")&amp;","))*(EV_ID&lt;&gt;"")))</f>
        <v/>
      </c>
      <c r="N260" s="54" t="str">
        <f aca="false">IF(A260="","",IF(I260&lt;&gt;"Applicable",IF(I260="","Applicability not set","Not in scope ("&amp;I260&amp;")"),IF(OR(J260="",J260="Not answered"),"Awaiting supplier response",IF(J260="Not applicable","Supplier states not applicable - analyst to confirm",IF(L260="","Evidence insufficient - none referenced",IF(M260=0,"Evidence insufficient - referenced ID not found",IF(SUMPRODUCT(ISNUMBER(SEARCH(","&amp;EV_ID&amp;",",","&amp;SUBSTITUTE(L260," ","")&amp;","))*(EV_ID&lt;&gt;"")*(EV_SUFF="Sufficient"))&gt;0,"Evidence reviewed - sufficient",IF(SUMPRODUCT(ISNUMBER(SEARCH(","&amp;EV_ID&amp;",",","&amp;SUBSTITUTE(L260," ","")&amp;","))*(EV_ID&lt;&gt;"")*(EV_SUFF="Partially sufficient"))&gt;0,"Evidence partially sufficient","Evidence insufficient - referenced evidence not sufficient"))))))))</f>
        <v/>
      </c>
      <c r="O260" s="50"/>
      <c r="P260" s="34"/>
      <c r="Q260" s="34"/>
      <c r="R260" s="50"/>
      <c r="S260" s="51"/>
      <c r="T260" s="51"/>
      <c r="U260" s="52" t="str">
        <f aca="false">IF(OR(A260="",Q260=""),"",IF(AND(ISNUMBER(S260),S260&lt;AsOf,O260&lt;&gt;"Reviewed"),"Overdue",""))</f>
        <v/>
      </c>
      <c r="V260" s="54" t="str">
        <f aca="false">IF(A260="","",IF(COUNTIF(QA_ID,A260)&gt;1,"CHECK: duplicate ID",IF(B260="","CHECK: Supplier ID missing",IF(COUNTIF(INV_ID,B260)=0,"CHECK: Supplier ID not in inventory",IF(E260="","CHECK: Question ID missing",IF(COUNTIF(QB_ID,E260)=0,"CHECK: Question ID not in bank","OK"))))))</f>
        <v/>
      </c>
    </row>
    <row r="261" customFormat="false" ht="15" hidden="false" customHeight="false" outlineLevel="0" collapsed="false">
      <c r="A261" s="50"/>
      <c r="B261" s="50"/>
      <c r="C261" s="59" t="str">
        <f aca="false">IF(B261="","",IFERROR(INDEX(INV_NAME,MATCH(B261,INV_ID,0)),"CHECK: Supplier ID not found"))</f>
        <v/>
      </c>
      <c r="D261" s="63" t="str">
        <f aca="false">IF(B261="","",IFERROR(INDEX(INV_TIER,MATCH(B261,INV_ID,0)),""))</f>
        <v/>
      </c>
      <c r="E261" s="50"/>
      <c r="F261" s="59" t="str">
        <f aca="false">IF(E261="","",IFERROR(INDEX(QB_Q,MATCH(E261,QB_ID,0)),"CHECK: Question ID not found"))</f>
        <v/>
      </c>
      <c r="G261" s="59" t="str">
        <f aca="false">IF(E261="","",IFERROR(INDEX(QB_DOMAIN,MATCH(E261,QB_ID,0)),""))</f>
        <v/>
      </c>
      <c r="H261" s="54" t="str">
        <f aca="false">IF(OR(A261="",E261=""),"",IFERROR(IF(ISNUMBER(MATCH(D261,{"Low","Medium","High"},0)),IF(MATCH(D261,{"Low","Medium","High"},0)&gt;=MATCH(INDEX(QB_MINTIER,MATCH(E261,QB_ID,0)),{"Low","Medium","High"},0),"Recommended for tier","Optional for tier"),"Tier not determined"),"Check question"))</f>
        <v/>
      </c>
      <c r="I261" s="34"/>
      <c r="J261" s="50"/>
      <c r="K261" s="34"/>
      <c r="L261" s="34"/>
      <c r="M261" s="62" t="str">
        <f aca="false">IF(L261="","",SUMPRODUCT(ISNUMBER(SEARCH(","&amp;EV_ID&amp;",",","&amp;SUBSTITUTE(L261," ","")&amp;","))*(EV_ID&lt;&gt;"")))</f>
        <v/>
      </c>
      <c r="N261" s="54" t="str">
        <f aca="false">IF(A261="","",IF(I261&lt;&gt;"Applicable",IF(I261="","Applicability not set","Not in scope ("&amp;I261&amp;")"),IF(OR(J261="",J261="Not answered"),"Awaiting supplier response",IF(J261="Not applicable","Supplier states not applicable - analyst to confirm",IF(L261="","Evidence insufficient - none referenced",IF(M261=0,"Evidence insufficient - referenced ID not found",IF(SUMPRODUCT(ISNUMBER(SEARCH(","&amp;EV_ID&amp;",",","&amp;SUBSTITUTE(L261," ","")&amp;","))*(EV_ID&lt;&gt;"")*(EV_SUFF="Sufficient"))&gt;0,"Evidence reviewed - sufficient",IF(SUMPRODUCT(ISNUMBER(SEARCH(","&amp;EV_ID&amp;",",","&amp;SUBSTITUTE(L261," ","")&amp;","))*(EV_ID&lt;&gt;"")*(EV_SUFF="Partially sufficient"))&gt;0,"Evidence partially sufficient","Evidence insufficient - referenced evidence not sufficient"))))))))</f>
        <v/>
      </c>
      <c r="O261" s="50"/>
      <c r="P261" s="34"/>
      <c r="Q261" s="34"/>
      <c r="R261" s="50"/>
      <c r="S261" s="51"/>
      <c r="T261" s="51"/>
      <c r="U261" s="52" t="str">
        <f aca="false">IF(OR(A261="",Q261=""),"",IF(AND(ISNUMBER(S261),S261&lt;AsOf,O261&lt;&gt;"Reviewed"),"Overdue",""))</f>
        <v/>
      </c>
      <c r="V261" s="54" t="str">
        <f aca="false">IF(A261="","",IF(COUNTIF(QA_ID,A261)&gt;1,"CHECK: duplicate ID",IF(B261="","CHECK: Supplier ID missing",IF(COUNTIF(INV_ID,B261)=0,"CHECK: Supplier ID not in inventory",IF(E261="","CHECK: Question ID missing",IF(COUNTIF(QB_ID,E261)=0,"CHECK: Question ID not in bank","OK"))))))</f>
        <v/>
      </c>
    </row>
    <row r="262" customFormat="false" ht="15" hidden="false" customHeight="false" outlineLevel="0" collapsed="false">
      <c r="A262" s="50"/>
      <c r="B262" s="50"/>
      <c r="C262" s="59" t="str">
        <f aca="false">IF(B262="","",IFERROR(INDEX(INV_NAME,MATCH(B262,INV_ID,0)),"CHECK: Supplier ID not found"))</f>
        <v/>
      </c>
      <c r="D262" s="63" t="str">
        <f aca="false">IF(B262="","",IFERROR(INDEX(INV_TIER,MATCH(B262,INV_ID,0)),""))</f>
        <v/>
      </c>
      <c r="E262" s="50"/>
      <c r="F262" s="59" t="str">
        <f aca="false">IF(E262="","",IFERROR(INDEX(QB_Q,MATCH(E262,QB_ID,0)),"CHECK: Question ID not found"))</f>
        <v/>
      </c>
      <c r="G262" s="59" t="str">
        <f aca="false">IF(E262="","",IFERROR(INDEX(QB_DOMAIN,MATCH(E262,QB_ID,0)),""))</f>
        <v/>
      </c>
      <c r="H262" s="54" t="str">
        <f aca="false">IF(OR(A262="",E262=""),"",IFERROR(IF(ISNUMBER(MATCH(D262,{"Low","Medium","High"},0)),IF(MATCH(D262,{"Low","Medium","High"},0)&gt;=MATCH(INDEX(QB_MINTIER,MATCH(E262,QB_ID,0)),{"Low","Medium","High"},0),"Recommended for tier","Optional for tier"),"Tier not determined"),"Check question"))</f>
        <v/>
      </c>
      <c r="I262" s="34"/>
      <c r="J262" s="50"/>
      <c r="K262" s="34"/>
      <c r="L262" s="34"/>
      <c r="M262" s="62" t="str">
        <f aca="false">IF(L262="","",SUMPRODUCT(ISNUMBER(SEARCH(","&amp;EV_ID&amp;",",","&amp;SUBSTITUTE(L262," ","")&amp;","))*(EV_ID&lt;&gt;"")))</f>
        <v/>
      </c>
      <c r="N262" s="54" t="str">
        <f aca="false">IF(A262="","",IF(I262&lt;&gt;"Applicable",IF(I262="","Applicability not set","Not in scope ("&amp;I262&amp;")"),IF(OR(J262="",J262="Not answered"),"Awaiting supplier response",IF(J262="Not applicable","Supplier states not applicable - analyst to confirm",IF(L262="","Evidence insufficient - none referenced",IF(M262=0,"Evidence insufficient - referenced ID not found",IF(SUMPRODUCT(ISNUMBER(SEARCH(","&amp;EV_ID&amp;",",","&amp;SUBSTITUTE(L262," ","")&amp;","))*(EV_ID&lt;&gt;"")*(EV_SUFF="Sufficient"))&gt;0,"Evidence reviewed - sufficient",IF(SUMPRODUCT(ISNUMBER(SEARCH(","&amp;EV_ID&amp;",",","&amp;SUBSTITUTE(L262," ","")&amp;","))*(EV_ID&lt;&gt;"")*(EV_SUFF="Partially sufficient"))&gt;0,"Evidence partially sufficient","Evidence insufficient - referenced evidence not sufficient"))))))))</f>
        <v/>
      </c>
      <c r="O262" s="50"/>
      <c r="P262" s="34"/>
      <c r="Q262" s="34"/>
      <c r="R262" s="50"/>
      <c r="S262" s="51"/>
      <c r="T262" s="51"/>
      <c r="U262" s="52" t="str">
        <f aca="false">IF(OR(A262="",Q262=""),"",IF(AND(ISNUMBER(S262),S262&lt;AsOf,O262&lt;&gt;"Reviewed"),"Overdue",""))</f>
        <v/>
      </c>
      <c r="V262" s="54" t="str">
        <f aca="false">IF(A262="","",IF(COUNTIF(QA_ID,A262)&gt;1,"CHECK: duplicate ID",IF(B262="","CHECK: Supplier ID missing",IF(COUNTIF(INV_ID,B262)=0,"CHECK: Supplier ID not in inventory",IF(E262="","CHECK: Question ID missing",IF(COUNTIF(QB_ID,E262)=0,"CHECK: Question ID not in bank","OK"))))))</f>
        <v/>
      </c>
    </row>
    <row r="263" customFormat="false" ht="15" hidden="false" customHeight="false" outlineLevel="0" collapsed="false">
      <c r="A263" s="50"/>
      <c r="B263" s="50"/>
      <c r="C263" s="59" t="str">
        <f aca="false">IF(B263="","",IFERROR(INDEX(INV_NAME,MATCH(B263,INV_ID,0)),"CHECK: Supplier ID not found"))</f>
        <v/>
      </c>
      <c r="D263" s="63" t="str">
        <f aca="false">IF(B263="","",IFERROR(INDEX(INV_TIER,MATCH(B263,INV_ID,0)),""))</f>
        <v/>
      </c>
      <c r="E263" s="50"/>
      <c r="F263" s="59" t="str">
        <f aca="false">IF(E263="","",IFERROR(INDEX(QB_Q,MATCH(E263,QB_ID,0)),"CHECK: Question ID not found"))</f>
        <v/>
      </c>
      <c r="G263" s="59" t="str">
        <f aca="false">IF(E263="","",IFERROR(INDEX(QB_DOMAIN,MATCH(E263,QB_ID,0)),""))</f>
        <v/>
      </c>
      <c r="H263" s="54" t="str">
        <f aca="false">IF(OR(A263="",E263=""),"",IFERROR(IF(ISNUMBER(MATCH(D263,{"Low","Medium","High"},0)),IF(MATCH(D263,{"Low","Medium","High"},0)&gt;=MATCH(INDEX(QB_MINTIER,MATCH(E263,QB_ID,0)),{"Low","Medium","High"},0),"Recommended for tier","Optional for tier"),"Tier not determined"),"Check question"))</f>
        <v/>
      </c>
      <c r="I263" s="34"/>
      <c r="J263" s="50"/>
      <c r="K263" s="34"/>
      <c r="L263" s="34"/>
      <c r="M263" s="62" t="str">
        <f aca="false">IF(L263="","",SUMPRODUCT(ISNUMBER(SEARCH(","&amp;EV_ID&amp;",",","&amp;SUBSTITUTE(L263," ","")&amp;","))*(EV_ID&lt;&gt;"")))</f>
        <v/>
      </c>
      <c r="N263" s="54" t="str">
        <f aca="false">IF(A263="","",IF(I263&lt;&gt;"Applicable",IF(I263="","Applicability not set","Not in scope ("&amp;I263&amp;")"),IF(OR(J263="",J263="Not answered"),"Awaiting supplier response",IF(J263="Not applicable","Supplier states not applicable - analyst to confirm",IF(L263="","Evidence insufficient - none referenced",IF(M263=0,"Evidence insufficient - referenced ID not found",IF(SUMPRODUCT(ISNUMBER(SEARCH(","&amp;EV_ID&amp;",",","&amp;SUBSTITUTE(L263," ","")&amp;","))*(EV_ID&lt;&gt;"")*(EV_SUFF="Sufficient"))&gt;0,"Evidence reviewed - sufficient",IF(SUMPRODUCT(ISNUMBER(SEARCH(","&amp;EV_ID&amp;",",","&amp;SUBSTITUTE(L263," ","")&amp;","))*(EV_ID&lt;&gt;"")*(EV_SUFF="Partially sufficient"))&gt;0,"Evidence partially sufficient","Evidence insufficient - referenced evidence not sufficient"))))))))</f>
        <v/>
      </c>
      <c r="O263" s="50"/>
      <c r="P263" s="34"/>
      <c r="Q263" s="34"/>
      <c r="R263" s="50"/>
      <c r="S263" s="51"/>
      <c r="T263" s="51"/>
      <c r="U263" s="52" t="str">
        <f aca="false">IF(OR(A263="",Q263=""),"",IF(AND(ISNUMBER(S263),S263&lt;AsOf,O263&lt;&gt;"Reviewed"),"Overdue",""))</f>
        <v/>
      </c>
      <c r="V263" s="54" t="str">
        <f aca="false">IF(A263="","",IF(COUNTIF(QA_ID,A263)&gt;1,"CHECK: duplicate ID",IF(B263="","CHECK: Supplier ID missing",IF(COUNTIF(INV_ID,B263)=0,"CHECK: Supplier ID not in inventory",IF(E263="","CHECK: Question ID missing",IF(COUNTIF(QB_ID,E263)=0,"CHECK: Question ID not in bank","OK"))))))</f>
        <v/>
      </c>
    </row>
    <row r="264" customFormat="false" ht="15" hidden="false" customHeight="false" outlineLevel="0" collapsed="false">
      <c r="A264" s="50"/>
      <c r="B264" s="50"/>
      <c r="C264" s="59" t="str">
        <f aca="false">IF(B264="","",IFERROR(INDEX(INV_NAME,MATCH(B264,INV_ID,0)),"CHECK: Supplier ID not found"))</f>
        <v/>
      </c>
      <c r="D264" s="63" t="str">
        <f aca="false">IF(B264="","",IFERROR(INDEX(INV_TIER,MATCH(B264,INV_ID,0)),""))</f>
        <v/>
      </c>
      <c r="E264" s="50"/>
      <c r="F264" s="59" t="str">
        <f aca="false">IF(E264="","",IFERROR(INDEX(QB_Q,MATCH(E264,QB_ID,0)),"CHECK: Question ID not found"))</f>
        <v/>
      </c>
      <c r="G264" s="59" t="str">
        <f aca="false">IF(E264="","",IFERROR(INDEX(QB_DOMAIN,MATCH(E264,QB_ID,0)),""))</f>
        <v/>
      </c>
      <c r="H264" s="54" t="str">
        <f aca="false">IF(OR(A264="",E264=""),"",IFERROR(IF(ISNUMBER(MATCH(D264,{"Low","Medium","High"},0)),IF(MATCH(D264,{"Low","Medium","High"},0)&gt;=MATCH(INDEX(QB_MINTIER,MATCH(E264,QB_ID,0)),{"Low","Medium","High"},0),"Recommended for tier","Optional for tier"),"Tier not determined"),"Check question"))</f>
        <v/>
      </c>
      <c r="I264" s="34"/>
      <c r="J264" s="50"/>
      <c r="K264" s="34"/>
      <c r="L264" s="34"/>
      <c r="M264" s="62" t="str">
        <f aca="false">IF(L264="","",SUMPRODUCT(ISNUMBER(SEARCH(","&amp;EV_ID&amp;",",","&amp;SUBSTITUTE(L264," ","")&amp;","))*(EV_ID&lt;&gt;"")))</f>
        <v/>
      </c>
      <c r="N264" s="54" t="str">
        <f aca="false">IF(A264="","",IF(I264&lt;&gt;"Applicable",IF(I264="","Applicability not set","Not in scope ("&amp;I264&amp;")"),IF(OR(J264="",J264="Not answered"),"Awaiting supplier response",IF(J264="Not applicable","Supplier states not applicable - analyst to confirm",IF(L264="","Evidence insufficient - none referenced",IF(M264=0,"Evidence insufficient - referenced ID not found",IF(SUMPRODUCT(ISNUMBER(SEARCH(","&amp;EV_ID&amp;",",","&amp;SUBSTITUTE(L264," ","")&amp;","))*(EV_ID&lt;&gt;"")*(EV_SUFF="Sufficient"))&gt;0,"Evidence reviewed - sufficient",IF(SUMPRODUCT(ISNUMBER(SEARCH(","&amp;EV_ID&amp;",",","&amp;SUBSTITUTE(L264," ","")&amp;","))*(EV_ID&lt;&gt;"")*(EV_SUFF="Partially sufficient"))&gt;0,"Evidence partially sufficient","Evidence insufficient - referenced evidence not sufficient"))))))))</f>
        <v/>
      </c>
      <c r="O264" s="50"/>
      <c r="P264" s="34"/>
      <c r="Q264" s="34"/>
      <c r="R264" s="50"/>
      <c r="S264" s="51"/>
      <c r="T264" s="51"/>
      <c r="U264" s="52" t="str">
        <f aca="false">IF(OR(A264="",Q264=""),"",IF(AND(ISNUMBER(S264),S264&lt;AsOf,O264&lt;&gt;"Reviewed"),"Overdue",""))</f>
        <v/>
      </c>
      <c r="V264" s="54" t="str">
        <f aca="false">IF(A264="","",IF(COUNTIF(QA_ID,A264)&gt;1,"CHECK: duplicate ID",IF(B264="","CHECK: Supplier ID missing",IF(COUNTIF(INV_ID,B264)=0,"CHECK: Supplier ID not in inventory",IF(E264="","CHECK: Question ID missing",IF(COUNTIF(QB_ID,E264)=0,"CHECK: Question ID not in bank","OK"))))))</f>
        <v/>
      </c>
    </row>
    <row r="265" customFormat="false" ht="15" hidden="false" customHeight="false" outlineLevel="0" collapsed="false">
      <c r="A265" s="50"/>
      <c r="B265" s="50"/>
      <c r="C265" s="59" t="str">
        <f aca="false">IF(B265="","",IFERROR(INDEX(INV_NAME,MATCH(B265,INV_ID,0)),"CHECK: Supplier ID not found"))</f>
        <v/>
      </c>
      <c r="D265" s="63" t="str">
        <f aca="false">IF(B265="","",IFERROR(INDEX(INV_TIER,MATCH(B265,INV_ID,0)),""))</f>
        <v/>
      </c>
      <c r="E265" s="50"/>
      <c r="F265" s="59" t="str">
        <f aca="false">IF(E265="","",IFERROR(INDEX(QB_Q,MATCH(E265,QB_ID,0)),"CHECK: Question ID not found"))</f>
        <v/>
      </c>
      <c r="G265" s="59" t="str">
        <f aca="false">IF(E265="","",IFERROR(INDEX(QB_DOMAIN,MATCH(E265,QB_ID,0)),""))</f>
        <v/>
      </c>
      <c r="H265" s="54" t="str">
        <f aca="false">IF(OR(A265="",E265=""),"",IFERROR(IF(ISNUMBER(MATCH(D265,{"Low","Medium","High"},0)),IF(MATCH(D265,{"Low","Medium","High"},0)&gt;=MATCH(INDEX(QB_MINTIER,MATCH(E265,QB_ID,0)),{"Low","Medium","High"},0),"Recommended for tier","Optional for tier"),"Tier not determined"),"Check question"))</f>
        <v/>
      </c>
      <c r="I265" s="34"/>
      <c r="J265" s="50"/>
      <c r="K265" s="34"/>
      <c r="L265" s="34"/>
      <c r="M265" s="62" t="str">
        <f aca="false">IF(L265="","",SUMPRODUCT(ISNUMBER(SEARCH(","&amp;EV_ID&amp;",",","&amp;SUBSTITUTE(L265," ","")&amp;","))*(EV_ID&lt;&gt;"")))</f>
        <v/>
      </c>
      <c r="N265" s="54" t="str">
        <f aca="false">IF(A265="","",IF(I265&lt;&gt;"Applicable",IF(I265="","Applicability not set","Not in scope ("&amp;I265&amp;")"),IF(OR(J265="",J265="Not answered"),"Awaiting supplier response",IF(J265="Not applicable","Supplier states not applicable - analyst to confirm",IF(L265="","Evidence insufficient - none referenced",IF(M265=0,"Evidence insufficient - referenced ID not found",IF(SUMPRODUCT(ISNUMBER(SEARCH(","&amp;EV_ID&amp;",",","&amp;SUBSTITUTE(L265," ","")&amp;","))*(EV_ID&lt;&gt;"")*(EV_SUFF="Sufficient"))&gt;0,"Evidence reviewed - sufficient",IF(SUMPRODUCT(ISNUMBER(SEARCH(","&amp;EV_ID&amp;",",","&amp;SUBSTITUTE(L265," ","")&amp;","))*(EV_ID&lt;&gt;"")*(EV_SUFF="Partially sufficient"))&gt;0,"Evidence partially sufficient","Evidence insufficient - referenced evidence not sufficient"))))))))</f>
        <v/>
      </c>
      <c r="O265" s="50"/>
      <c r="P265" s="34"/>
      <c r="Q265" s="34"/>
      <c r="R265" s="50"/>
      <c r="S265" s="51"/>
      <c r="T265" s="51"/>
      <c r="U265" s="52" t="str">
        <f aca="false">IF(OR(A265="",Q265=""),"",IF(AND(ISNUMBER(S265),S265&lt;AsOf,O265&lt;&gt;"Reviewed"),"Overdue",""))</f>
        <v/>
      </c>
      <c r="V265" s="54" t="str">
        <f aca="false">IF(A265="","",IF(COUNTIF(QA_ID,A265)&gt;1,"CHECK: duplicate ID",IF(B265="","CHECK: Supplier ID missing",IF(COUNTIF(INV_ID,B265)=0,"CHECK: Supplier ID not in inventory",IF(E265="","CHECK: Question ID missing",IF(COUNTIF(QB_ID,E265)=0,"CHECK: Question ID not in bank","OK"))))))</f>
        <v/>
      </c>
    </row>
    <row r="266" customFormat="false" ht="15" hidden="false" customHeight="false" outlineLevel="0" collapsed="false">
      <c r="A266" s="50"/>
      <c r="B266" s="50"/>
      <c r="C266" s="59" t="str">
        <f aca="false">IF(B266="","",IFERROR(INDEX(INV_NAME,MATCH(B266,INV_ID,0)),"CHECK: Supplier ID not found"))</f>
        <v/>
      </c>
      <c r="D266" s="63" t="str">
        <f aca="false">IF(B266="","",IFERROR(INDEX(INV_TIER,MATCH(B266,INV_ID,0)),""))</f>
        <v/>
      </c>
      <c r="E266" s="50"/>
      <c r="F266" s="59" t="str">
        <f aca="false">IF(E266="","",IFERROR(INDEX(QB_Q,MATCH(E266,QB_ID,0)),"CHECK: Question ID not found"))</f>
        <v/>
      </c>
      <c r="G266" s="59" t="str">
        <f aca="false">IF(E266="","",IFERROR(INDEX(QB_DOMAIN,MATCH(E266,QB_ID,0)),""))</f>
        <v/>
      </c>
      <c r="H266" s="54" t="str">
        <f aca="false">IF(OR(A266="",E266=""),"",IFERROR(IF(ISNUMBER(MATCH(D266,{"Low","Medium","High"},0)),IF(MATCH(D266,{"Low","Medium","High"},0)&gt;=MATCH(INDEX(QB_MINTIER,MATCH(E266,QB_ID,0)),{"Low","Medium","High"},0),"Recommended for tier","Optional for tier"),"Tier not determined"),"Check question"))</f>
        <v/>
      </c>
      <c r="I266" s="34"/>
      <c r="J266" s="50"/>
      <c r="K266" s="34"/>
      <c r="L266" s="34"/>
      <c r="M266" s="62" t="str">
        <f aca="false">IF(L266="","",SUMPRODUCT(ISNUMBER(SEARCH(","&amp;EV_ID&amp;",",","&amp;SUBSTITUTE(L266," ","")&amp;","))*(EV_ID&lt;&gt;"")))</f>
        <v/>
      </c>
      <c r="N266" s="54" t="str">
        <f aca="false">IF(A266="","",IF(I266&lt;&gt;"Applicable",IF(I266="","Applicability not set","Not in scope ("&amp;I266&amp;")"),IF(OR(J266="",J266="Not answered"),"Awaiting supplier response",IF(J266="Not applicable","Supplier states not applicable - analyst to confirm",IF(L266="","Evidence insufficient - none referenced",IF(M266=0,"Evidence insufficient - referenced ID not found",IF(SUMPRODUCT(ISNUMBER(SEARCH(","&amp;EV_ID&amp;",",","&amp;SUBSTITUTE(L266," ","")&amp;","))*(EV_ID&lt;&gt;"")*(EV_SUFF="Sufficient"))&gt;0,"Evidence reviewed - sufficient",IF(SUMPRODUCT(ISNUMBER(SEARCH(","&amp;EV_ID&amp;",",","&amp;SUBSTITUTE(L266," ","")&amp;","))*(EV_ID&lt;&gt;"")*(EV_SUFF="Partially sufficient"))&gt;0,"Evidence partially sufficient","Evidence insufficient - referenced evidence not sufficient"))))))))</f>
        <v/>
      </c>
      <c r="O266" s="50"/>
      <c r="P266" s="34"/>
      <c r="Q266" s="34"/>
      <c r="R266" s="50"/>
      <c r="S266" s="51"/>
      <c r="T266" s="51"/>
      <c r="U266" s="52" t="str">
        <f aca="false">IF(OR(A266="",Q266=""),"",IF(AND(ISNUMBER(S266),S266&lt;AsOf,O266&lt;&gt;"Reviewed"),"Overdue",""))</f>
        <v/>
      </c>
      <c r="V266" s="54" t="str">
        <f aca="false">IF(A266="","",IF(COUNTIF(QA_ID,A266)&gt;1,"CHECK: duplicate ID",IF(B266="","CHECK: Supplier ID missing",IF(COUNTIF(INV_ID,B266)=0,"CHECK: Supplier ID not in inventory",IF(E266="","CHECK: Question ID missing",IF(COUNTIF(QB_ID,E266)=0,"CHECK: Question ID not in bank","OK"))))))</f>
        <v/>
      </c>
    </row>
    <row r="267" customFormat="false" ht="15" hidden="false" customHeight="false" outlineLevel="0" collapsed="false">
      <c r="A267" s="50"/>
      <c r="B267" s="50"/>
      <c r="C267" s="59" t="str">
        <f aca="false">IF(B267="","",IFERROR(INDEX(INV_NAME,MATCH(B267,INV_ID,0)),"CHECK: Supplier ID not found"))</f>
        <v/>
      </c>
      <c r="D267" s="63" t="str">
        <f aca="false">IF(B267="","",IFERROR(INDEX(INV_TIER,MATCH(B267,INV_ID,0)),""))</f>
        <v/>
      </c>
      <c r="E267" s="50"/>
      <c r="F267" s="59" t="str">
        <f aca="false">IF(E267="","",IFERROR(INDEX(QB_Q,MATCH(E267,QB_ID,0)),"CHECK: Question ID not found"))</f>
        <v/>
      </c>
      <c r="G267" s="59" t="str">
        <f aca="false">IF(E267="","",IFERROR(INDEX(QB_DOMAIN,MATCH(E267,QB_ID,0)),""))</f>
        <v/>
      </c>
      <c r="H267" s="54" t="str">
        <f aca="false">IF(OR(A267="",E267=""),"",IFERROR(IF(ISNUMBER(MATCH(D267,{"Low","Medium","High"},0)),IF(MATCH(D267,{"Low","Medium","High"},0)&gt;=MATCH(INDEX(QB_MINTIER,MATCH(E267,QB_ID,0)),{"Low","Medium","High"},0),"Recommended for tier","Optional for tier"),"Tier not determined"),"Check question"))</f>
        <v/>
      </c>
      <c r="I267" s="34"/>
      <c r="J267" s="50"/>
      <c r="K267" s="34"/>
      <c r="L267" s="34"/>
      <c r="M267" s="62" t="str">
        <f aca="false">IF(L267="","",SUMPRODUCT(ISNUMBER(SEARCH(","&amp;EV_ID&amp;",",","&amp;SUBSTITUTE(L267," ","")&amp;","))*(EV_ID&lt;&gt;"")))</f>
        <v/>
      </c>
      <c r="N267" s="54" t="str">
        <f aca="false">IF(A267="","",IF(I267&lt;&gt;"Applicable",IF(I267="","Applicability not set","Not in scope ("&amp;I267&amp;")"),IF(OR(J267="",J267="Not answered"),"Awaiting supplier response",IF(J267="Not applicable","Supplier states not applicable - analyst to confirm",IF(L267="","Evidence insufficient - none referenced",IF(M267=0,"Evidence insufficient - referenced ID not found",IF(SUMPRODUCT(ISNUMBER(SEARCH(","&amp;EV_ID&amp;",",","&amp;SUBSTITUTE(L267," ","")&amp;","))*(EV_ID&lt;&gt;"")*(EV_SUFF="Sufficient"))&gt;0,"Evidence reviewed - sufficient",IF(SUMPRODUCT(ISNUMBER(SEARCH(","&amp;EV_ID&amp;",",","&amp;SUBSTITUTE(L267," ","")&amp;","))*(EV_ID&lt;&gt;"")*(EV_SUFF="Partially sufficient"))&gt;0,"Evidence partially sufficient","Evidence insufficient - referenced evidence not sufficient"))))))))</f>
        <v/>
      </c>
      <c r="O267" s="50"/>
      <c r="P267" s="34"/>
      <c r="Q267" s="34"/>
      <c r="R267" s="50"/>
      <c r="S267" s="51"/>
      <c r="T267" s="51"/>
      <c r="U267" s="52" t="str">
        <f aca="false">IF(OR(A267="",Q267=""),"",IF(AND(ISNUMBER(S267),S267&lt;AsOf,O267&lt;&gt;"Reviewed"),"Overdue",""))</f>
        <v/>
      </c>
      <c r="V267" s="54" t="str">
        <f aca="false">IF(A267="","",IF(COUNTIF(QA_ID,A267)&gt;1,"CHECK: duplicate ID",IF(B267="","CHECK: Supplier ID missing",IF(COUNTIF(INV_ID,B267)=0,"CHECK: Supplier ID not in inventory",IF(E267="","CHECK: Question ID missing",IF(COUNTIF(QB_ID,E267)=0,"CHECK: Question ID not in bank","OK"))))))</f>
        <v/>
      </c>
    </row>
    <row r="268" customFormat="false" ht="15" hidden="false" customHeight="false" outlineLevel="0" collapsed="false">
      <c r="A268" s="50"/>
      <c r="B268" s="50"/>
      <c r="C268" s="59" t="str">
        <f aca="false">IF(B268="","",IFERROR(INDEX(INV_NAME,MATCH(B268,INV_ID,0)),"CHECK: Supplier ID not found"))</f>
        <v/>
      </c>
      <c r="D268" s="63" t="str">
        <f aca="false">IF(B268="","",IFERROR(INDEX(INV_TIER,MATCH(B268,INV_ID,0)),""))</f>
        <v/>
      </c>
      <c r="E268" s="50"/>
      <c r="F268" s="59" t="str">
        <f aca="false">IF(E268="","",IFERROR(INDEX(QB_Q,MATCH(E268,QB_ID,0)),"CHECK: Question ID not found"))</f>
        <v/>
      </c>
      <c r="G268" s="59" t="str">
        <f aca="false">IF(E268="","",IFERROR(INDEX(QB_DOMAIN,MATCH(E268,QB_ID,0)),""))</f>
        <v/>
      </c>
      <c r="H268" s="54" t="str">
        <f aca="false">IF(OR(A268="",E268=""),"",IFERROR(IF(ISNUMBER(MATCH(D268,{"Low","Medium","High"},0)),IF(MATCH(D268,{"Low","Medium","High"},0)&gt;=MATCH(INDEX(QB_MINTIER,MATCH(E268,QB_ID,0)),{"Low","Medium","High"},0),"Recommended for tier","Optional for tier"),"Tier not determined"),"Check question"))</f>
        <v/>
      </c>
      <c r="I268" s="34"/>
      <c r="J268" s="50"/>
      <c r="K268" s="34"/>
      <c r="L268" s="34"/>
      <c r="M268" s="62" t="str">
        <f aca="false">IF(L268="","",SUMPRODUCT(ISNUMBER(SEARCH(","&amp;EV_ID&amp;",",","&amp;SUBSTITUTE(L268," ","")&amp;","))*(EV_ID&lt;&gt;"")))</f>
        <v/>
      </c>
      <c r="N268" s="54" t="str">
        <f aca="false">IF(A268="","",IF(I268&lt;&gt;"Applicable",IF(I268="","Applicability not set","Not in scope ("&amp;I268&amp;")"),IF(OR(J268="",J268="Not answered"),"Awaiting supplier response",IF(J268="Not applicable","Supplier states not applicable - analyst to confirm",IF(L268="","Evidence insufficient - none referenced",IF(M268=0,"Evidence insufficient - referenced ID not found",IF(SUMPRODUCT(ISNUMBER(SEARCH(","&amp;EV_ID&amp;",",","&amp;SUBSTITUTE(L268," ","")&amp;","))*(EV_ID&lt;&gt;"")*(EV_SUFF="Sufficient"))&gt;0,"Evidence reviewed - sufficient",IF(SUMPRODUCT(ISNUMBER(SEARCH(","&amp;EV_ID&amp;",",","&amp;SUBSTITUTE(L268," ","")&amp;","))*(EV_ID&lt;&gt;"")*(EV_SUFF="Partially sufficient"))&gt;0,"Evidence partially sufficient","Evidence insufficient - referenced evidence not sufficient"))))))))</f>
        <v/>
      </c>
      <c r="O268" s="50"/>
      <c r="P268" s="34"/>
      <c r="Q268" s="34"/>
      <c r="R268" s="50"/>
      <c r="S268" s="51"/>
      <c r="T268" s="51"/>
      <c r="U268" s="52" t="str">
        <f aca="false">IF(OR(A268="",Q268=""),"",IF(AND(ISNUMBER(S268),S268&lt;AsOf,O268&lt;&gt;"Reviewed"),"Overdue",""))</f>
        <v/>
      </c>
      <c r="V268" s="54" t="str">
        <f aca="false">IF(A268="","",IF(COUNTIF(QA_ID,A268)&gt;1,"CHECK: duplicate ID",IF(B268="","CHECK: Supplier ID missing",IF(COUNTIF(INV_ID,B268)=0,"CHECK: Supplier ID not in inventory",IF(E268="","CHECK: Question ID missing",IF(COUNTIF(QB_ID,E268)=0,"CHECK: Question ID not in bank","OK"))))))</f>
        <v/>
      </c>
    </row>
    <row r="269" customFormat="false" ht="15" hidden="false" customHeight="false" outlineLevel="0" collapsed="false">
      <c r="A269" s="50"/>
      <c r="B269" s="50"/>
      <c r="C269" s="59" t="str">
        <f aca="false">IF(B269="","",IFERROR(INDEX(INV_NAME,MATCH(B269,INV_ID,0)),"CHECK: Supplier ID not found"))</f>
        <v/>
      </c>
      <c r="D269" s="63" t="str">
        <f aca="false">IF(B269="","",IFERROR(INDEX(INV_TIER,MATCH(B269,INV_ID,0)),""))</f>
        <v/>
      </c>
      <c r="E269" s="50"/>
      <c r="F269" s="59" t="str">
        <f aca="false">IF(E269="","",IFERROR(INDEX(QB_Q,MATCH(E269,QB_ID,0)),"CHECK: Question ID not found"))</f>
        <v/>
      </c>
      <c r="G269" s="59" t="str">
        <f aca="false">IF(E269="","",IFERROR(INDEX(QB_DOMAIN,MATCH(E269,QB_ID,0)),""))</f>
        <v/>
      </c>
      <c r="H269" s="54" t="str">
        <f aca="false">IF(OR(A269="",E269=""),"",IFERROR(IF(ISNUMBER(MATCH(D269,{"Low","Medium","High"},0)),IF(MATCH(D269,{"Low","Medium","High"},0)&gt;=MATCH(INDEX(QB_MINTIER,MATCH(E269,QB_ID,0)),{"Low","Medium","High"},0),"Recommended for tier","Optional for tier"),"Tier not determined"),"Check question"))</f>
        <v/>
      </c>
      <c r="I269" s="34"/>
      <c r="J269" s="50"/>
      <c r="K269" s="34"/>
      <c r="L269" s="34"/>
      <c r="M269" s="62" t="str">
        <f aca="false">IF(L269="","",SUMPRODUCT(ISNUMBER(SEARCH(","&amp;EV_ID&amp;",",","&amp;SUBSTITUTE(L269," ","")&amp;","))*(EV_ID&lt;&gt;"")))</f>
        <v/>
      </c>
      <c r="N269" s="54" t="str">
        <f aca="false">IF(A269="","",IF(I269&lt;&gt;"Applicable",IF(I269="","Applicability not set","Not in scope ("&amp;I269&amp;")"),IF(OR(J269="",J269="Not answered"),"Awaiting supplier response",IF(J269="Not applicable","Supplier states not applicable - analyst to confirm",IF(L269="","Evidence insufficient - none referenced",IF(M269=0,"Evidence insufficient - referenced ID not found",IF(SUMPRODUCT(ISNUMBER(SEARCH(","&amp;EV_ID&amp;",",","&amp;SUBSTITUTE(L269," ","")&amp;","))*(EV_ID&lt;&gt;"")*(EV_SUFF="Sufficient"))&gt;0,"Evidence reviewed - sufficient",IF(SUMPRODUCT(ISNUMBER(SEARCH(","&amp;EV_ID&amp;",",","&amp;SUBSTITUTE(L269," ","")&amp;","))*(EV_ID&lt;&gt;"")*(EV_SUFF="Partially sufficient"))&gt;0,"Evidence partially sufficient","Evidence insufficient - referenced evidence not sufficient"))))))))</f>
        <v/>
      </c>
      <c r="O269" s="50"/>
      <c r="P269" s="34"/>
      <c r="Q269" s="34"/>
      <c r="R269" s="50"/>
      <c r="S269" s="51"/>
      <c r="T269" s="51"/>
      <c r="U269" s="52" t="str">
        <f aca="false">IF(OR(A269="",Q269=""),"",IF(AND(ISNUMBER(S269),S269&lt;AsOf,O269&lt;&gt;"Reviewed"),"Overdue",""))</f>
        <v/>
      </c>
      <c r="V269" s="54" t="str">
        <f aca="false">IF(A269="","",IF(COUNTIF(QA_ID,A269)&gt;1,"CHECK: duplicate ID",IF(B269="","CHECK: Supplier ID missing",IF(COUNTIF(INV_ID,B269)=0,"CHECK: Supplier ID not in inventory",IF(E269="","CHECK: Question ID missing",IF(COUNTIF(QB_ID,E269)=0,"CHECK: Question ID not in bank","OK"))))))</f>
        <v/>
      </c>
    </row>
    <row r="270" customFormat="false" ht="15" hidden="false" customHeight="false" outlineLevel="0" collapsed="false">
      <c r="A270" s="50"/>
      <c r="B270" s="50"/>
      <c r="C270" s="59" t="str">
        <f aca="false">IF(B270="","",IFERROR(INDEX(INV_NAME,MATCH(B270,INV_ID,0)),"CHECK: Supplier ID not found"))</f>
        <v/>
      </c>
      <c r="D270" s="63" t="str">
        <f aca="false">IF(B270="","",IFERROR(INDEX(INV_TIER,MATCH(B270,INV_ID,0)),""))</f>
        <v/>
      </c>
      <c r="E270" s="50"/>
      <c r="F270" s="59" t="str">
        <f aca="false">IF(E270="","",IFERROR(INDEX(QB_Q,MATCH(E270,QB_ID,0)),"CHECK: Question ID not found"))</f>
        <v/>
      </c>
      <c r="G270" s="59" t="str">
        <f aca="false">IF(E270="","",IFERROR(INDEX(QB_DOMAIN,MATCH(E270,QB_ID,0)),""))</f>
        <v/>
      </c>
      <c r="H270" s="54" t="str">
        <f aca="false">IF(OR(A270="",E270=""),"",IFERROR(IF(ISNUMBER(MATCH(D270,{"Low","Medium","High"},0)),IF(MATCH(D270,{"Low","Medium","High"},0)&gt;=MATCH(INDEX(QB_MINTIER,MATCH(E270,QB_ID,0)),{"Low","Medium","High"},0),"Recommended for tier","Optional for tier"),"Tier not determined"),"Check question"))</f>
        <v/>
      </c>
      <c r="I270" s="34"/>
      <c r="J270" s="50"/>
      <c r="K270" s="34"/>
      <c r="L270" s="34"/>
      <c r="M270" s="62" t="str">
        <f aca="false">IF(L270="","",SUMPRODUCT(ISNUMBER(SEARCH(","&amp;EV_ID&amp;",",","&amp;SUBSTITUTE(L270," ","")&amp;","))*(EV_ID&lt;&gt;"")))</f>
        <v/>
      </c>
      <c r="N270" s="54" t="str">
        <f aca="false">IF(A270="","",IF(I270&lt;&gt;"Applicable",IF(I270="","Applicability not set","Not in scope ("&amp;I270&amp;")"),IF(OR(J270="",J270="Not answered"),"Awaiting supplier response",IF(J270="Not applicable","Supplier states not applicable - analyst to confirm",IF(L270="","Evidence insufficient - none referenced",IF(M270=0,"Evidence insufficient - referenced ID not found",IF(SUMPRODUCT(ISNUMBER(SEARCH(","&amp;EV_ID&amp;",",","&amp;SUBSTITUTE(L270," ","")&amp;","))*(EV_ID&lt;&gt;"")*(EV_SUFF="Sufficient"))&gt;0,"Evidence reviewed - sufficient",IF(SUMPRODUCT(ISNUMBER(SEARCH(","&amp;EV_ID&amp;",",","&amp;SUBSTITUTE(L270," ","")&amp;","))*(EV_ID&lt;&gt;"")*(EV_SUFF="Partially sufficient"))&gt;0,"Evidence partially sufficient","Evidence insufficient - referenced evidence not sufficient"))))))))</f>
        <v/>
      </c>
      <c r="O270" s="50"/>
      <c r="P270" s="34"/>
      <c r="Q270" s="34"/>
      <c r="R270" s="50"/>
      <c r="S270" s="51"/>
      <c r="T270" s="51"/>
      <c r="U270" s="52" t="str">
        <f aca="false">IF(OR(A270="",Q270=""),"",IF(AND(ISNUMBER(S270),S270&lt;AsOf,O270&lt;&gt;"Reviewed"),"Overdue",""))</f>
        <v/>
      </c>
      <c r="V270" s="54" t="str">
        <f aca="false">IF(A270="","",IF(COUNTIF(QA_ID,A270)&gt;1,"CHECK: duplicate ID",IF(B270="","CHECK: Supplier ID missing",IF(COUNTIF(INV_ID,B270)=0,"CHECK: Supplier ID not in inventory",IF(E270="","CHECK: Question ID missing",IF(COUNTIF(QB_ID,E270)=0,"CHECK: Question ID not in bank","OK"))))))</f>
        <v/>
      </c>
    </row>
    <row r="271" customFormat="false" ht="15" hidden="false" customHeight="false" outlineLevel="0" collapsed="false">
      <c r="A271" s="50"/>
      <c r="B271" s="50"/>
      <c r="C271" s="59" t="str">
        <f aca="false">IF(B271="","",IFERROR(INDEX(INV_NAME,MATCH(B271,INV_ID,0)),"CHECK: Supplier ID not found"))</f>
        <v/>
      </c>
      <c r="D271" s="63" t="str">
        <f aca="false">IF(B271="","",IFERROR(INDEX(INV_TIER,MATCH(B271,INV_ID,0)),""))</f>
        <v/>
      </c>
      <c r="E271" s="50"/>
      <c r="F271" s="59" t="str">
        <f aca="false">IF(E271="","",IFERROR(INDEX(QB_Q,MATCH(E271,QB_ID,0)),"CHECK: Question ID not found"))</f>
        <v/>
      </c>
      <c r="G271" s="59" t="str">
        <f aca="false">IF(E271="","",IFERROR(INDEX(QB_DOMAIN,MATCH(E271,QB_ID,0)),""))</f>
        <v/>
      </c>
      <c r="H271" s="54" t="str">
        <f aca="false">IF(OR(A271="",E271=""),"",IFERROR(IF(ISNUMBER(MATCH(D271,{"Low","Medium","High"},0)),IF(MATCH(D271,{"Low","Medium","High"},0)&gt;=MATCH(INDEX(QB_MINTIER,MATCH(E271,QB_ID,0)),{"Low","Medium","High"},0),"Recommended for tier","Optional for tier"),"Tier not determined"),"Check question"))</f>
        <v/>
      </c>
      <c r="I271" s="34"/>
      <c r="J271" s="50"/>
      <c r="K271" s="34"/>
      <c r="L271" s="34"/>
      <c r="M271" s="62" t="str">
        <f aca="false">IF(L271="","",SUMPRODUCT(ISNUMBER(SEARCH(","&amp;EV_ID&amp;",",","&amp;SUBSTITUTE(L271," ","")&amp;","))*(EV_ID&lt;&gt;"")))</f>
        <v/>
      </c>
      <c r="N271" s="54" t="str">
        <f aca="false">IF(A271="","",IF(I271&lt;&gt;"Applicable",IF(I271="","Applicability not set","Not in scope ("&amp;I271&amp;")"),IF(OR(J271="",J271="Not answered"),"Awaiting supplier response",IF(J271="Not applicable","Supplier states not applicable - analyst to confirm",IF(L271="","Evidence insufficient - none referenced",IF(M271=0,"Evidence insufficient - referenced ID not found",IF(SUMPRODUCT(ISNUMBER(SEARCH(","&amp;EV_ID&amp;",",","&amp;SUBSTITUTE(L271," ","")&amp;","))*(EV_ID&lt;&gt;"")*(EV_SUFF="Sufficient"))&gt;0,"Evidence reviewed - sufficient",IF(SUMPRODUCT(ISNUMBER(SEARCH(","&amp;EV_ID&amp;",",","&amp;SUBSTITUTE(L271," ","")&amp;","))*(EV_ID&lt;&gt;"")*(EV_SUFF="Partially sufficient"))&gt;0,"Evidence partially sufficient","Evidence insufficient - referenced evidence not sufficient"))))))))</f>
        <v/>
      </c>
      <c r="O271" s="50"/>
      <c r="P271" s="34"/>
      <c r="Q271" s="34"/>
      <c r="R271" s="50"/>
      <c r="S271" s="51"/>
      <c r="T271" s="51"/>
      <c r="U271" s="52" t="str">
        <f aca="false">IF(OR(A271="",Q271=""),"",IF(AND(ISNUMBER(S271),S271&lt;AsOf,O271&lt;&gt;"Reviewed"),"Overdue",""))</f>
        <v/>
      </c>
      <c r="V271" s="54" t="str">
        <f aca="false">IF(A271="","",IF(COUNTIF(QA_ID,A271)&gt;1,"CHECK: duplicate ID",IF(B271="","CHECK: Supplier ID missing",IF(COUNTIF(INV_ID,B271)=0,"CHECK: Supplier ID not in inventory",IF(E271="","CHECK: Question ID missing",IF(COUNTIF(QB_ID,E271)=0,"CHECK: Question ID not in bank","OK"))))))</f>
        <v/>
      </c>
    </row>
    <row r="272" customFormat="false" ht="15" hidden="false" customHeight="false" outlineLevel="0" collapsed="false">
      <c r="A272" s="50"/>
      <c r="B272" s="50"/>
      <c r="C272" s="59" t="str">
        <f aca="false">IF(B272="","",IFERROR(INDEX(INV_NAME,MATCH(B272,INV_ID,0)),"CHECK: Supplier ID not found"))</f>
        <v/>
      </c>
      <c r="D272" s="63" t="str">
        <f aca="false">IF(B272="","",IFERROR(INDEX(INV_TIER,MATCH(B272,INV_ID,0)),""))</f>
        <v/>
      </c>
      <c r="E272" s="50"/>
      <c r="F272" s="59" t="str">
        <f aca="false">IF(E272="","",IFERROR(INDEX(QB_Q,MATCH(E272,QB_ID,0)),"CHECK: Question ID not found"))</f>
        <v/>
      </c>
      <c r="G272" s="59" t="str">
        <f aca="false">IF(E272="","",IFERROR(INDEX(QB_DOMAIN,MATCH(E272,QB_ID,0)),""))</f>
        <v/>
      </c>
      <c r="H272" s="54" t="str">
        <f aca="false">IF(OR(A272="",E272=""),"",IFERROR(IF(ISNUMBER(MATCH(D272,{"Low","Medium","High"},0)),IF(MATCH(D272,{"Low","Medium","High"},0)&gt;=MATCH(INDEX(QB_MINTIER,MATCH(E272,QB_ID,0)),{"Low","Medium","High"},0),"Recommended for tier","Optional for tier"),"Tier not determined"),"Check question"))</f>
        <v/>
      </c>
      <c r="I272" s="34"/>
      <c r="J272" s="50"/>
      <c r="K272" s="34"/>
      <c r="L272" s="34"/>
      <c r="M272" s="62" t="str">
        <f aca="false">IF(L272="","",SUMPRODUCT(ISNUMBER(SEARCH(","&amp;EV_ID&amp;",",","&amp;SUBSTITUTE(L272," ","")&amp;","))*(EV_ID&lt;&gt;"")))</f>
        <v/>
      </c>
      <c r="N272" s="54" t="str">
        <f aca="false">IF(A272="","",IF(I272&lt;&gt;"Applicable",IF(I272="","Applicability not set","Not in scope ("&amp;I272&amp;")"),IF(OR(J272="",J272="Not answered"),"Awaiting supplier response",IF(J272="Not applicable","Supplier states not applicable - analyst to confirm",IF(L272="","Evidence insufficient - none referenced",IF(M272=0,"Evidence insufficient - referenced ID not found",IF(SUMPRODUCT(ISNUMBER(SEARCH(","&amp;EV_ID&amp;",",","&amp;SUBSTITUTE(L272," ","")&amp;","))*(EV_ID&lt;&gt;"")*(EV_SUFF="Sufficient"))&gt;0,"Evidence reviewed - sufficient",IF(SUMPRODUCT(ISNUMBER(SEARCH(","&amp;EV_ID&amp;",",","&amp;SUBSTITUTE(L272," ","")&amp;","))*(EV_ID&lt;&gt;"")*(EV_SUFF="Partially sufficient"))&gt;0,"Evidence partially sufficient","Evidence insufficient - referenced evidence not sufficient"))))))))</f>
        <v/>
      </c>
      <c r="O272" s="50"/>
      <c r="P272" s="34"/>
      <c r="Q272" s="34"/>
      <c r="R272" s="50"/>
      <c r="S272" s="51"/>
      <c r="T272" s="51"/>
      <c r="U272" s="52" t="str">
        <f aca="false">IF(OR(A272="",Q272=""),"",IF(AND(ISNUMBER(S272),S272&lt;AsOf,O272&lt;&gt;"Reviewed"),"Overdue",""))</f>
        <v/>
      </c>
      <c r="V272" s="54" t="str">
        <f aca="false">IF(A272="","",IF(COUNTIF(QA_ID,A272)&gt;1,"CHECK: duplicate ID",IF(B272="","CHECK: Supplier ID missing",IF(COUNTIF(INV_ID,B272)=0,"CHECK: Supplier ID not in inventory",IF(E272="","CHECK: Question ID missing",IF(COUNTIF(QB_ID,E272)=0,"CHECK: Question ID not in bank","OK"))))))</f>
        <v/>
      </c>
    </row>
    <row r="273" customFormat="false" ht="15" hidden="false" customHeight="false" outlineLevel="0" collapsed="false">
      <c r="A273" s="50"/>
      <c r="B273" s="50"/>
      <c r="C273" s="59" t="str">
        <f aca="false">IF(B273="","",IFERROR(INDEX(INV_NAME,MATCH(B273,INV_ID,0)),"CHECK: Supplier ID not found"))</f>
        <v/>
      </c>
      <c r="D273" s="63" t="str">
        <f aca="false">IF(B273="","",IFERROR(INDEX(INV_TIER,MATCH(B273,INV_ID,0)),""))</f>
        <v/>
      </c>
      <c r="E273" s="50"/>
      <c r="F273" s="59" t="str">
        <f aca="false">IF(E273="","",IFERROR(INDEX(QB_Q,MATCH(E273,QB_ID,0)),"CHECK: Question ID not found"))</f>
        <v/>
      </c>
      <c r="G273" s="59" t="str">
        <f aca="false">IF(E273="","",IFERROR(INDEX(QB_DOMAIN,MATCH(E273,QB_ID,0)),""))</f>
        <v/>
      </c>
      <c r="H273" s="54" t="str">
        <f aca="false">IF(OR(A273="",E273=""),"",IFERROR(IF(ISNUMBER(MATCH(D273,{"Low","Medium","High"},0)),IF(MATCH(D273,{"Low","Medium","High"},0)&gt;=MATCH(INDEX(QB_MINTIER,MATCH(E273,QB_ID,0)),{"Low","Medium","High"},0),"Recommended for tier","Optional for tier"),"Tier not determined"),"Check question"))</f>
        <v/>
      </c>
      <c r="I273" s="34"/>
      <c r="J273" s="50"/>
      <c r="K273" s="34"/>
      <c r="L273" s="34"/>
      <c r="M273" s="62" t="str">
        <f aca="false">IF(L273="","",SUMPRODUCT(ISNUMBER(SEARCH(","&amp;EV_ID&amp;",",","&amp;SUBSTITUTE(L273," ","")&amp;","))*(EV_ID&lt;&gt;"")))</f>
        <v/>
      </c>
      <c r="N273" s="54" t="str">
        <f aca="false">IF(A273="","",IF(I273&lt;&gt;"Applicable",IF(I273="","Applicability not set","Not in scope ("&amp;I273&amp;")"),IF(OR(J273="",J273="Not answered"),"Awaiting supplier response",IF(J273="Not applicable","Supplier states not applicable - analyst to confirm",IF(L273="","Evidence insufficient - none referenced",IF(M273=0,"Evidence insufficient - referenced ID not found",IF(SUMPRODUCT(ISNUMBER(SEARCH(","&amp;EV_ID&amp;",",","&amp;SUBSTITUTE(L273," ","")&amp;","))*(EV_ID&lt;&gt;"")*(EV_SUFF="Sufficient"))&gt;0,"Evidence reviewed - sufficient",IF(SUMPRODUCT(ISNUMBER(SEARCH(","&amp;EV_ID&amp;",",","&amp;SUBSTITUTE(L273," ","")&amp;","))*(EV_ID&lt;&gt;"")*(EV_SUFF="Partially sufficient"))&gt;0,"Evidence partially sufficient","Evidence insufficient - referenced evidence not sufficient"))))))))</f>
        <v/>
      </c>
      <c r="O273" s="50"/>
      <c r="P273" s="34"/>
      <c r="Q273" s="34"/>
      <c r="R273" s="50"/>
      <c r="S273" s="51"/>
      <c r="T273" s="51"/>
      <c r="U273" s="52" t="str">
        <f aca="false">IF(OR(A273="",Q273=""),"",IF(AND(ISNUMBER(S273),S273&lt;AsOf,O273&lt;&gt;"Reviewed"),"Overdue",""))</f>
        <v/>
      </c>
      <c r="V273" s="54" t="str">
        <f aca="false">IF(A273="","",IF(COUNTIF(QA_ID,A273)&gt;1,"CHECK: duplicate ID",IF(B273="","CHECK: Supplier ID missing",IF(COUNTIF(INV_ID,B273)=0,"CHECK: Supplier ID not in inventory",IF(E273="","CHECK: Question ID missing",IF(COUNTIF(QB_ID,E273)=0,"CHECK: Question ID not in bank","OK"))))))</f>
        <v/>
      </c>
    </row>
    <row r="274" customFormat="false" ht="15" hidden="false" customHeight="false" outlineLevel="0" collapsed="false">
      <c r="A274" s="50"/>
      <c r="B274" s="50"/>
      <c r="C274" s="59" t="str">
        <f aca="false">IF(B274="","",IFERROR(INDEX(INV_NAME,MATCH(B274,INV_ID,0)),"CHECK: Supplier ID not found"))</f>
        <v/>
      </c>
      <c r="D274" s="63" t="str">
        <f aca="false">IF(B274="","",IFERROR(INDEX(INV_TIER,MATCH(B274,INV_ID,0)),""))</f>
        <v/>
      </c>
      <c r="E274" s="50"/>
      <c r="F274" s="59" t="str">
        <f aca="false">IF(E274="","",IFERROR(INDEX(QB_Q,MATCH(E274,QB_ID,0)),"CHECK: Question ID not found"))</f>
        <v/>
      </c>
      <c r="G274" s="59" t="str">
        <f aca="false">IF(E274="","",IFERROR(INDEX(QB_DOMAIN,MATCH(E274,QB_ID,0)),""))</f>
        <v/>
      </c>
      <c r="H274" s="54" t="str">
        <f aca="false">IF(OR(A274="",E274=""),"",IFERROR(IF(ISNUMBER(MATCH(D274,{"Low","Medium","High"},0)),IF(MATCH(D274,{"Low","Medium","High"},0)&gt;=MATCH(INDEX(QB_MINTIER,MATCH(E274,QB_ID,0)),{"Low","Medium","High"},0),"Recommended for tier","Optional for tier"),"Tier not determined"),"Check question"))</f>
        <v/>
      </c>
      <c r="I274" s="34"/>
      <c r="J274" s="50"/>
      <c r="K274" s="34"/>
      <c r="L274" s="34"/>
      <c r="M274" s="62" t="str">
        <f aca="false">IF(L274="","",SUMPRODUCT(ISNUMBER(SEARCH(","&amp;EV_ID&amp;",",","&amp;SUBSTITUTE(L274," ","")&amp;","))*(EV_ID&lt;&gt;"")))</f>
        <v/>
      </c>
      <c r="N274" s="54" t="str">
        <f aca="false">IF(A274="","",IF(I274&lt;&gt;"Applicable",IF(I274="","Applicability not set","Not in scope ("&amp;I274&amp;")"),IF(OR(J274="",J274="Not answered"),"Awaiting supplier response",IF(J274="Not applicable","Supplier states not applicable - analyst to confirm",IF(L274="","Evidence insufficient - none referenced",IF(M274=0,"Evidence insufficient - referenced ID not found",IF(SUMPRODUCT(ISNUMBER(SEARCH(","&amp;EV_ID&amp;",",","&amp;SUBSTITUTE(L274," ","")&amp;","))*(EV_ID&lt;&gt;"")*(EV_SUFF="Sufficient"))&gt;0,"Evidence reviewed - sufficient",IF(SUMPRODUCT(ISNUMBER(SEARCH(","&amp;EV_ID&amp;",",","&amp;SUBSTITUTE(L274," ","")&amp;","))*(EV_ID&lt;&gt;"")*(EV_SUFF="Partially sufficient"))&gt;0,"Evidence partially sufficient","Evidence insufficient - referenced evidence not sufficient"))))))))</f>
        <v/>
      </c>
      <c r="O274" s="50"/>
      <c r="P274" s="34"/>
      <c r="Q274" s="34"/>
      <c r="R274" s="50"/>
      <c r="S274" s="51"/>
      <c r="T274" s="51"/>
      <c r="U274" s="52" t="str">
        <f aca="false">IF(OR(A274="",Q274=""),"",IF(AND(ISNUMBER(S274),S274&lt;AsOf,O274&lt;&gt;"Reviewed"),"Overdue",""))</f>
        <v/>
      </c>
      <c r="V274" s="54" t="str">
        <f aca="false">IF(A274="","",IF(COUNTIF(QA_ID,A274)&gt;1,"CHECK: duplicate ID",IF(B274="","CHECK: Supplier ID missing",IF(COUNTIF(INV_ID,B274)=0,"CHECK: Supplier ID not in inventory",IF(E274="","CHECK: Question ID missing",IF(COUNTIF(QB_ID,E274)=0,"CHECK: Question ID not in bank","OK"))))))</f>
        <v/>
      </c>
    </row>
    <row r="275" customFormat="false" ht="15" hidden="false" customHeight="false" outlineLevel="0" collapsed="false">
      <c r="A275" s="50"/>
      <c r="B275" s="50"/>
      <c r="C275" s="59" t="str">
        <f aca="false">IF(B275="","",IFERROR(INDEX(INV_NAME,MATCH(B275,INV_ID,0)),"CHECK: Supplier ID not found"))</f>
        <v/>
      </c>
      <c r="D275" s="63" t="str">
        <f aca="false">IF(B275="","",IFERROR(INDEX(INV_TIER,MATCH(B275,INV_ID,0)),""))</f>
        <v/>
      </c>
      <c r="E275" s="50"/>
      <c r="F275" s="59" t="str">
        <f aca="false">IF(E275="","",IFERROR(INDEX(QB_Q,MATCH(E275,QB_ID,0)),"CHECK: Question ID not found"))</f>
        <v/>
      </c>
      <c r="G275" s="59" t="str">
        <f aca="false">IF(E275="","",IFERROR(INDEX(QB_DOMAIN,MATCH(E275,QB_ID,0)),""))</f>
        <v/>
      </c>
      <c r="H275" s="54" t="str">
        <f aca="false">IF(OR(A275="",E275=""),"",IFERROR(IF(ISNUMBER(MATCH(D275,{"Low","Medium","High"},0)),IF(MATCH(D275,{"Low","Medium","High"},0)&gt;=MATCH(INDEX(QB_MINTIER,MATCH(E275,QB_ID,0)),{"Low","Medium","High"},0),"Recommended for tier","Optional for tier"),"Tier not determined"),"Check question"))</f>
        <v/>
      </c>
      <c r="I275" s="34"/>
      <c r="J275" s="50"/>
      <c r="K275" s="34"/>
      <c r="L275" s="34"/>
      <c r="M275" s="62" t="str">
        <f aca="false">IF(L275="","",SUMPRODUCT(ISNUMBER(SEARCH(","&amp;EV_ID&amp;",",","&amp;SUBSTITUTE(L275," ","")&amp;","))*(EV_ID&lt;&gt;"")))</f>
        <v/>
      </c>
      <c r="N275" s="54" t="str">
        <f aca="false">IF(A275="","",IF(I275&lt;&gt;"Applicable",IF(I275="","Applicability not set","Not in scope ("&amp;I275&amp;")"),IF(OR(J275="",J275="Not answered"),"Awaiting supplier response",IF(J275="Not applicable","Supplier states not applicable - analyst to confirm",IF(L275="","Evidence insufficient - none referenced",IF(M275=0,"Evidence insufficient - referenced ID not found",IF(SUMPRODUCT(ISNUMBER(SEARCH(","&amp;EV_ID&amp;",",","&amp;SUBSTITUTE(L275," ","")&amp;","))*(EV_ID&lt;&gt;"")*(EV_SUFF="Sufficient"))&gt;0,"Evidence reviewed - sufficient",IF(SUMPRODUCT(ISNUMBER(SEARCH(","&amp;EV_ID&amp;",",","&amp;SUBSTITUTE(L275," ","")&amp;","))*(EV_ID&lt;&gt;"")*(EV_SUFF="Partially sufficient"))&gt;0,"Evidence partially sufficient","Evidence insufficient - referenced evidence not sufficient"))))))))</f>
        <v/>
      </c>
      <c r="O275" s="50"/>
      <c r="P275" s="34"/>
      <c r="Q275" s="34"/>
      <c r="R275" s="50"/>
      <c r="S275" s="51"/>
      <c r="T275" s="51"/>
      <c r="U275" s="52" t="str">
        <f aca="false">IF(OR(A275="",Q275=""),"",IF(AND(ISNUMBER(S275),S275&lt;AsOf,O275&lt;&gt;"Reviewed"),"Overdue",""))</f>
        <v/>
      </c>
      <c r="V275" s="54" t="str">
        <f aca="false">IF(A275="","",IF(COUNTIF(QA_ID,A275)&gt;1,"CHECK: duplicate ID",IF(B275="","CHECK: Supplier ID missing",IF(COUNTIF(INV_ID,B275)=0,"CHECK: Supplier ID not in inventory",IF(E275="","CHECK: Question ID missing",IF(COUNTIF(QB_ID,E275)=0,"CHECK: Question ID not in bank","OK"))))))</f>
        <v/>
      </c>
    </row>
    <row r="276" customFormat="false" ht="15" hidden="false" customHeight="false" outlineLevel="0" collapsed="false">
      <c r="A276" s="50"/>
      <c r="B276" s="50"/>
      <c r="C276" s="59" t="str">
        <f aca="false">IF(B276="","",IFERROR(INDEX(INV_NAME,MATCH(B276,INV_ID,0)),"CHECK: Supplier ID not found"))</f>
        <v/>
      </c>
      <c r="D276" s="63" t="str">
        <f aca="false">IF(B276="","",IFERROR(INDEX(INV_TIER,MATCH(B276,INV_ID,0)),""))</f>
        <v/>
      </c>
      <c r="E276" s="50"/>
      <c r="F276" s="59" t="str">
        <f aca="false">IF(E276="","",IFERROR(INDEX(QB_Q,MATCH(E276,QB_ID,0)),"CHECK: Question ID not found"))</f>
        <v/>
      </c>
      <c r="G276" s="59" t="str">
        <f aca="false">IF(E276="","",IFERROR(INDEX(QB_DOMAIN,MATCH(E276,QB_ID,0)),""))</f>
        <v/>
      </c>
      <c r="H276" s="54" t="str">
        <f aca="false">IF(OR(A276="",E276=""),"",IFERROR(IF(ISNUMBER(MATCH(D276,{"Low","Medium","High"},0)),IF(MATCH(D276,{"Low","Medium","High"},0)&gt;=MATCH(INDEX(QB_MINTIER,MATCH(E276,QB_ID,0)),{"Low","Medium","High"},0),"Recommended for tier","Optional for tier"),"Tier not determined"),"Check question"))</f>
        <v/>
      </c>
      <c r="I276" s="34"/>
      <c r="J276" s="50"/>
      <c r="K276" s="34"/>
      <c r="L276" s="34"/>
      <c r="M276" s="62" t="str">
        <f aca="false">IF(L276="","",SUMPRODUCT(ISNUMBER(SEARCH(","&amp;EV_ID&amp;",",","&amp;SUBSTITUTE(L276," ","")&amp;","))*(EV_ID&lt;&gt;"")))</f>
        <v/>
      </c>
      <c r="N276" s="54" t="str">
        <f aca="false">IF(A276="","",IF(I276&lt;&gt;"Applicable",IF(I276="","Applicability not set","Not in scope ("&amp;I276&amp;")"),IF(OR(J276="",J276="Not answered"),"Awaiting supplier response",IF(J276="Not applicable","Supplier states not applicable - analyst to confirm",IF(L276="","Evidence insufficient - none referenced",IF(M276=0,"Evidence insufficient - referenced ID not found",IF(SUMPRODUCT(ISNUMBER(SEARCH(","&amp;EV_ID&amp;",",","&amp;SUBSTITUTE(L276," ","")&amp;","))*(EV_ID&lt;&gt;"")*(EV_SUFF="Sufficient"))&gt;0,"Evidence reviewed - sufficient",IF(SUMPRODUCT(ISNUMBER(SEARCH(","&amp;EV_ID&amp;",",","&amp;SUBSTITUTE(L276," ","")&amp;","))*(EV_ID&lt;&gt;"")*(EV_SUFF="Partially sufficient"))&gt;0,"Evidence partially sufficient","Evidence insufficient - referenced evidence not sufficient"))))))))</f>
        <v/>
      </c>
      <c r="O276" s="50"/>
      <c r="P276" s="34"/>
      <c r="Q276" s="34"/>
      <c r="R276" s="50"/>
      <c r="S276" s="51"/>
      <c r="T276" s="51"/>
      <c r="U276" s="52" t="str">
        <f aca="false">IF(OR(A276="",Q276=""),"",IF(AND(ISNUMBER(S276),S276&lt;AsOf,O276&lt;&gt;"Reviewed"),"Overdue",""))</f>
        <v/>
      </c>
      <c r="V276" s="54" t="str">
        <f aca="false">IF(A276="","",IF(COUNTIF(QA_ID,A276)&gt;1,"CHECK: duplicate ID",IF(B276="","CHECK: Supplier ID missing",IF(COUNTIF(INV_ID,B276)=0,"CHECK: Supplier ID not in inventory",IF(E276="","CHECK: Question ID missing",IF(COUNTIF(QB_ID,E276)=0,"CHECK: Question ID not in bank","OK"))))))</f>
        <v/>
      </c>
    </row>
    <row r="277" customFormat="false" ht="15" hidden="false" customHeight="false" outlineLevel="0" collapsed="false">
      <c r="A277" s="50"/>
      <c r="B277" s="50"/>
      <c r="C277" s="59" t="str">
        <f aca="false">IF(B277="","",IFERROR(INDEX(INV_NAME,MATCH(B277,INV_ID,0)),"CHECK: Supplier ID not found"))</f>
        <v/>
      </c>
      <c r="D277" s="63" t="str">
        <f aca="false">IF(B277="","",IFERROR(INDEX(INV_TIER,MATCH(B277,INV_ID,0)),""))</f>
        <v/>
      </c>
      <c r="E277" s="50"/>
      <c r="F277" s="59" t="str">
        <f aca="false">IF(E277="","",IFERROR(INDEX(QB_Q,MATCH(E277,QB_ID,0)),"CHECK: Question ID not found"))</f>
        <v/>
      </c>
      <c r="G277" s="59" t="str">
        <f aca="false">IF(E277="","",IFERROR(INDEX(QB_DOMAIN,MATCH(E277,QB_ID,0)),""))</f>
        <v/>
      </c>
      <c r="H277" s="54" t="str">
        <f aca="false">IF(OR(A277="",E277=""),"",IFERROR(IF(ISNUMBER(MATCH(D277,{"Low","Medium","High"},0)),IF(MATCH(D277,{"Low","Medium","High"},0)&gt;=MATCH(INDEX(QB_MINTIER,MATCH(E277,QB_ID,0)),{"Low","Medium","High"},0),"Recommended for tier","Optional for tier"),"Tier not determined"),"Check question"))</f>
        <v/>
      </c>
      <c r="I277" s="34"/>
      <c r="J277" s="50"/>
      <c r="K277" s="34"/>
      <c r="L277" s="34"/>
      <c r="M277" s="62" t="str">
        <f aca="false">IF(L277="","",SUMPRODUCT(ISNUMBER(SEARCH(","&amp;EV_ID&amp;",",","&amp;SUBSTITUTE(L277," ","")&amp;","))*(EV_ID&lt;&gt;"")))</f>
        <v/>
      </c>
      <c r="N277" s="54" t="str">
        <f aca="false">IF(A277="","",IF(I277&lt;&gt;"Applicable",IF(I277="","Applicability not set","Not in scope ("&amp;I277&amp;")"),IF(OR(J277="",J277="Not answered"),"Awaiting supplier response",IF(J277="Not applicable","Supplier states not applicable - analyst to confirm",IF(L277="","Evidence insufficient - none referenced",IF(M277=0,"Evidence insufficient - referenced ID not found",IF(SUMPRODUCT(ISNUMBER(SEARCH(","&amp;EV_ID&amp;",",","&amp;SUBSTITUTE(L277," ","")&amp;","))*(EV_ID&lt;&gt;"")*(EV_SUFF="Sufficient"))&gt;0,"Evidence reviewed - sufficient",IF(SUMPRODUCT(ISNUMBER(SEARCH(","&amp;EV_ID&amp;",",","&amp;SUBSTITUTE(L277," ","")&amp;","))*(EV_ID&lt;&gt;"")*(EV_SUFF="Partially sufficient"))&gt;0,"Evidence partially sufficient","Evidence insufficient - referenced evidence not sufficient"))))))))</f>
        <v/>
      </c>
      <c r="O277" s="50"/>
      <c r="P277" s="34"/>
      <c r="Q277" s="34"/>
      <c r="R277" s="50"/>
      <c r="S277" s="51"/>
      <c r="T277" s="51"/>
      <c r="U277" s="52" t="str">
        <f aca="false">IF(OR(A277="",Q277=""),"",IF(AND(ISNUMBER(S277),S277&lt;AsOf,O277&lt;&gt;"Reviewed"),"Overdue",""))</f>
        <v/>
      </c>
      <c r="V277" s="54" t="str">
        <f aca="false">IF(A277="","",IF(COUNTIF(QA_ID,A277)&gt;1,"CHECK: duplicate ID",IF(B277="","CHECK: Supplier ID missing",IF(COUNTIF(INV_ID,B277)=0,"CHECK: Supplier ID not in inventory",IF(E277="","CHECK: Question ID missing",IF(COUNTIF(QB_ID,E277)=0,"CHECK: Question ID not in bank","OK"))))))</f>
        <v/>
      </c>
    </row>
    <row r="278" customFormat="false" ht="15" hidden="false" customHeight="false" outlineLevel="0" collapsed="false">
      <c r="A278" s="50"/>
      <c r="B278" s="50"/>
      <c r="C278" s="59" t="str">
        <f aca="false">IF(B278="","",IFERROR(INDEX(INV_NAME,MATCH(B278,INV_ID,0)),"CHECK: Supplier ID not found"))</f>
        <v/>
      </c>
      <c r="D278" s="63" t="str">
        <f aca="false">IF(B278="","",IFERROR(INDEX(INV_TIER,MATCH(B278,INV_ID,0)),""))</f>
        <v/>
      </c>
      <c r="E278" s="50"/>
      <c r="F278" s="59" t="str">
        <f aca="false">IF(E278="","",IFERROR(INDEX(QB_Q,MATCH(E278,QB_ID,0)),"CHECK: Question ID not found"))</f>
        <v/>
      </c>
      <c r="G278" s="59" t="str">
        <f aca="false">IF(E278="","",IFERROR(INDEX(QB_DOMAIN,MATCH(E278,QB_ID,0)),""))</f>
        <v/>
      </c>
      <c r="H278" s="54" t="str">
        <f aca="false">IF(OR(A278="",E278=""),"",IFERROR(IF(ISNUMBER(MATCH(D278,{"Low","Medium","High"},0)),IF(MATCH(D278,{"Low","Medium","High"},0)&gt;=MATCH(INDEX(QB_MINTIER,MATCH(E278,QB_ID,0)),{"Low","Medium","High"},0),"Recommended for tier","Optional for tier"),"Tier not determined"),"Check question"))</f>
        <v/>
      </c>
      <c r="I278" s="34"/>
      <c r="J278" s="50"/>
      <c r="K278" s="34"/>
      <c r="L278" s="34"/>
      <c r="M278" s="62" t="str">
        <f aca="false">IF(L278="","",SUMPRODUCT(ISNUMBER(SEARCH(","&amp;EV_ID&amp;",",","&amp;SUBSTITUTE(L278," ","")&amp;","))*(EV_ID&lt;&gt;"")))</f>
        <v/>
      </c>
      <c r="N278" s="54" t="str">
        <f aca="false">IF(A278="","",IF(I278&lt;&gt;"Applicable",IF(I278="","Applicability not set","Not in scope ("&amp;I278&amp;")"),IF(OR(J278="",J278="Not answered"),"Awaiting supplier response",IF(J278="Not applicable","Supplier states not applicable - analyst to confirm",IF(L278="","Evidence insufficient - none referenced",IF(M278=0,"Evidence insufficient - referenced ID not found",IF(SUMPRODUCT(ISNUMBER(SEARCH(","&amp;EV_ID&amp;",",","&amp;SUBSTITUTE(L278," ","")&amp;","))*(EV_ID&lt;&gt;"")*(EV_SUFF="Sufficient"))&gt;0,"Evidence reviewed - sufficient",IF(SUMPRODUCT(ISNUMBER(SEARCH(","&amp;EV_ID&amp;",",","&amp;SUBSTITUTE(L278," ","")&amp;","))*(EV_ID&lt;&gt;"")*(EV_SUFF="Partially sufficient"))&gt;0,"Evidence partially sufficient","Evidence insufficient - referenced evidence not sufficient"))))))))</f>
        <v/>
      </c>
      <c r="O278" s="50"/>
      <c r="P278" s="34"/>
      <c r="Q278" s="34"/>
      <c r="R278" s="50"/>
      <c r="S278" s="51"/>
      <c r="T278" s="51"/>
      <c r="U278" s="52" t="str">
        <f aca="false">IF(OR(A278="",Q278=""),"",IF(AND(ISNUMBER(S278),S278&lt;AsOf,O278&lt;&gt;"Reviewed"),"Overdue",""))</f>
        <v/>
      </c>
      <c r="V278" s="54" t="str">
        <f aca="false">IF(A278="","",IF(COUNTIF(QA_ID,A278)&gt;1,"CHECK: duplicate ID",IF(B278="","CHECK: Supplier ID missing",IF(COUNTIF(INV_ID,B278)=0,"CHECK: Supplier ID not in inventory",IF(E278="","CHECK: Question ID missing",IF(COUNTIF(QB_ID,E278)=0,"CHECK: Question ID not in bank","OK"))))))</f>
        <v/>
      </c>
    </row>
    <row r="279" customFormat="false" ht="15" hidden="false" customHeight="false" outlineLevel="0" collapsed="false">
      <c r="A279" s="50"/>
      <c r="B279" s="50"/>
      <c r="C279" s="59" t="str">
        <f aca="false">IF(B279="","",IFERROR(INDEX(INV_NAME,MATCH(B279,INV_ID,0)),"CHECK: Supplier ID not found"))</f>
        <v/>
      </c>
      <c r="D279" s="63" t="str">
        <f aca="false">IF(B279="","",IFERROR(INDEX(INV_TIER,MATCH(B279,INV_ID,0)),""))</f>
        <v/>
      </c>
      <c r="E279" s="50"/>
      <c r="F279" s="59" t="str">
        <f aca="false">IF(E279="","",IFERROR(INDEX(QB_Q,MATCH(E279,QB_ID,0)),"CHECK: Question ID not found"))</f>
        <v/>
      </c>
      <c r="G279" s="59" t="str">
        <f aca="false">IF(E279="","",IFERROR(INDEX(QB_DOMAIN,MATCH(E279,QB_ID,0)),""))</f>
        <v/>
      </c>
      <c r="H279" s="54" t="str">
        <f aca="false">IF(OR(A279="",E279=""),"",IFERROR(IF(ISNUMBER(MATCH(D279,{"Low","Medium","High"},0)),IF(MATCH(D279,{"Low","Medium","High"},0)&gt;=MATCH(INDEX(QB_MINTIER,MATCH(E279,QB_ID,0)),{"Low","Medium","High"},0),"Recommended for tier","Optional for tier"),"Tier not determined"),"Check question"))</f>
        <v/>
      </c>
      <c r="I279" s="34"/>
      <c r="J279" s="50"/>
      <c r="K279" s="34"/>
      <c r="L279" s="34"/>
      <c r="M279" s="62" t="str">
        <f aca="false">IF(L279="","",SUMPRODUCT(ISNUMBER(SEARCH(","&amp;EV_ID&amp;",",","&amp;SUBSTITUTE(L279," ","")&amp;","))*(EV_ID&lt;&gt;"")))</f>
        <v/>
      </c>
      <c r="N279" s="54" t="str">
        <f aca="false">IF(A279="","",IF(I279&lt;&gt;"Applicable",IF(I279="","Applicability not set","Not in scope ("&amp;I279&amp;")"),IF(OR(J279="",J279="Not answered"),"Awaiting supplier response",IF(J279="Not applicable","Supplier states not applicable - analyst to confirm",IF(L279="","Evidence insufficient - none referenced",IF(M279=0,"Evidence insufficient - referenced ID not found",IF(SUMPRODUCT(ISNUMBER(SEARCH(","&amp;EV_ID&amp;",",","&amp;SUBSTITUTE(L279," ","")&amp;","))*(EV_ID&lt;&gt;"")*(EV_SUFF="Sufficient"))&gt;0,"Evidence reviewed - sufficient",IF(SUMPRODUCT(ISNUMBER(SEARCH(","&amp;EV_ID&amp;",",","&amp;SUBSTITUTE(L279," ","")&amp;","))*(EV_ID&lt;&gt;"")*(EV_SUFF="Partially sufficient"))&gt;0,"Evidence partially sufficient","Evidence insufficient - referenced evidence not sufficient"))))))))</f>
        <v/>
      </c>
      <c r="O279" s="50"/>
      <c r="P279" s="34"/>
      <c r="Q279" s="34"/>
      <c r="R279" s="50"/>
      <c r="S279" s="51"/>
      <c r="T279" s="51"/>
      <c r="U279" s="52" t="str">
        <f aca="false">IF(OR(A279="",Q279=""),"",IF(AND(ISNUMBER(S279),S279&lt;AsOf,O279&lt;&gt;"Reviewed"),"Overdue",""))</f>
        <v/>
      </c>
      <c r="V279" s="54" t="str">
        <f aca="false">IF(A279="","",IF(COUNTIF(QA_ID,A279)&gt;1,"CHECK: duplicate ID",IF(B279="","CHECK: Supplier ID missing",IF(COUNTIF(INV_ID,B279)=0,"CHECK: Supplier ID not in inventory",IF(E279="","CHECK: Question ID missing",IF(COUNTIF(QB_ID,E279)=0,"CHECK: Question ID not in bank","OK"))))))</f>
        <v/>
      </c>
    </row>
    <row r="280" customFormat="false" ht="15" hidden="false" customHeight="false" outlineLevel="0" collapsed="false">
      <c r="A280" s="50"/>
      <c r="B280" s="50"/>
      <c r="C280" s="59" t="str">
        <f aca="false">IF(B280="","",IFERROR(INDEX(INV_NAME,MATCH(B280,INV_ID,0)),"CHECK: Supplier ID not found"))</f>
        <v/>
      </c>
      <c r="D280" s="63" t="str">
        <f aca="false">IF(B280="","",IFERROR(INDEX(INV_TIER,MATCH(B280,INV_ID,0)),""))</f>
        <v/>
      </c>
      <c r="E280" s="50"/>
      <c r="F280" s="59" t="str">
        <f aca="false">IF(E280="","",IFERROR(INDEX(QB_Q,MATCH(E280,QB_ID,0)),"CHECK: Question ID not found"))</f>
        <v/>
      </c>
      <c r="G280" s="59" t="str">
        <f aca="false">IF(E280="","",IFERROR(INDEX(QB_DOMAIN,MATCH(E280,QB_ID,0)),""))</f>
        <v/>
      </c>
      <c r="H280" s="54" t="str">
        <f aca="false">IF(OR(A280="",E280=""),"",IFERROR(IF(ISNUMBER(MATCH(D280,{"Low","Medium","High"},0)),IF(MATCH(D280,{"Low","Medium","High"},0)&gt;=MATCH(INDEX(QB_MINTIER,MATCH(E280,QB_ID,0)),{"Low","Medium","High"},0),"Recommended for tier","Optional for tier"),"Tier not determined"),"Check question"))</f>
        <v/>
      </c>
      <c r="I280" s="34"/>
      <c r="J280" s="50"/>
      <c r="K280" s="34"/>
      <c r="L280" s="34"/>
      <c r="M280" s="62" t="str">
        <f aca="false">IF(L280="","",SUMPRODUCT(ISNUMBER(SEARCH(","&amp;EV_ID&amp;",",","&amp;SUBSTITUTE(L280," ","")&amp;","))*(EV_ID&lt;&gt;"")))</f>
        <v/>
      </c>
      <c r="N280" s="54" t="str">
        <f aca="false">IF(A280="","",IF(I280&lt;&gt;"Applicable",IF(I280="","Applicability not set","Not in scope ("&amp;I280&amp;")"),IF(OR(J280="",J280="Not answered"),"Awaiting supplier response",IF(J280="Not applicable","Supplier states not applicable - analyst to confirm",IF(L280="","Evidence insufficient - none referenced",IF(M280=0,"Evidence insufficient - referenced ID not found",IF(SUMPRODUCT(ISNUMBER(SEARCH(","&amp;EV_ID&amp;",",","&amp;SUBSTITUTE(L280," ","")&amp;","))*(EV_ID&lt;&gt;"")*(EV_SUFF="Sufficient"))&gt;0,"Evidence reviewed - sufficient",IF(SUMPRODUCT(ISNUMBER(SEARCH(","&amp;EV_ID&amp;",",","&amp;SUBSTITUTE(L280," ","")&amp;","))*(EV_ID&lt;&gt;"")*(EV_SUFF="Partially sufficient"))&gt;0,"Evidence partially sufficient","Evidence insufficient - referenced evidence not sufficient"))))))))</f>
        <v/>
      </c>
      <c r="O280" s="50"/>
      <c r="P280" s="34"/>
      <c r="Q280" s="34"/>
      <c r="R280" s="50"/>
      <c r="S280" s="51"/>
      <c r="T280" s="51"/>
      <c r="U280" s="52" t="str">
        <f aca="false">IF(OR(A280="",Q280=""),"",IF(AND(ISNUMBER(S280),S280&lt;AsOf,O280&lt;&gt;"Reviewed"),"Overdue",""))</f>
        <v/>
      </c>
      <c r="V280" s="54" t="str">
        <f aca="false">IF(A280="","",IF(COUNTIF(QA_ID,A280)&gt;1,"CHECK: duplicate ID",IF(B280="","CHECK: Supplier ID missing",IF(COUNTIF(INV_ID,B280)=0,"CHECK: Supplier ID not in inventory",IF(E280="","CHECK: Question ID missing",IF(COUNTIF(QB_ID,E280)=0,"CHECK: Question ID not in bank","OK"))))))</f>
        <v/>
      </c>
    </row>
    <row r="281" customFormat="false" ht="15" hidden="false" customHeight="false" outlineLevel="0" collapsed="false">
      <c r="A281" s="50"/>
      <c r="B281" s="50"/>
      <c r="C281" s="59" t="str">
        <f aca="false">IF(B281="","",IFERROR(INDEX(INV_NAME,MATCH(B281,INV_ID,0)),"CHECK: Supplier ID not found"))</f>
        <v/>
      </c>
      <c r="D281" s="63" t="str">
        <f aca="false">IF(B281="","",IFERROR(INDEX(INV_TIER,MATCH(B281,INV_ID,0)),""))</f>
        <v/>
      </c>
      <c r="E281" s="50"/>
      <c r="F281" s="59" t="str">
        <f aca="false">IF(E281="","",IFERROR(INDEX(QB_Q,MATCH(E281,QB_ID,0)),"CHECK: Question ID not found"))</f>
        <v/>
      </c>
      <c r="G281" s="59" t="str">
        <f aca="false">IF(E281="","",IFERROR(INDEX(QB_DOMAIN,MATCH(E281,QB_ID,0)),""))</f>
        <v/>
      </c>
      <c r="H281" s="54" t="str">
        <f aca="false">IF(OR(A281="",E281=""),"",IFERROR(IF(ISNUMBER(MATCH(D281,{"Low","Medium","High"},0)),IF(MATCH(D281,{"Low","Medium","High"},0)&gt;=MATCH(INDEX(QB_MINTIER,MATCH(E281,QB_ID,0)),{"Low","Medium","High"},0),"Recommended for tier","Optional for tier"),"Tier not determined"),"Check question"))</f>
        <v/>
      </c>
      <c r="I281" s="34"/>
      <c r="J281" s="50"/>
      <c r="K281" s="34"/>
      <c r="L281" s="34"/>
      <c r="M281" s="62" t="str">
        <f aca="false">IF(L281="","",SUMPRODUCT(ISNUMBER(SEARCH(","&amp;EV_ID&amp;",",","&amp;SUBSTITUTE(L281," ","")&amp;","))*(EV_ID&lt;&gt;"")))</f>
        <v/>
      </c>
      <c r="N281" s="54" t="str">
        <f aca="false">IF(A281="","",IF(I281&lt;&gt;"Applicable",IF(I281="","Applicability not set","Not in scope ("&amp;I281&amp;")"),IF(OR(J281="",J281="Not answered"),"Awaiting supplier response",IF(J281="Not applicable","Supplier states not applicable - analyst to confirm",IF(L281="","Evidence insufficient - none referenced",IF(M281=0,"Evidence insufficient - referenced ID not found",IF(SUMPRODUCT(ISNUMBER(SEARCH(","&amp;EV_ID&amp;",",","&amp;SUBSTITUTE(L281," ","")&amp;","))*(EV_ID&lt;&gt;"")*(EV_SUFF="Sufficient"))&gt;0,"Evidence reviewed - sufficient",IF(SUMPRODUCT(ISNUMBER(SEARCH(","&amp;EV_ID&amp;",",","&amp;SUBSTITUTE(L281," ","")&amp;","))*(EV_ID&lt;&gt;"")*(EV_SUFF="Partially sufficient"))&gt;0,"Evidence partially sufficient","Evidence insufficient - referenced evidence not sufficient"))))))))</f>
        <v/>
      </c>
      <c r="O281" s="50"/>
      <c r="P281" s="34"/>
      <c r="Q281" s="34"/>
      <c r="R281" s="50"/>
      <c r="S281" s="51"/>
      <c r="T281" s="51"/>
      <c r="U281" s="52" t="str">
        <f aca="false">IF(OR(A281="",Q281=""),"",IF(AND(ISNUMBER(S281),S281&lt;AsOf,O281&lt;&gt;"Reviewed"),"Overdue",""))</f>
        <v/>
      </c>
      <c r="V281" s="54" t="str">
        <f aca="false">IF(A281="","",IF(COUNTIF(QA_ID,A281)&gt;1,"CHECK: duplicate ID",IF(B281="","CHECK: Supplier ID missing",IF(COUNTIF(INV_ID,B281)=0,"CHECK: Supplier ID not in inventory",IF(E281="","CHECK: Question ID missing",IF(COUNTIF(QB_ID,E281)=0,"CHECK: Question ID not in bank","OK"))))))</f>
        <v/>
      </c>
    </row>
    <row r="282" customFormat="false" ht="15" hidden="false" customHeight="false" outlineLevel="0" collapsed="false">
      <c r="A282" s="50"/>
      <c r="B282" s="50"/>
      <c r="C282" s="59" t="str">
        <f aca="false">IF(B282="","",IFERROR(INDEX(INV_NAME,MATCH(B282,INV_ID,0)),"CHECK: Supplier ID not found"))</f>
        <v/>
      </c>
      <c r="D282" s="63" t="str">
        <f aca="false">IF(B282="","",IFERROR(INDEX(INV_TIER,MATCH(B282,INV_ID,0)),""))</f>
        <v/>
      </c>
      <c r="E282" s="50"/>
      <c r="F282" s="59" t="str">
        <f aca="false">IF(E282="","",IFERROR(INDEX(QB_Q,MATCH(E282,QB_ID,0)),"CHECK: Question ID not found"))</f>
        <v/>
      </c>
      <c r="G282" s="59" t="str">
        <f aca="false">IF(E282="","",IFERROR(INDEX(QB_DOMAIN,MATCH(E282,QB_ID,0)),""))</f>
        <v/>
      </c>
      <c r="H282" s="54" t="str">
        <f aca="false">IF(OR(A282="",E282=""),"",IFERROR(IF(ISNUMBER(MATCH(D282,{"Low","Medium","High"},0)),IF(MATCH(D282,{"Low","Medium","High"},0)&gt;=MATCH(INDEX(QB_MINTIER,MATCH(E282,QB_ID,0)),{"Low","Medium","High"},0),"Recommended for tier","Optional for tier"),"Tier not determined"),"Check question"))</f>
        <v/>
      </c>
      <c r="I282" s="34"/>
      <c r="J282" s="50"/>
      <c r="K282" s="34"/>
      <c r="L282" s="34"/>
      <c r="M282" s="62" t="str">
        <f aca="false">IF(L282="","",SUMPRODUCT(ISNUMBER(SEARCH(","&amp;EV_ID&amp;",",","&amp;SUBSTITUTE(L282," ","")&amp;","))*(EV_ID&lt;&gt;"")))</f>
        <v/>
      </c>
      <c r="N282" s="54" t="str">
        <f aca="false">IF(A282="","",IF(I282&lt;&gt;"Applicable",IF(I282="","Applicability not set","Not in scope ("&amp;I282&amp;")"),IF(OR(J282="",J282="Not answered"),"Awaiting supplier response",IF(J282="Not applicable","Supplier states not applicable - analyst to confirm",IF(L282="","Evidence insufficient - none referenced",IF(M282=0,"Evidence insufficient - referenced ID not found",IF(SUMPRODUCT(ISNUMBER(SEARCH(","&amp;EV_ID&amp;",",","&amp;SUBSTITUTE(L282," ","")&amp;","))*(EV_ID&lt;&gt;"")*(EV_SUFF="Sufficient"))&gt;0,"Evidence reviewed - sufficient",IF(SUMPRODUCT(ISNUMBER(SEARCH(","&amp;EV_ID&amp;",",","&amp;SUBSTITUTE(L282," ","")&amp;","))*(EV_ID&lt;&gt;"")*(EV_SUFF="Partially sufficient"))&gt;0,"Evidence partially sufficient","Evidence insufficient - referenced evidence not sufficient"))))))))</f>
        <v/>
      </c>
      <c r="O282" s="50"/>
      <c r="P282" s="34"/>
      <c r="Q282" s="34"/>
      <c r="R282" s="50"/>
      <c r="S282" s="51"/>
      <c r="T282" s="51"/>
      <c r="U282" s="52" t="str">
        <f aca="false">IF(OR(A282="",Q282=""),"",IF(AND(ISNUMBER(S282),S282&lt;AsOf,O282&lt;&gt;"Reviewed"),"Overdue",""))</f>
        <v/>
      </c>
      <c r="V282" s="54" t="str">
        <f aca="false">IF(A282="","",IF(COUNTIF(QA_ID,A282)&gt;1,"CHECK: duplicate ID",IF(B282="","CHECK: Supplier ID missing",IF(COUNTIF(INV_ID,B282)=0,"CHECK: Supplier ID not in inventory",IF(E282="","CHECK: Question ID missing",IF(COUNTIF(QB_ID,E282)=0,"CHECK: Question ID not in bank","OK"))))))</f>
        <v/>
      </c>
    </row>
    <row r="283" customFormat="false" ht="15" hidden="false" customHeight="false" outlineLevel="0" collapsed="false">
      <c r="A283" s="50"/>
      <c r="B283" s="50"/>
      <c r="C283" s="59" t="str">
        <f aca="false">IF(B283="","",IFERROR(INDEX(INV_NAME,MATCH(B283,INV_ID,0)),"CHECK: Supplier ID not found"))</f>
        <v/>
      </c>
      <c r="D283" s="63" t="str">
        <f aca="false">IF(B283="","",IFERROR(INDEX(INV_TIER,MATCH(B283,INV_ID,0)),""))</f>
        <v/>
      </c>
      <c r="E283" s="50"/>
      <c r="F283" s="59" t="str">
        <f aca="false">IF(E283="","",IFERROR(INDEX(QB_Q,MATCH(E283,QB_ID,0)),"CHECK: Question ID not found"))</f>
        <v/>
      </c>
      <c r="G283" s="59" t="str">
        <f aca="false">IF(E283="","",IFERROR(INDEX(QB_DOMAIN,MATCH(E283,QB_ID,0)),""))</f>
        <v/>
      </c>
      <c r="H283" s="54" t="str">
        <f aca="false">IF(OR(A283="",E283=""),"",IFERROR(IF(ISNUMBER(MATCH(D283,{"Low","Medium","High"},0)),IF(MATCH(D283,{"Low","Medium","High"},0)&gt;=MATCH(INDEX(QB_MINTIER,MATCH(E283,QB_ID,0)),{"Low","Medium","High"},0),"Recommended for tier","Optional for tier"),"Tier not determined"),"Check question"))</f>
        <v/>
      </c>
      <c r="I283" s="34"/>
      <c r="J283" s="50"/>
      <c r="K283" s="34"/>
      <c r="L283" s="34"/>
      <c r="M283" s="62" t="str">
        <f aca="false">IF(L283="","",SUMPRODUCT(ISNUMBER(SEARCH(","&amp;EV_ID&amp;",",","&amp;SUBSTITUTE(L283," ","")&amp;","))*(EV_ID&lt;&gt;"")))</f>
        <v/>
      </c>
      <c r="N283" s="54" t="str">
        <f aca="false">IF(A283="","",IF(I283&lt;&gt;"Applicable",IF(I283="","Applicability not set","Not in scope ("&amp;I283&amp;")"),IF(OR(J283="",J283="Not answered"),"Awaiting supplier response",IF(J283="Not applicable","Supplier states not applicable - analyst to confirm",IF(L283="","Evidence insufficient - none referenced",IF(M283=0,"Evidence insufficient - referenced ID not found",IF(SUMPRODUCT(ISNUMBER(SEARCH(","&amp;EV_ID&amp;",",","&amp;SUBSTITUTE(L283," ","")&amp;","))*(EV_ID&lt;&gt;"")*(EV_SUFF="Sufficient"))&gt;0,"Evidence reviewed - sufficient",IF(SUMPRODUCT(ISNUMBER(SEARCH(","&amp;EV_ID&amp;",",","&amp;SUBSTITUTE(L283," ","")&amp;","))*(EV_ID&lt;&gt;"")*(EV_SUFF="Partially sufficient"))&gt;0,"Evidence partially sufficient","Evidence insufficient - referenced evidence not sufficient"))))))))</f>
        <v/>
      </c>
      <c r="O283" s="50"/>
      <c r="P283" s="34"/>
      <c r="Q283" s="34"/>
      <c r="R283" s="50"/>
      <c r="S283" s="51"/>
      <c r="T283" s="51"/>
      <c r="U283" s="52" t="str">
        <f aca="false">IF(OR(A283="",Q283=""),"",IF(AND(ISNUMBER(S283),S283&lt;AsOf,O283&lt;&gt;"Reviewed"),"Overdue",""))</f>
        <v/>
      </c>
      <c r="V283" s="54" t="str">
        <f aca="false">IF(A283="","",IF(COUNTIF(QA_ID,A283)&gt;1,"CHECK: duplicate ID",IF(B283="","CHECK: Supplier ID missing",IF(COUNTIF(INV_ID,B283)=0,"CHECK: Supplier ID not in inventory",IF(E283="","CHECK: Question ID missing",IF(COUNTIF(QB_ID,E283)=0,"CHECK: Question ID not in bank","OK"))))))</f>
        <v/>
      </c>
    </row>
    <row r="284" customFormat="false" ht="15" hidden="false" customHeight="false" outlineLevel="0" collapsed="false">
      <c r="A284" s="50"/>
      <c r="B284" s="50"/>
      <c r="C284" s="59" t="str">
        <f aca="false">IF(B284="","",IFERROR(INDEX(INV_NAME,MATCH(B284,INV_ID,0)),"CHECK: Supplier ID not found"))</f>
        <v/>
      </c>
      <c r="D284" s="63" t="str">
        <f aca="false">IF(B284="","",IFERROR(INDEX(INV_TIER,MATCH(B284,INV_ID,0)),""))</f>
        <v/>
      </c>
      <c r="E284" s="50"/>
      <c r="F284" s="59" t="str">
        <f aca="false">IF(E284="","",IFERROR(INDEX(QB_Q,MATCH(E284,QB_ID,0)),"CHECK: Question ID not found"))</f>
        <v/>
      </c>
      <c r="G284" s="59" t="str">
        <f aca="false">IF(E284="","",IFERROR(INDEX(QB_DOMAIN,MATCH(E284,QB_ID,0)),""))</f>
        <v/>
      </c>
      <c r="H284" s="54" t="str">
        <f aca="false">IF(OR(A284="",E284=""),"",IFERROR(IF(ISNUMBER(MATCH(D284,{"Low","Medium","High"},0)),IF(MATCH(D284,{"Low","Medium","High"},0)&gt;=MATCH(INDEX(QB_MINTIER,MATCH(E284,QB_ID,0)),{"Low","Medium","High"},0),"Recommended for tier","Optional for tier"),"Tier not determined"),"Check question"))</f>
        <v/>
      </c>
      <c r="I284" s="34"/>
      <c r="J284" s="50"/>
      <c r="K284" s="34"/>
      <c r="L284" s="34"/>
      <c r="M284" s="62" t="str">
        <f aca="false">IF(L284="","",SUMPRODUCT(ISNUMBER(SEARCH(","&amp;EV_ID&amp;",",","&amp;SUBSTITUTE(L284," ","")&amp;","))*(EV_ID&lt;&gt;"")))</f>
        <v/>
      </c>
      <c r="N284" s="54" t="str">
        <f aca="false">IF(A284="","",IF(I284&lt;&gt;"Applicable",IF(I284="","Applicability not set","Not in scope ("&amp;I284&amp;")"),IF(OR(J284="",J284="Not answered"),"Awaiting supplier response",IF(J284="Not applicable","Supplier states not applicable - analyst to confirm",IF(L284="","Evidence insufficient - none referenced",IF(M284=0,"Evidence insufficient - referenced ID not found",IF(SUMPRODUCT(ISNUMBER(SEARCH(","&amp;EV_ID&amp;",",","&amp;SUBSTITUTE(L284," ","")&amp;","))*(EV_ID&lt;&gt;"")*(EV_SUFF="Sufficient"))&gt;0,"Evidence reviewed - sufficient",IF(SUMPRODUCT(ISNUMBER(SEARCH(","&amp;EV_ID&amp;",",","&amp;SUBSTITUTE(L284," ","")&amp;","))*(EV_ID&lt;&gt;"")*(EV_SUFF="Partially sufficient"))&gt;0,"Evidence partially sufficient","Evidence insufficient - referenced evidence not sufficient"))))))))</f>
        <v/>
      </c>
      <c r="O284" s="50"/>
      <c r="P284" s="34"/>
      <c r="Q284" s="34"/>
      <c r="R284" s="50"/>
      <c r="S284" s="51"/>
      <c r="T284" s="51"/>
      <c r="U284" s="52" t="str">
        <f aca="false">IF(OR(A284="",Q284=""),"",IF(AND(ISNUMBER(S284),S284&lt;AsOf,O284&lt;&gt;"Reviewed"),"Overdue",""))</f>
        <v/>
      </c>
      <c r="V284" s="54" t="str">
        <f aca="false">IF(A284="","",IF(COUNTIF(QA_ID,A284)&gt;1,"CHECK: duplicate ID",IF(B284="","CHECK: Supplier ID missing",IF(COUNTIF(INV_ID,B284)=0,"CHECK: Supplier ID not in inventory",IF(E284="","CHECK: Question ID missing",IF(COUNTIF(QB_ID,E284)=0,"CHECK: Question ID not in bank","OK"))))))</f>
        <v/>
      </c>
    </row>
    <row r="285" customFormat="false" ht="15" hidden="false" customHeight="false" outlineLevel="0" collapsed="false">
      <c r="A285" s="50"/>
      <c r="B285" s="50"/>
      <c r="C285" s="59" t="str">
        <f aca="false">IF(B285="","",IFERROR(INDEX(INV_NAME,MATCH(B285,INV_ID,0)),"CHECK: Supplier ID not found"))</f>
        <v/>
      </c>
      <c r="D285" s="63" t="str">
        <f aca="false">IF(B285="","",IFERROR(INDEX(INV_TIER,MATCH(B285,INV_ID,0)),""))</f>
        <v/>
      </c>
      <c r="E285" s="50"/>
      <c r="F285" s="59" t="str">
        <f aca="false">IF(E285="","",IFERROR(INDEX(QB_Q,MATCH(E285,QB_ID,0)),"CHECK: Question ID not found"))</f>
        <v/>
      </c>
      <c r="G285" s="59" t="str">
        <f aca="false">IF(E285="","",IFERROR(INDEX(QB_DOMAIN,MATCH(E285,QB_ID,0)),""))</f>
        <v/>
      </c>
      <c r="H285" s="54" t="str">
        <f aca="false">IF(OR(A285="",E285=""),"",IFERROR(IF(ISNUMBER(MATCH(D285,{"Low","Medium","High"},0)),IF(MATCH(D285,{"Low","Medium","High"},0)&gt;=MATCH(INDEX(QB_MINTIER,MATCH(E285,QB_ID,0)),{"Low","Medium","High"},0),"Recommended for tier","Optional for tier"),"Tier not determined"),"Check question"))</f>
        <v/>
      </c>
      <c r="I285" s="34"/>
      <c r="J285" s="50"/>
      <c r="K285" s="34"/>
      <c r="L285" s="34"/>
      <c r="M285" s="62" t="str">
        <f aca="false">IF(L285="","",SUMPRODUCT(ISNUMBER(SEARCH(","&amp;EV_ID&amp;",",","&amp;SUBSTITUTE(L285," ","")&amp;","))*(EV_ID&lt;&gt;"")))</f>
        <v/>
      </c>
      <c r="N285" s="54" t="str">
        <f aca="false">IF(A285="","",IF(I285&lt;&gt;"Applicable",IF(I285="","Applicability not set","Not in scope ("&amp;I285&amp;")"),IF(OR(J285="",J285="Not answered"),"Awaiting supplier response",IF(J285="Not applicable","Supplier states not applicable - analyst to confirm",IF(L285="","Evidence insufficient - none referenced",IF(M285=0,"Evidence insufficient - referenced ID not found",IF(SUMPRODUCT(ISNUMBER(SEARCH(","&amp;EV_ID&amp;",",","&amp;SUBSTITUTE(L285," ","")&amp;","))*(EV_ID&lt;&gt;"")*(EV_SUFF="Sufficient"))&gt;0,"Evidence reviewed - sufficient",IF(SUMPRODUCT(ISNUMBER(SEARCH(","&amp;EV_ID&amp;",",","&amp;SUBSTITUTE(L285," ","")&amp;","))*(EV_ID&lt;&gt;"")*(EV_SUFF="Partially sufficient"))&gt;0,"Evidence partially sufficient","Evidence insufficient - referenced evidence not sufficient"))))))))</f>
        <v/>
      </c>
      <c r="O285" s="50"/>
      <c r="P285" s="34"/>
      <c r="Q285" s="34"/>
      <c r="R285" s="50"/>
      <c r="S285" s="51"/>
      <c r="T285" s="51"/>
      <c r="U285" s="52" t="str">
        <f aca="false">IF(OR(A285="",Q285=""),"",IF(AND(ISNUMBER(S285),S285&lt;AsOf,O285&lt;&gt;"Reviewed"),"Overdue",""))</f>
        <v/>
      </c>
      <c r="V285" s="54" t="str">
        <f aca="false">IF(A285="","",IF(COUNTIF(QA_ID,A285)&gt;1,"CHECK: duplicate ID",IF(B285="","CHECK: Supplier ID missing",IF(COUNTIF(INV_ID,B285)=0,"CHECK: Supplier ID not in inventory",IF(E285="","CHECK: Question ID missing",IF(COUNTIF(QB_ID,E285)=0,"CHECK: Question ID not in bank","OK"))))))</f>
        <v/>
      </c>
    </row>
    <row r="286" customFormat="false" ht="15" hidden="false" customHeight="false" outlineLevel="0" collapsed="false">
      <c r="A286" s="50"/>
      <c r="B286" s="50"/>
      <c r="C286" s="59" t="str">
        <f aca="false">IF(B286="","",IFERROR(INDEX(INV_NAME,MATCH(B286,INV_ID,0)),"CHECK: Supplier ID not found"))</f>
        <v/>
      </c>
      <c r="D286" s="63" t="str">
        <f aca="false">IF(B286="","",IFERROR(INDEX(INV_TIER,MATCH(B286,INV_ID,0)),""))</f>
        <v/>
      </c>
      <c r="E286" s="50"/>
      <c r="F286" s="59" t="str">
        <f aca="false">IF(E286="","",IFERROR(INDEX(QB_Q,MATCH(E286,QB_ID,0)),"CHECK: Question ID not found"))</f>
        <v/>
      </c>
      <c r="G286" s="59" t="str">
        <f aca="false">IF(E286="","",IFERROR(INDEX(QB_DOMAIN,MATCH(E286,QB_ID,0)),""))</f>
        <v/>
      </c>
      <c r="H286" s="54" t="str">
        <f aca="false">IF(OR(A286="",E286=""),"",IFERROR(IF(ISNUMBER(MATCH(D286,{"Low","Medium","High"},0)),IF(MATCH(D286,{"Low","Medium","High"},0)&gt;=MATCH(INDEX(QB_MINTIER,MATCH(E286,QB_ID,0)),{"Low","Medium","High"},0),"Recommended for tier","Optional for tier"),"Tier not determined"),"Check question"))</f>
        <v/>
      </c>
      <c r="I286" s="34"/>
      <c r="J286" s="50"/>
      <c r="K286" s="34"/>
      <c r="L286" s="34"/>
      <c r="M286" s="62" t="str">
        <f aca="false">IF(L286="","",SUMPRODUCT(ISNUMBER(SEARCH(","&amp;EV_ID&amp;",",","&amp;SUBSTITUTE(L286," ","")&amp;","))*(EV_ID&lt;&gt;"")))</f>
        <v/>
      </c>
      <c r="N286" s="54" t="str">
        <f aca="false">IF(A286="","",IF(I286&lt;&gt;"Applicable",IF(I286="","Applicability not set","Not in scope ("&amp;I286&amp;")"),IF(OR(J286="",J286="Not answered"),"Awaiting supplier response",IF(J286="Not applicable","Supplier states not applicable - analyst to confirm",IF(L286="","Evidence insufficient - none referenced",IF(M286=0,"Evidence insufficient - referenced ID not found",IF(SUMPRODUCT(ISNUMBER(SEARCH(","&amp;EV_ID&amp;",",","&amp;SUBSTITUTE(L286," ","")&amp;","))*(EV_ID&lt;&gt;"")*(EV_SUFF="Sufficient"))&gt;0,"Evidence reviewed - sufficient",IF(SUMPRODUCT(ISNUMBER(SEARCH(","&amp;EV_ID&amp;",",","&amp;SUBSTITUTE(L286," ","")&amp;","))*(EV_ID&lt;&gt;"")*(EV_SUFF="Partially sufficient"))&gt;0,"Evidence partially sufficient","Evidence insufficient - referenced evidence not sufficient"))))))))</f>
        <v/>
      </c>
      <c r="O286" s="50"/>
      <c r="P286" s="34"/>
      <c r="Q286" s="34"/>
      <c r="R286" s="50"/>
      <c r="S286" s="51"/>
      <c r="T286" s="51"/>
      <c r="U286" s="52" t="str">
        <f aca="false">IF(OR(A286="",Q286=""),"",IF(AND(ISNUMBER(S286),S286&lt;AsOf,O286&lt;&gt;"Reviewed"),"Overdue",""))</f>
        <v/>
      </c>
      <c r="V286" s="54" t="str">
        <f aca="false">IF(A286="","",IF(COUNTIF(QA_ID,A286)&gt;1,"CHECK: duplicate ID",IF(B286="","CHECK: Supplier ID missing",IF(COUNTIF(INV_ID,B286)=0,"CHECK: Supplier ID not in inventory",IF(E286="","CHECK: Question ID missing",IF(COUNTIF(QB_ID,E286)=0,"CHECK: Question ID not in bank","OK"))))))</f>
        <v/>
      </c>
    </row>
    <row r="287" customFormat="false" ht="15" hidden="false" customHeight="false" outlineLevel="0" collapsed="false">
      <c r="A287" s="50"/>
      <c r="B287" s="50"/>
      <c r="C287" s="59" t="str">
        <f aca="false">IF(B287="","",IFERROR(INDEX(INV_NAME,MATCH(B287,INV_ID,0)),"CHECK: Supplier ID not found"))</f>
        <v/>
      </c>
      <c r="D287" s="63" t="str">
        <f aca="false">IF(B287="","",IFERROR(INDEX(INV_TIER,MATCH(B287,INV_ID,0)),""))</f>
        <v/>
      </c>
      <c r="E287" s="50"/>
      <c r="F287" s="59" t="str">
        <f aca="false">IF(E287="","",IFERROR(INDEX(QB_Q,MATCH(E287,QB_ID,0)),"CHECK: Question ID not found"))</f>
        <v/>
      </c>
      <c r="G287" s="59" t="str">
        <f aca="false">IF(E287="","",IFERROR(INDEX(QB_DOMAIN,MATCH(E287,QB_ID,0)),""))</f>
        <v/>
      </c>
      <c r="H287" s="54" t="str">
        <f aca="false">IF(OR(A287="",E287=""),"",IFERROR(IF(ISNUMBER(MATCH(D287,{"Low","Medium","High"},0)),IF(MATCH(D287,{"Low","Medium","High"},0)&gt;=MATCH(INDEX(QB_MINTIER,MATCH(E287,QB_ID,0)),{"Low","Medium","High"},0),"Recommended for tier","Optional for tier"),"Tier not determined"),"Check question"))</f>
        <v/>
      </c>
      <c r="I287" s="34"/>
      <c r="J287" s="50"/>
      <c r="K287" s="34"/>
      <c r="L287" s="34"/>
      <c r="M287" s="62" t="str">
        <f aca="false">IF(L287="","",SUMPRODUCT(ISNUMBER(SEARCH(","&amp;EV_ID&amp;",",","&amp;SUBSTITUTE(L287," ","")&amp;","))*(EV_ID&lt;&gt;"")))</f>
        <v/>
      </c>
      <c r="N287" s="54" t="str">
        <f aca="false">IF(A287="","",IF(I287&lt;&gt;"Applicable",IF(I287="","Applicability not set","Not in scope ("&amp;I287&amp;")"),IF(OR(J287="",J287="Not answered"),"Awaiting supplier response",IF(J287="Not applicable","Supplier states not applicable - analyst to confirm",IF(L287="","Evidence insufficient - none referenced",IF(M287=0,"Evidence insufficient - referenced ID not found",IF(SUMPRODUCT(ISNUMBER(SEARCH(","&amp;EV_ID&amp;",",","&amp;SUBSTITUTE(L287," ","")&amp;","))*(EV_ID&lt;&gt;"")*(EV_SUFF="Sufficient"))&gt;0,"Evidence reviewed - sufficient",IF(SUMPRODUCT(ISNUMBER(SEARCH(","&amp;EV_ID&amp;",",","&amp;SUBSTITUTE(L287," ","")&amp;","))*(EV_ID&lt;&gt;"")*(EV_SUFF="Partially sufficient"))&gt;0,"Evidence partially sufficient","Evidence insufficient - referenced evidence not sufficient"))))))))</f>
        <v/>
      </c>
      <c r="O287" s="50"/>
      <c r="P287" s="34"/>
      <c r="Q287" s="34"/>
      <c r="R287" s="50"/>
      <c r="S287" s="51"/>
      <c r="T287" s="51"/>
      <c r="U287" s="52" t="str">
        <f aca="false">IF(OR(A287="",Q287=""),"",IF(AND(ISNUMBER(S287),S287&lt;AsOf,O287&lt;&gt;"Reviewed"),"Overdue",""))</f>
        <v/>
      </c>
      <c r="V287" s="54" t="str">
        <f aca="false">IF(A287="","",IF(COUNTIF(QA_ID,A287)&gt;1,"CHECK: duplicate ID",IF(B287="","CHECK: Supplier ID missing",IF(COUNTIF(INV_ID,B287)=0,"CHECK: Supplier ID not in inventory",IF(E287="","CHECK: Question ID missing",IF(COUNTIF(QB_ID,E287)=0,"CHECK: Question ID not in bank","OK"))))))</f>
        <v/>
      </c>
    </row>
    <row r="288" customFormat="false" ht="15" hidden="false" customHeight="false" outlineLevel="0" collapsed="false">
      <c r="A288" s="50"/>
      <c r="B288" s="50"/>
      <c r="C288" s="59" t="str">
        <f aca="false">IF(B288="","",IFERROR(INDEX(INV_NAME,MATCH(B288,INV_ID,0)),"CHECK: Supplier ID not found"))</f>
        <v/>
      </c>
      <c r="D288" s="63" t="str">
        <f aca="false">IF(B288="","",IFERROR(INDEX(INV_TIER,MATCH(B288,INV_ID,0)),""))</f>
        <v/>
      </c>
      <c r="E288" s="50"/>
      <c r="F288" s="59" t="str">
        <f aca="false">IF(E288="","",IFERROR(INDEX(QB_Q,MATCH(E288,QB_ID,0)),"CHECK: Question ID not found"))</f>
        <v/>
      </c>
      <c r="G288" s="59" t="str">
        <f aca="false">IF(E288="","",IFERROR(INDEX(QB_DOMAIN,MATCH(E288,QB_ID,0)),""))</f>
        <v/>
      </c>
      <c r="H288" s="54" t="str">
        <f aca="false">IF(OR(A288="",E288=""),"",IFERROR(IF(ISNUMBER(MATCH(D288,{"Low","Medium","High"},0)),IF(MATCH(D288,{"Low","Medium","High"},0)&gt;=MATCH(INDEX(QB_MINTIER,MATCH(E288,QB_ID,0)),{"Low","Medium","High"},0),"Recommended for tier","Optional for tier"),"Tier not determined"),"Check question"))</f>
        <v/>
      </c>
      <c r="I288" s="34"/>
      <c r="J288" s="50"/>
      <c r="K288" s="34"/>
      <c r="L288" s="34"/>
      <c r="M288" s="62" t="str">
        <f aca="false">IF(L288="","",SUMPRODUCT(ISNUMBER(SEARCH(","&amp;EV_ID&amp;",",","&amp;SUBSTITUTE(L288," ","")&amp;","))*(EV_ID&lt;&gt;"")))</f>
        <v/>
      </c>
      <c r="N288" s="54" t="str">
        <f aca="false">IF(A288="","",IF(I288&lt;&gt;"Applicable",IF(I288="","Applicability not set","Not in scope ("&amp;I288&amp;")"),IF(OR(J288="",J288="Not answered"),"Awaiting supplier response",IF(J288="Not applicable","Supplier states not applicable - analyst to confirm",IF(L288="","Evidence insufficient - none referenced",IF(M288=0,"Evidence insufficient - referenced ID not found",IF(SUMPRODUCT(ISNUMBER(SEARCH(","&amp;EV_ID&amp;",",","&amp;SUBSTITUTE(L288," ","")&amp;","))*(EV_ID&lt;&gt;"")*(EV_SUFF="Sufficient"))&gt;0,"Evidence reviewed - sufficient",IF(SUMPRODUCT(ISNUMBER(SEARCH(","&amp;EV_ID&amp;",",","&amp;SUBSTITUTE(L288," ","")&amp;","))*(EV_ID&lt;&gt;"")*(EV_SUFF="Partially sufficient"))&gt;0,"Evidence partially sufficient","Evidence insufficient - referenced evidence not sufficient"))))))))</f>
        <v/>
      </c>
      <c r="O288" s="50"/>
      <c r="P288" s="34"/>
      <c r="Q288" s="34"/>
      <c r="R288" s="50"/>
      <c r="S288" s="51"/>
      <c r="T288" s="51"/>
      <c r="U288" s="52" t="str">
        <f aca="false">IF(OR(A288="",Q288=""),"",IF(AND(ISNUMBER(S288),S288&lt;AsOf,O288&lt;&gt;"Reviewed"),"Overdue",""))</f>
        <v/>
      </c>
      <c r="V288" s="54" t="str">
        <f aca="false">IF(A288="","",IF(COUNTIF(QA_ID,A288)&gt;1,"CHECK: duplicate ID",IF(B288="","CHECK: Supplier ID missing",IF(COUNTIF(INV_ID,B288)=0,"CHECK: Supplier ID not in inventory",IF(E288="","CHECK: Question ID missing",IF(COUNTIF(QB_ID,E288)=0,"CHECK: Question ID not in bank","OK"))))))</f>
        <v/>
      </c>
    </row>
    <row r="289" customFormat="false" ht="15" hidden="false" customHeight="false" outlineLevel="0" collapsed="false">
      <c r="A289" s="50"/>
      <c r="B289" s="50"/>
      <c r="C289" s="59" t="str">
        <f aca="false">IF(B289="","",IFERROR(INDEX(INV_NAME,MATCH(B289,INV_ID,0)),"CHECK: Supplier ID not found"))</f>
        <v/>
      </c>
      <c r="D289" s="63" t="str">
        <f aca="false">IF(B289="","",IFERROR(INDEX(INV_TIER,MATCH(B289,INV_ID,0)),""))</f>
        <v/>
      </c>
      <c r="E289" s="50"/>
      <c r="F289" s="59" t="str">
        <f aca="false">IF(E289="","",IFERROR(INDEX(QB_Q,MATCH(E289,QB_ID,0)),"CHECK: Question ID not found"))</f>
        <v/>
      </c>
      <c r="G289" s="59" t="str">
        <f aca="false">IF(E289="","",IFERROR(INDEX(QB_DOMAIN,MATCH(E289,QB_ID,0)),""))</f>
        <v/>
      </c>
      <c r="H289" s="54" t="str">
        <f aca="false">IF(OR(A289="",E289=""),"",IFERROR(IF(ISNUMBER(MATCH(D289,{"Low","Medium","High"},0)),IF(MATCH(D289,{"Low","Medium","High"},0)&gt;=MATCH(INDEX(QB_MINTIER,MATCH(E289,QB_ID,0)),{"Low","Medium","High"},0),"Recommended for tier","Optional for tier"),"Tier not determined"),"Check question"))</f>
        <v/>
      </c>
      <c r="I289" s="34"/>
      <c r="J289" s="50"/>
      <c r="K289" s="34"/>
      <c r="L289" s="34"/>
      <c r="M289" s="62" t="str">
        <f aca="false">IF(L289="","",SUMPRODUCT(ISNUMBER(SEARCH(","&amp;EV_ID&amp;",",","&amp;SUBSTITUTE(L289," ","")&amp;","))*(EV_ID&lt;&gt;"")))</f>
        <v/>
      </c>
      <c r="N289" s="54" t="str">
        <f aca="false">IF(A289="","",IF(I289&lt;&gt;"Applicable",IF(I289="","Applicability not set","Not in scope ("&amp;I289&amp;")"),IF(OR(J289="",J289="Not answered"),"Awaiting supplier response",IF(J289="Not applicable","Supplier states not applicable - analyst to confirm",IF(L289="","Evidence insufficient - none referenced",IF(M289=0,"Evidence insufficient - referenced ID not found",IF(SUMPRODUCT(ISNUMBER(SEARCH(","&amp;EV_ID&amp;",",","&amp;SUBSTITUTE(L289," ","")&amp;","))*(EV_ID&lt;&gt;"")*(EV_SUFF="Sufficient"))&gt;0,"Evidence reviewed - sufficient",IF(SUMPRODUCT(ISNUMBER(SEARCH(","&amp;EV_ID&amp;",",","&amp;SUBSTITUTE(L289," ","")&amp;","))*(EV_ID&lt;&gt;"")*(EV_SUFF="Partially sufficient"))&gt;0,"Evidence partially sufficient","Evidence insufficient - referenced evidence not sufficient"))))))))</f>
        <v/>
      </c>
      <c r="O289" s="50"/>
      <c r="P289" s="34"/>
      <c r="Q289" s="34"/>
      <c r="R289" s="50"/>
      <c r="S289" s="51"/>
      <c r="T289" s="51"/>
      <c r="U289" s="52" t="str">
        <f aca="false">IF(OR(A289="",Q289=""),"",IF(AND(ISNUMBER(S289),S289&lt;AsOf,O289&lt;&gt;"Reviewed"),"Overdue",""))</f>
        <v/>
      </c>
      <c r="V289" s="54" t="str">
        <f aca="false">IF(A289="","",IF(COUNTIF(QA_ID,A289)&gt;1,"CHECK: duplicate ID",IF(B289="","CHECK: Supplier ID missing",IF(COUNTIF(INV_ID,B289)=0,"CHECK: Supplier ID not in inventory",IF(E289="","CHECK: Question ID missing",IF(COUNTIF(QB_ID,E289)=0,"CHECK: Question ID not in bank","OK"))))))</f>
        <v/>
      </c>
    </row>
    <row r="290" customFormat="false" ht="15" hidden="false" customHeight="false" outlineLevel="0" collapsed="false">
      <c r="A290" s="50"/>
      <c r="B290" s="50"/>
      <c r="C290" s="59" t="str">
        <f aca="false">IF(B290="","",IFERROR(INDEX(INV_NAME,MATCH(B290,INV_ID,0)),"CHECK: Supplier ID not found"))</f>
        <v/>
      </c>
      <c r="D290" s="63" t="str">
        <f aca="false">IF(B290="","",IFERROR(INDEX(INV_TIER,MATCH(B290,INV_ID,0)),""))</f>
        <v/>
      </c>
      <c r="E290" s="50"/>
      <c r="F290" s="59" t="str">
        <f aca="false">IF(E290="","",IFERROR(INDEX(QB_Q,MATCH(E290,QB_ID,0)),"CHECK: Question ID not found"))</f>
        <v/>
      </c>
      <c r="G290" s="59" t="str">
        <f aca="false">IF(E290="","",IFERROR(INDEX(QB_DOMAIN,MATCH(E290,QB_ID,0)),""))</f>
        <v/>
      </c>
      <c r="H290" s="54" t="str">
        <f aca="false">IF(OR(A290="",E290=""),"",IFERROR(IF(ISNUMBER(MATCH(D290,{"Low","Medium","High"},0)),IF(MATCH(D290,{"Low","Medium","High"},0)&gt;=MATCH(INDEX(QB_MINTIER,MATCH(E290,QB_ID,0)),{"Low","Medium","High"},0),"Recommended for tier","Optional for tier"),"Tier not determined"),"Check question"))</f>
        <v/>
      </c>
      <c r="I290" s="34"/>
      <c r="J290" s="50"/>
      <c r="K290" s="34"/>
      <c r="L290" s="34"/>
      <c r="M290" s="62" t="str">
        <f aca="false">IF(L290="","",SUMPRODUCT(ISNUMBER(SEARCH(","&amp;EV_ID&amp;",",","&amp;SUBSTITUTE(L290," ","")&amp;","))*(EV_ID&lt;&gt;"")))</f>
        <v/>
      </c>
      <c r="N290" s="54" t="str">
        <f aca="false">IF(A290="","",IF(I290&lt;&gt;"Applicable",IF(I290="","Applicability not set","Not in scope ("&amp;I290&amp;")"),IF(OR(J290="",J290="Not answered"),"Awaiting supplier response",IF(J290="Not applicable","Supplier states not applicable - analyst to confirm",IF(L290="","Evidence insufficient - none referenced",IF(M290=0,"Evidence insufficient - referenced ID not found",IF(SUMPRODUCT(ISNUMBER(SEARCH(","&amp;EV_ID&amp;",",","&amp;SUBSTITUTE(L290," ","")&amp;","))*(EV_ID&lt;&gt;"")*(EV_SUFF="Sufficient"))&gt;0,"Evidence reviewed - sufficient",IF(SUMPRODUCT(ISNUMBER(SEARCH(","&amp;EV_ID&amp;",",","&amp;SUBSTITUTE(L290," ","")&amp;","))*(EV_ID&lt;&gt;"")*(EV_SUFF="Partially sufficient"))&gt;0,"Evidence partially sufficient","Evidence insufficient - referenced evidence not sufficient"))))))))</f>
        <v/>
      </c>
      <c r="O290" s="50"/>
      <c r="P290" s="34"/>
      <c r="Q290" s="34"/>
      <c r="R290" s="50"/>
      <c r="S290" s="51"/>
      <c r="T290" s="51"/>
      <c r="U290" s="52" t="str">
        <f aca="false">IF(OR(A290="",Q290=""),"",IF(AND(ISNUMBER(S290),S290&lt;AsOf,O290&lt;&gt;"Reviewed"),"Overdue",""))</f>
        <v/>
      </c>
      <c r="V290" s="54" t="str">
        <f aca="false">IF(A290="","",IF(COUNTIF(QA_ID,A290)&gt;1,"CHECK: duplicate ID",IF(B290="","CHECK: Supplier ID missing",IF(COUNTIF(INV_ID,B290)=0,"CHECK: Supplier ID not in inventory",IF(E290="","CHECK: Question ID missing",IF(COUNTIF(QB_ID,E290)=0,"CHECK: Question ID not in bank","OK"))))))</f>
        <v/>
      </c>
    </row>
    <row r="291" customFormat="false" ht="15" hidden="false" customHeight="false" outlineLevel="0" collapsed="false">
      <c r="A291" s="50"/>
      <c r="B291" s="50"/>
      <c r="C291" s="59" t="str">
        <f aca="false">IF(B291="","",IFERROR(INDEX(INV_NAME,MATCH(B291,INV_ID,0)),"CHECK: Supplier ID not found"))</f>
        <v/>
      </c>
      <c r="D291" s="63" t="str">
        <f aca="false">IF(B291="","",IFERROR(INDEX(INV_TIER,MATCH(B291,INV_ID,0)),""))</f>
        <v/>
      </c>
      <c r="E291" s="50"/>
      <c r="F291" s="59" t="str">
        <f aca="false">IF(E291="","",IFERROR(INDEX(QB_Q,MATCH(E291,QB_ID,0)),"CHECK: Question ID not found"))</f>
        <v/>
      </c>
      <c r="G291" s="59" t="str">
        <f aca="false">IF(E291="","",IFERROR(INDEX(QB_DOMAIN,MATCH(E291,QB_ID,0)),""))</f>
        <v/>
      </c>
      <c r="H291" s="54" t="str">
        <f aca="false">IF(OR(A291="",E291=""),"",IFERROR(IF(ISNUMBER(MATCH(D291,{"Low","Medium","High"},0)),IF(MATCH(D291,{"Low","Medium","High"},0)&gt;=MATCH(INDEX(QB_MINTIER,MATCH(E291,QB_ID,0)),{"Low","Medium","High"},0),"Recommended for tier","Optional for tier"),"Tier not determined"),"Check question"))</f>
        <v/>
      </c>
      <c r="I291" s="34"/>
      <c r="J291" s="50"/>
      <c r="K291" s="34"/>
      <c r="L291" s="34"/>
      <c r="M291" s="62" t="str">
        <f aca="false">IF(L291="","",SUMPRODUCT(ISNUMBER(SEARCH(","&amp;EV_ID&amp;",",","&amp;SUBSTITUTE(L291," ","")&amp;","))*(EV_ID&lt;&gt;"")))</f>
        <v/>
      </c>
      <c r="N291" s="54" t="str">
        <f aca="false">IF(A291="","",IF(I291&lt;&gt;"Applicable",IF(I291="","Applicability not set","Not in scope ("&amp;I291&amp;")"),IF(OR(J291="",J291="Not answered"),"Awaiting supplier response",IF(J291="Not applicable","Supplier states not applicable - analyst to confirm",IF(L291="","Evidence insufficient - none referenced",IF(M291=0,"Evidence insufficient - referenced ID not found",IF(SUMPRODUCT(ISNUMBER(SEARCH(","&amp;EV_ID&amp;",",","&amp;SUBSTITUTE(L291," ","")&amp;","))*(EV_ID&lt;&gt;"")*(EV_SUFF="Sufficient"))&gt;0,"Evidence reviewed - sufficient",IF(SUMPRODUCT(ISNUMBER(SEARCH(","&amp;EV_ID&amp;",",","&amp;SUBSTITUTE(L291," ","")&amp;","))*(EV_ID&lt;&gt;"")*(EV_SUFF="Partially sufficient"))&gt;0,"Evidence partially sufficient","Evidence insufficient - referenced evidence not sufficient"))))))))</f>
        <v/>
      </c>
      <c r="O291" s="50"/>
      <c r="P291" s="34"/>
      <c r="Q291" s="34"/>
      <c r="R291" s="50"/>
      <c r="S291" s="51"/>
      <c r="T291" s="51"/>
      <c r="U291" s="52" t="str">
        <f aca="false">IF(OR(A291="",Q291=""),"",IF(AND(ISNUMBER(S291),S291&lt;AsOf,O291&lt;&gt;"Reviewed"),"Overdue",""))</f>
        <v/>
      </c>
      <c r="V291" s="54" t="str">
        <f aca="false">IF(A291="","",IF(COUNTIF(QA_ID,A291)&gt;1,"CHECK: duplicate ID",IF(B291="","CHECK: Supplier ID missing",IF(COUNTIF(INV_ID,B291)=0,"CHECK: Supplier ID not in inventory",IF(E291="","CHECK: Question ID missing",IF(COUNTIF(QB_ID,E291)=0,"CHECK: Question ID not in bank","OK"))))))</f>
        <v/>
      </c>
    </row>
    <row r="292" customFormat="false" ht="15" hidden="false" customHeight="false" outlineLevel="0" collapsed="false">
      <c r="A292" s="50"/>
      <c r="B292" s="50"/>
      <c r="C292" s="59" t="str">
        <f aca="false">IF(B292="","",IFERROR(INDEX(INV_NAME,MATCH(B292,INV_ID,0)),"CHECK: Supplier ID not found"))</f>
        <v/>
      </c>
      <c r="D292" s="63" t="str">
        <f aca="false">IF(B292="","",IFERROR(INDEX(INV_TIER,MATCH(B292,INV_ID,0)),""))</f>
        <v/>
      </c>
      <c r="E292" s="50"/>
      <c r="F292" s="59" t="str">
        <f aca="false">IF(E292="","",IFERROR(INDEX(QB_Q,MATCH(E292,QB_ID,0)),"CHECK: Question ID not found"))</f>
        <v/>
      </c>
      <c r="G292" s="59" t="str">
        <f aca="false">IF(E292="","",IFERROR(INDEX(QB_DOMAIN,MATCH(E292,QB_ID,0)),""))</f>
        <v/>
      </c>
      <c r="H292" s="54" t="str">
        <f aca="false">IF(OR(A292="",E292=""),"",IFERROR(IF(ISNUMBER(MATCH(D292,{"Low","Medium","High"},0)),IF(MATCH(D292,{"Low","Medium","High"},0)&gt;=MATCH(INDEX(QB_MINTIER,MATCH(E292,QB_ID,0)),{"Low","Medium","High"},0),"Recommended for tier","Optional for tier"),"Tier not determined"),"Check question"))</f>
        <v/>
      </c>
      <c r="I292" s="34"/>
      <c r="J292" s="50"/>
      <c r="K292" s="34"/>
      <c r="L292" s="34"/>
      <c r="M292" s="62" t="str">
        <f aca="false">IF(L292="","",SUMPRODUCT(ISNUMBER(SEARCH(","&amp;EV_ID&amp;",",","&amp;SUBSTITUTE(L292," ","")&amp;","))*(EV_ID&lt;&gt;"")))</f>
        <v/>
      </c>
      <c r="N292" s="54" t="str">
        <f aca="false">IF(A292="","",IF(I292&lt;&gt;"Applicable",IF(I292="","Applicability not set","Not in scope ("&amp;I292&amp;")"),IF(OR(J292="",J292="Not answered"),"Awaiting supplier response",IF(J292="Not applicable","Supplier states not applicable - analyst to confirm",IF(L292="","Evidence insufficient - none referenced",IF(M292=0,"Evidence insufficient - referenced ID not found",IF(SUMPRODUCT(ISNUMBER(SEARCH(","&amp;EV_ID&amp;",",","&amp;SUBSTITUTE(L292," ","")&amp;","))*(EV_ID&lt;&gt;"")*(EV_SUFF="Sufficient"))&gt;0,"Evidence reviewed - sufficient",IF(SUMPRODUCT(ISNUMBER(SEARCH(","&amp;EV_ID&amp;",",","&amp;SUBSTITUTE(L292," ","")&amp;","))*(EV_ID&lt;&gt;"")*(EV_SUFF="Partially sufficient"))&gt;0,"Evidence partially sufficient","Evidence insufficient - referenced evidence not sufficient"))))))))</f>
        <v/>
      </c>
      <c r="O292" s="50"/>
      <c r="P292" s="34"/>
      <c r="Q292" s="34"/>
      <c r="R292" s="50"/>
      <c r="S292" s="51"/>
      <c r="T292" s="51"/>
      <c r="U292" s="52" t="str">
        <f aca="false">IF(OR(A292="",Q292=""),"",IF(AND(ISNUMBER(S292),S292&lt;AsOf,O292&lt;&gt;"Reviewed"),"Overdue",""))</f>
        <v/>
      </c>
      <c r="V292" s="54" t="str">
        <f aca="false">IF(A292="","",IF(COUNTIF(QA_ID,A292)&gt;1,"CHECK: duplicate ID",IF(B292="","CHECK: Supplier ID missing",IF(COUNTIF(INV_ID,B292)=0,"CHECK: Supplier ID not in inventory",IF(E292="","CHECK: Question ID missing",IF(COUNTIF(QB_ID,E292)=0,"CHECK: Question ID not in bank","OK"))))))</f>
        <v/>
      </c>
    </row>
    <row r="293" customFormat="false" ht="15" hidden="false" customHeight="false" outlineLevel="0" collapsed="false">
      <c r="A293" s="50"/>
      <c r="B293" s="50"/>
      <c r="C293" s="59" t="str">
        <f aca="false">IF(B293="","",IFERROR(INDEX(INV_NAME,MATCH(B293,INV_ID,0)),"CHECK: Supplier ID not found"))</f>
        <v/>
      </c>
      <c r="D293" s="63" t="str">
        <f aca="false">IF(B293="","",IFERROR(INDEX(INV_TIER,MATCH(B293,INV_ID,0)),""))</f>
        <v/>
      </c>
      <c r="E293" s="50"/>
      <c r="F293" s="59" t="str">
        <f aca="false">IF(E293="","",IFERROR(INDEX(QB_Q,MATCH(E293,QB_ID,0)),"CHECK: Question ID not found"))</f>
        <v/>
      </c>
      <c r="G293" s="59" t="str">
        <f aca="false">IF(E293="","",IFERROR(INDEX(QB_DOMAIN,MATCH(E293,QB_ID,0)),""))</f>
        <v/>
      </c>
      <c r="H293" s="54" t="str">
        <f aca="false">IF(OR(A293="",E293=""),"",IFERROR(IF(ISNUMBER(MATCH(D293,{"Low","Medium","High"},0)),IF(MATCH(D293,{"Low","Medium","High"},0)&gt;=MATCH(INDEX(QB_MINTIER,MATCH(E293,QB_ID,0)),{"Low","Medium","High"},0),"Recommended for tier","Optional for tier"),"Tier not determined"),"Check question"))</f>
        <v/>
      </c>
      <c r="I293" s="34"/>
      <c r="J293" s="50"/>
      <c r="K293" s="34"/>
      <c r="L293" s="34"/>
      <c r="M293" s="62" t="str">
        <f aca="false">IF(L293="","",SUMPRODUCT(ISNUMBER(SEARCH(","&amp;EV_ID&amp;",",","&amp;SUBSTITUTE(L293," ","")&amp;","))*(EV_ID&lt;&gt;"")))</f>
        <v/>
      </c>
      <c r="N293" s="54" t="str">
        <f aca="false">IF(A293="","",IF(I293&lt;&gt;"Applicable",IF(I293="","Applicability not set","Not in scope ("&amp;I293&amp;")"),IF(OR(J293="",J293="Not answered"),"Awaiting supplier response",IF(J293="Not applicable","Supplier states not applicable - analyst to confirm",IF(L293="","Evidence insufficient - none referenced",IF(M293=0,"Evidence insufficient - referenced ID not found",IF(SUMPRODUCT(ISNUMBER(SEARCH(","&amp;EV_ID&amp;",",","&amp;SUBSTITUTE(L293," ","")&amp;","))*(EV_ID&lt;&gt;"")*(EV_SUFF="Sufficient"))&gt;0,"Evidence reviewed - sufficient",IF(SUMPRODUCT(ISNUMBER(SEARCH(","&amp;EV_ID&amp;",",","&amp;SUBSTITUTE(L293," ","")&amp;","))*(EV_ID&lt;&gt;"")*(EV_SUFF="Partially sufficient"))&gt;0,"Evidence partially sufficient","Evidence insufficient - referenced evidence not sufficient"))))))))</f>
        <v/>
      </c>
      <c r="O293" s="50"/>
      <c r="P293" s="34"/>
      <c r="Q293" s="34"/>
      <c r="R293" s="50"/>
      <c r="S293" s="51"/>
      <c r="T293" s="51"/>
      <c r="U293" s="52" t="str">
        <f aca="false">IF(OR(A293="",Q293=""),"",IF(AND(ISNUMBER(S293),S293&lt;AsOf,O293&lt;&gt;"Reviewed"),"Overdue",""))</f>
        <v/>
      </c>
      <c r="V293" s="54" t="str">
        <f aca="false">IF(A293="","",IF(COUNTIF(QA_ID,A293)&gt;1,"CHECK: duplicate ID",IF(B293="","CHECK: Supplier ID missing",IF(COUNTIF(INV_ID,B293)=0,"CHECK: Supplier ID not in inventory",IF(E293="","CHECK: Question ID missing",IF(COUNTIF(QB_ID,E293)=0,"CHECK: Question ID not in bank","OK"))))))</f>
        <v/>
      </c>
    </row>
    <row r="294" customFormat="false" ht="15" hidden="false" customHeight="false" outlineLevel="0" collapsed="false">
      <c r="A294" s="50"/>
      <c r="B294" s="50"/>
      <c r="C294" s="59" t="str">
        <f aca="false">IF(B294="","",IFERROR(INDEX(INV_NAME,MATCH(B294,INV_ID,0)),"CHECK: Supplier ID not found"))</f>
        <v/>
      </c>
      <c r="D294" s="63" t="str">
        <f aca="false">IF(B294="","",IFERROR(INDEX(INV_TIER,MATCH(B294,INV_ID,0)),""))</f>
        <v/>
      </c>
      <c r="E294" s="50"/>
      <c r="F294" s="59" t="str">
        <f aca="false">IF(E294="","",IFERROR(INDEX(QB_Q,MATCH(E294,QB_ID,0)),"CHECK: Question ID not found"))</f>
        <v/>
      </c>
      <c r="G294" s="59" t="str">
        <f aca="false">IF(E294="","",IFERROR(INDEX(QB_DOMAIN,MATCH(E294,QB_ID,0)),""))</f>
        <v/>
      </c>
      <c r="H294" s="54" t="str">
        <f aca="false">IF(OR(A294="",E294=""),"",IFERROR(IF(ISNUMBER(MATCH(D294,{"Low","Medium","High"},0)),IF(MATCH(D294,{"Low","Medium","High"},0)&gt;=MATCH(INDEX(QB_MINTIER,MATCH(E294,QB_ID,0)),{"Low","Medium","High"},0),"Recommended for tier","Optional for tier"),"Tier not determined"),"Check question"))</f>
        <v/>
      </c>
      <c r="I294" s="34"/>
      <c r="J294" s="50"/>
      <c r="K294" s="34"/>
      <c r="L294" s="34"/>
      <c r="M294" s="62" t="str">
        <f aca="false">IF(L294="","",SUMPRODUCT(ISNUMBER(SEARCH(","&amp;EV_ID&amp;",",","&amp;SUBSTITUTE(L294," ","")&amp;","))*(EV_ID&lt;&gt;"")))</f>
        <v/>
      </c>
      <c r="N294" s="54" t="str">
        <f aca="false">IF(A294="","",IF(I294&lt;&gt;"Applicable",IF(I294="","Applicability not set","Not in scope ("&amp;I294&amp;")"),IF(OR(J294="",J294="Not answered"),"Awaiting supplier response",IF(J294="Not applicable","Supplier states not applicable - analyst to confirm",IF(L294="","Evidence insufficient - none referenced",IF(M294=0,"Evidence insufficient - referenced ID not found",IF(SUMPRODUCT(ISNUMBER(SEARCH(","&amp;EV_ID&amp;",",","&amp;SUBSTITUTE(L294," ","")&amp;","))*(EV_ID&lt;&gt;"")*(EV_SUFF="Sufficient"))&gt;0,"Evidence reviewed - sufficient",IF(SUMPRODUCT(ISNUMBER(SEARCH(","&amp;EV_ID&amp;",",","&amp;SUBSTITUTE(L294," ","")&amp;","))*(EV_ID&lt;&gt;"")*(EV_SUFF="Partially sufficient"))&gt;0,"Evidence partially sufficient","Evidence insufficient - referenced evidence not sufficient"))))))))</f>
        <v/>
      </c>
      <c r="O294" s="50"/>
      <c r="P294" s="34"/>
      <c r="Q294" s="34"/>
      <c r="R294" s="50"/>
      <c r="S294" s="51"/>
      <c r="T294" s="51"/>
      <c r="U294" s="52" t="str">
        <f aca="false">IF(OR(A294="",Q294=""),"",IF(AND(ISNUMBER(S294),S294&lt;AsOf,O294&lt;&gt;"Reviewed"),"Overdue",""))</f>
        <v/>
      </c>
      <c r="V294" s="54" t="str">
        <f aca="false">IF(A294="","",IF(COUNTIF(QA_ID,A294)&gt;1,"CHECK: duplicate ID",IF(B294="","CHECK: Supplier ID missing",IF(COUNTIF(INV_ID,B294)=0,"CHECK: Supplier ID not in inventory",IF(E294="","CHECK: Question ID missing",IF(COUNTIF(QB_ID,E294)=0,"CHECK: Question ID not in bank","OK"))))))</f>
        <v/>
      </c>
    </row>
    <row r="295" customFormat="false" ht="15" hidden="false" customHeight="false" outlineLevel="0" collapsed="false">
      <c r="A295" s="50"/>
      <c r="B295" s="50"/>
      <c r="C295" s="59" t="str">
        <f aca="false">IF(B295="","",IFERROR(INDEX(INV_NAME,MATCH(B295,INV_ID,0)),"CHECK: Supplier ID not found"))</f>
        <v/>
      </c>
      <c r="D295" s="63" t="str">
        <f aca="false">IF(B295="","",IFERROR(INDEX(INV_TIER,MATCH(B295,INV_ID,0)),""))</f>
        <v/>
      </c>
      <c r="E295" s="50"/>
      <c r="F295" s="59" t="str">
        <f aca="false">IF(E295="","",IFERROR(INDEX(QB_Q,MATCH(E295,QB_ID,0)),"CHECK: Question ID not found"))</f>
        <v/>
      </c>
      <c r="G295" s="59" t="str">
        <f aca="false">IF(E295="","",IFERROR(INDEX(QB_DOMAIN,MATCH(E295,QB_ID,0)),""))</f>
        <v/>
      </c>
      <c r="H295" s="54" t="str">
        <f aca="false">IF(OR(A295="",E295=""),"",IFERROR(IF(ISNUMBER(MATCH(D295,{"Low","Medium","High"},0)),IF(MATCH(D295,{"Low","Medium","High"},0)&gt;=MATCH(INDEX(QB_MINTIER,MATCH(E295,QB_ID,0)),{"Low","Medium","High"},0),"Recommended for tier","Optional for tier"),"Tier not determined"),"Check question"))</f>
        <v/>
      </c>
      <c r="I295" s="34"/>
      <c r="J295" s="50"/>
      <c r="K295" s="34"/>
      <c r="L295" s="34"/>
      <c r="M295" s="62" t="str">
        <f aca="false">IF(L295="","",SUMPRODUCT(ISNUMBER(SEARCH(","&amp;EV_ID&amp;",",","&amp;SUBSTITUTE(L295," ","")&amp;","))*(EV_ID&lt;&gt;"")))</f>
        <v/>
      </c>
      <c r="N295" s="54" t="str">
        <f aca="false">IF(A295="","",IF(I295&lt;&gt;"Applicable",IF(I295="","Applicability not set","Not in scope ("&amp;I295&amp;")"),IF(OR(J295="",J295="Not answered"),"Awaiting supplier response",IF(J295="Not applicable","Supplier states not applicable - analyst to confirm",IF(L295="","Evidence insufficient - none referenced",IF(M295=0,"Evidence insufficient - referenced ID not found",IF(SUMPRODUCT(ISNUMBER(SEARCH(","&amp;EV_ID&amp;",",","&amp;SUBSTITUTE(L295," ","")&amp;","))*(EV_ID&lt;&gt;"")*(EV_SUFF="Sufficient"))&gt;0,"Evidence reviewed - sufficient",IF(SUMPRODUCT(ISNUMBER(SEARCH(","&amp;EV_ID&amp;",",","&amp;SUBSTITUTE(L295," ","")&amp;","))*(EV_ID&lt;&gt;"")*(EV_SUFF="Partially sufficient"))&gt;0,"Evidence partially sufficient","Evidence insufficient - referenced evidence not sufficient"))))))))</f>
        <v/>
      </c>
      <c r="O295" s="50"/>
      <c r="P295" s="34"/>
      <c r="Q295" s="34"/>
      <c r="R295" s="50"/>
      <c r="S295" s="51"/>
      <c r="T295" s="51"/>
      <c r="U295" s="52" t="str">
        <f aca="false">IF(OR(A295="",Q295=""),"",IF(AND(ISNUMBER(S295),S295&lt;AsOf,O295&lt;&gt;"Reviewed"),"Overdue",""))</f>
        <v/>
      </c>
      <c r="V295" s="54" t="str">
        <f aca="false">IF(A295="","",IF(COUNTIF(QA_ID,A295)&gt;1,"CHECK: duplicate ID",IF(B295="","CHECK: Supplier ID missing",IF(COUNTIF(INV_ID,B295)=0,"CHECK: Supplier ID not in inventory",IF(E295="","CHECK: Question ID missing",IF(COUNTIF(QB_ID,E295)=0,"CHECK: Question ID not in bank","OK"))))))</f>
        <v/>
      </c>
    </row>
    <row r="296" customFormat="false" ht="15" hidden="false" customHeight="false" outlineLevel="0" collapsed="false">
      <c r="A296" s="50"/>
      <c r="B296" s="50"/>
      <c r="C296" s="59" t="str">
        <f aca="false">IF(B296="","",IFERROR(INDEX(INV_NAME,MATCH(B296,INV_ID,0)),"CHECK: Supplier ID not found"))</f>
        <v/>
      </c>
      <c r="D296" s="63" t="str">
        <f aca="false">IF(B296="","",IFERROR(INDEX(INV_TIER,MATCH(B296,INV_ID,0)),""))</f>
        <v/>
      </c>
      <c r="E296" s="50"/>
      <c r="F296" s="59" t="str">
        <f aca="false">IF(E296="","",IFERROR(INDEX(QB_Q,MATCH(E296,QB_ID,0)),"CHECK: Question ID not found"))</f>
        <v/>
      </c>
      <c r="G296" s="59" t="str">
        <f aca="false">IF(E296="","",IFERROR(INDEX(QB_DOMAIN,MATCH(E296,QB_ID,0)),""))</f>
        <v/>
      </c>
      <c r="H296" s="54" t="str">
        <f aca="false">IF(OR(A296="",E296=""),"",IFERROR(IF(ISNUMBER(MATCH(D296,{"Low","Medium","High"},0)),IF(MATCH(D296,{"Low","Medium","High"},0)&gt;=MATCH(INDEX(QB_MINTIER,MATCH(E296,QB_ID,0)),{"Low","Medium","High"},0),"Recommended for tier","Optional for tier"),"Tier not determined"),"Check question"))</f>
        <v/>
      </c>
      <c r="I296" s="34"/>
      <c r="J296" s="50"/>
      <c r="K296" s="34"/>
      <c r="L296" s="34"/>
      <c r="M296" s="62" t="str">
        <f aca="false">IF(L296="","",SUMPRODUCT(ISNUMBER(SEARCH(","&amp;EV_ID&amp;",",","&amp;SUBSTITUTE(L296," ","")&amp;","))*(EV_ID&lt;&gt;"")))</f>
        <v/>
      </c>
      <c r="N296" s="54" t="str">
        <f aca="false">IF(A296="","",IF(I296&lt;&gt;"Applicable",IF(I296="","Applicability not set","Not in scope ("&amp;I296&amp;")"),IF(OR(J296="",J296="Not answered"),"Awaiting supplier response",IF(J296="Not applicable","Supplier states not applicable - analyst to confirm",IF(L296="","Evidence insufficient - none referenced",IF(M296=0,"Evidence insufficient - referenced ID not found",IF(SUMPRODUCT(ISNUMBER(SEARCH(","&amp;EV_ID&amp;",",","&amp;SUBSTITUTE(L296," ","")&amp;","))*(EV_ID&lt;&gt;"")*(EV_SUFF="Sufficient"))&gt;0,"Evidence reviewed - sufficient",IF(SUMPRODUCT(ISNUMBER(SEARCH(","&amp;EV_ID&amp;",",","&amp;SUBSTITUTE(L296," ","")&amp;","))*(EV_ID&lt;&gt;"")*(EV_SUFF="Partially sufficient"))&gt;0,"Evidence partially sufficient","Evidence insufficient - referenced evidence not sufficient"))))))))</f>
        <v/>
      </c>
      <c r="O296" s="50"/>
      <c r="P296" s="34"/>
      <c r="Q296" s="34"/>
      <c r="R296" s="50"/>
      <c r="S296" s="51"/>
      <c r="T296" s="51"/>
      <c r="U296" s="52" t="str">
        <f aca="false">IF(OR(A296="",Q296=""),"",IF(AND(ISNUMBER(S296),S296&lt;AsOf,O296&lt;&gt;"Reviewed"),"Overdue",""))</f>
        <v/>
      </c>
      <c r="V296" s="54" t="str">
        <f aca="false">IF(A296="","",IF(COUNTIF(QA_ID,A296)&gt;1,"CHECK: duplicate ID",IF(B296="","CHECK: Supplier ID missing",IF(COUNTIF(INV_ID,B296)=0,"CHECK: Supplier ID not in inventory",IF(E296="","CHECK: Question ID missing",IF(COUNTIF(QB_ID,E296)=0,"CHECK: Question ID not in bank","OK"))))))</f>
        <v/>
      </c>
    </row>
    <row r="297" customFormat="false" ht="15" hidden="false" customHeight="false" outlineLevel="0" collapsed="false">
      <c r="A297" s="50"/>
      <c r="B297" s="50"/>
      <c r="C297" s="59" t="str">
        <f aca="false">IF(B297="","",IFERROR(INDEX(INV_NAME,MATCH(B297,INV_ID,0)),"CHECK: Supplier ID not found"))</f>
        <v/>
      </c>
      <c r="D297" s="63" t="str">
        <f aca="false">IF(B297="","",IFERROR(INDEX(INV_TIER,MATCH(B297,INV_ID,0)),""))</f>
        <v/>
      </c>
      <c r="E297" s="50"/>
      <c r="F297" s="59" t="str">
        <f aca="false">IF(E297="","",IFERROR(INDEX(QB_Q,MATCH(E297,QB_ID,0)),"CHECK: Question ID not found"))</f>
        <v/>
      </c>
      <c r="G297" s="59" t="str">
        <f aca="false">IF(E297="","",IFERROR(INDEX(QB_DOMAIN,MATCH(E297,QB_ID,0)),""))</f>
        <v/>
      </c>
      <c r="H297" s="54" t="str">
        <f aca="false">IF(OR(A297="",E297=""),"",IFERROR(IF(ISNUMBER(MATCH(D297,{"Low","Medium","High"},0)),IF(MATCH(D297,{"Low","Medium","High"},0)&gt;=MATCH(INDEX(QB_MINTIER,MATCH(E297,QB_ID,0)),{"Low","Medium","High"},0),"Recommended for tier","Optional for tier"),"Tier not determined"),"Check question"))</f>
        <v/>
      </c>
      <c r="I297" s="34"/>
      <c r="J297" s="50"/>
      <c r="K297" s="34"/>
      <c r="L297" s="34"/>
      <c r="M297" s="62" t="str">
        <f aca="false">IF(L297="","",SUMPRODUCT(ISNUMBER(SEARCH(","&amp;EV_ID&amp;",",","&amp;SUBSTITUTE(L297," ","")&amp;","))*(EV_ID&lt;&gt;"")))</f>
        <v/>
      </c>
      <c r="N297" s="54" t="str">
        <f aca="false">IF(A297="","",IF(I297&lt;&gt;"Applicable",IF(I297="","Applicability not set","Not in scope ("&amp;I297&amp;")"),IF(OR(J297="",J297="Not answered"),"Awaiting supplier response",IF(J297="Not applicable","Supplier states not applicable - analyst to confirm",IF(L297="","Evidence insufficient - none referenced",IF(M297=0,"Evidence insufficient - referenced ID not found",IF(SUMPRODUCT(ISNUMBER(SEARCH(","&amp;EV_ID&amp;",",","&amp;SUBSTITUTE(L297," ","")&amp;","))*(EV_ID&lt;&gt;"")*(EV_SUFF="Sufficient"))&gt;0,"Evidence reviewed - sufficient",IF(SUMPRODUCT(ISNUMBER(SEARCH(","&amp;EV_ID&amp;",",","&amp;SUBSTITUTE(L297," ","")&amp;","))*(EV_ID&lt;&gt;"")*(EV_SUFF="Partially sufficient"))&gt;0,"Evidence partially sufficient","Evidence insufficient - referenced evidence not sufficient"))))))))</f>
        <v/>
      </c>
      <c r="O297" s="50"/>
      <c r="P297" s="34"/>
      <c r="Q297" s="34"/>
      <c r="R297" s="50"/>
      <c r="S297" s="51"/>
      <c r="T297" s="51"/>
      <c r="U297" s="52" t="str">
        <f aca="false">IF(OR(A297="",Q297=""),"",IF(AND(ISNUMBER(S297),S297&lt;AsOf,O297&lt;&gt;"Reviewed"),"Overdue",""))</f>
        <v/>
      </c>
      <c r="V297" s="54" t="str">
        <f aca="false">IF(A297="","",IF(COUNTIF(QA_ID,A297)&gt;1,"CHECK: duplicate ID",IF(B297="","CHECK: Supplier ID missing",IF(COUNTIF(INV_ID,B297)=0,"CHECK: Supplier ID not in inventory",IF(E297="","CHECK: Question ID missing",IF(COUNTIF(QB_ID,E297)=0,"CHECK: Question ID not in bank","OK"))))))</f>
        <v/>
      </c>
    </row>
    <row r="298" customFormat="false" ht="15" hidden="false" customHeight="false" outlineLevel="0" collapsed="false">
      <c r="A298" s="50"/>
      <c r="B298" s="50"/>
      <c r="C298" s="59" t="str">
        <f aca="false">IF(B298="","",IFERROR(INDEX(INV_NAME,MATCH(B298,INV_ID,0)),"CHECK: Supplier ID not found"))</f>
        <v/>
      </c>
      <c r="D298" s="63" t="str">
        <f aca="false">IF(B298="","",IFERROR(INDEX(INV_TIER,MATCH(B298,INV_ID,0)),""))</f>
        <v/>
      </c>
      <c r="E298" s="50"/>
      <c r="F298" s="59" t="str">
        <f aca="false">IF(E298="","",IFERROR(INDEX(QB_Q,MATCH(E298,QB_ID,0)),"CHECK: Question ID not found"))</f>
        <v/>
      </c>
      <c r="G298" s="59" t="str">
        <f aca="false">IF(E298="","",IFERROR(INDEX(QB_DOMAIN,MATCH(E298,QB_ID,0)),""))</f>
        <v/>
      </c>
      <c r="H298" s="54" t="str">
        <f aca="false">IF(OR(A298="",E298=""),"",IFERROR(IF(ISNUMBER(MATCH(D298,{"Low","Medium","High"},0)),IF(MATCH(D298,{"Low","Medium","High"},0)&gt;=MATCH(INDEX(QB_MINTIER,MATCH(E298,QB_ID,0)),{"Low","Medium","High"},0),"Recommended for tier","Optional for tier"),"Tier not determined"),"Check question"))</f>
        <v/>
      </c>
      <c r="I298" s="34"/>
      <c r="J298" s="50"/>
      <c r="K298" s="34"/>
      <c r="L298" s="34"/>
      <c r="M298" s="62" t="str">
        <f aca="false">IF(L298="","",SUMPRODUCT(ISNUMBER(SEARCH(","&amp;EV_ID&amp;",",","&amp;SUBSTITUTE(L298," ","")&amp;","))*(EV_ID&lt;&gt;"")))</f>
        <v/>
      </c>
      <c r="N298" s="54" t="str">
        <f aca="false">IF(A298="","",IF(I298&lt;&gt;"Applicable",IF(I298="","Applicability not set","Not in scope ("&amp;I298&amp;")"),IF(OR(J298="",J298="Not answered"),"Awaiting supplier response",IF(J298="Not applicable","Supplier states not applicable - analyst to confirm",IF(L298="","Evidence insufficient - none referenced",IF(M298=0,"Evidence insufficient - referenced ID not found",IF(SUMPRODUCT(ISNUMBER(SEARCH(","&amp;EV_ID&amp;",",","&amp;SUBSTITUTE(L298," ","")&amp;","))*(EV_ID&lt;&gt;"")*(EV_SUFF="Sufficient"))&gt;0,"Evidence reviewed - sufficient",IF(SUMPRODUCT(ISNUMBER(SEARCH(","&amp;EV_ID&amp;",",","&amp;SUBSTITUTE(L298," ","")&amp;","))*(EV_ID&lt;&gt;"")*(EV_SUFF="Partially sufficient"))&gt;0,"Evidence partially sufficient","Evidence insufficient - referenced evidence not sufficient"))))))))</f>
        <v/>
      </c>
      <c r="O298" s="50"/>
      <c r="P298" s="34"/>
      <c r="Q298" s="34"/>
      <c r="R298" s="50"/>
      <c r="S298" s="51"/>
      <c r="T298" s="51"/>
      <c r="U298" s="52" t="str">
        <f aca="false">IF(OR(A298="",Q298=""),"",IF(AND(ISNUMBER(S298),S298&lt;AsOf,O298&lt;&gt;"Reviewed"),"Overdue",""))</f>
        <v/>
      </c>
      <c r="V298" s="54" t="str">
        <f aca="false">IF(A298="","",IF(COUNTIF(QA_ID,A298)&gt;1,"CHECK: duplicate ID",IF(B298="","CHECK: Supplier ID missing",IF(COUNTIF(INV_ID,B298)=0,"CHECK: Supplier ID not in inventory",IF(E298="","CHECK: Question ID missing",IF(COUNTIF(QB_ID,E298)=0,"CHECK: Question ID not in bank","OK"))))))</f>
        <v/>
      </c>
    </row>
    <row r="299" customFormat="false" ht="15" hidden="false" customHeight="false" outlineLevel="0" collapsed="false">
      <c r="A299" s="50"/>
      <c r="B299" s="50"/>
      <c r="C299" s="59" t="str">
        <f aca="false">IF(B299="","",IFERROR(INDEX(INV_NAME,MATCH(B299,INV_ID,0)),"CHECK: Supplier ID not found"))</f>
        <v/>
      </c>
      <c r="D299" s="63" t="str">
        <f aca="false">IF(B299="","",IFERROR(INDEX(INV_TIER,MATCH(B299,INV_ID,0)),""))</f>
        <v/>
      </c>
      <c r="E299" s="50"/>
      <c r="F299" s="59" t="str">
        <f aca="false">IF(E299="","",IFERROR(INDEX(QB_Q,MATCH(E299,QB_ID,0)),"CHECK: Question ID not found"))</f>
        <v/>
      </c>
      <c r="G299" s="59" t="str">
        <f aca="false">IF(E299="","",IFERROR(INDEX(QB_DOMAIN,MATCH(E299,QB_ID,0)),""))</f>
        <v/>
      </c>
      <c r="H299" s="54" t="str">
        <f aca="false">IF(OR(A299="",E299=""),"",IFERROR(IF(ISNUMBER(MATCH(D299,{"Low","Medium","High"},0)),IF(MATCH(D299,{"Low","Medium","High"},0)&gt;=MATCH(INDEX(QB_MINTIER,MATCH(E299,QB_ID,0)),{"Low","Medium","High"},0),"Recommended for tier","Optional for tier"),"Tier not determined"),"Check question"))</f>
        <v/>
      </c>
      <c r="I299" s="34"/>
      <c r="J299" s="50"/>
      <c r="K299" s="34"/>
      <c r="L299" s="34"/>
      <c r="M299" s="62" t="str">
        <f aca="false">IF(L299="","",SUMPRODUCT(ISNUMBER(SEARCH(","&amp;EV_ID&amp;",",","&amp;SUBSTITUTE(L299," ","")&amp;","))*(EV_ID&lt;&gt;"")))</f>
        <v/>
      </c>
      <c r="N299" s="54" t="str">
        <f aca="false">IF(A299="","",IF(I299&lt;&gt;"Applicable",IF(I299="","Applicability not set","Not in scope ("&amp;I299&amp;")"),IF(OR(J299="",J299="Not answered"),"Awaiting supplier response",IF(J299="Not applicable","Supplier states not applicable - analyst to confirm",IF(L299="","Evidence insufficient - none referenced",IF(M299=0,"Evidence insufficient - referenced ID not found",IF(SUMPRODUCT(ISNUMBER(SEARCH(","&amp;EV_ID&amp;",",","&amp;SUBSTITUTE(L299," ","")&amp;","))*(EV_ID&lt;&gt;"")*(EV_SUFF="Sufficient"))&gt;0,"Evidence reviewed - sufficient",IF(SUMPRODUCT(ISNUMBER(SEARCH(","&amp;EV_ID&amp;",",","&amp;SUBSTITUTE(L299," ","")&amp;","))*(EV_ID&lt;&gt;"")*(EV_SUFF="Partially sufficient"))&gt;0,"Evidence partially sufficient","Evidence insufficient - referenced evidence not sufficient"))))))))</f>
        <v/>
      </c>
      <c r="O299" s="50"/>
      <c r="P299" s="34"/>
      <c r="Q299" s="34"/>
      <c r="R299" s="50"/>
      <c r="S299" s="51"/>
      <c r="T299" s="51"/>
      <c r="U299" s="52" t="str">
        <f aca="false">IF(OR(A299="",Q299=""),"",IF(AND(ISNUMBER(S299),S299&lt;AsOf,O299&lt;&gt;"Reviewed"),"Overdue",""))</f>
        <v/>
      </c>
      <c r="V299" s="54" t="str">
        <f aca="false">IF(A299="","",IF(COUNTIF(QA_ID,A299)&gt;1,"CHECK: duplicate ID",IF(B299="","CHECK: Supplier ID missing",IF(COUNTIF(INV_ID,B299)=0,"CHECK: Supplier ID not in inventory",IF(E299="","CHECK: Question ID missing",IF(COUNTIF(QB_ID,E299)=0,"CHECK: Question ID not in bank","OK"))))))</f>
        <v/>
      </c>
    </row>
    <row r="300" customFormat="false" ht="15" hidden="false" customHeight="false" outlineLevel="0" collapsed="false">
      <c r="A300" s="50"/>
      <c r="B300" s="50"/>
      <c r="C300" s="59" t="str">
        <f aca="false">IF(B300="","",IFERROR(INDEX(INV_NAME,MATCH(B300,INV_ID,0)),"CHECK: Supplier ID not found"))</f>
        <v/>
      </c>
      <c r="D300" s="63" t="str">
        <f aca="false">IF(B300="","",IFERROR(INDEX(INV_TIER,MATCH(B300,INV_ID,0)),""))</f>
        <v/>
      </c>
      <c r="E300" s="50"/>
      <c r="F300" s="59" t="str">
        <f aca="false">IF(E300="","",IFERROR(INDEX(QB_Q,MATCH(E300,QB_ID,0)),"CHECK: Question ID not found"))</f>
        <v/>
      </c>
      <c r="G300" s="59" t="str">
        <f aca="false">IF(E300="","",IFERROR(INDEX(QB_DOMAIN,MATCH(E300,QB_ID,0)),""))</f>
        <v/>
      </c>
      <c r="H300" s="54" t="str">
        <f aca="false">IF(OR(A300="",E300=""),"",IFERROR(IF(ISNUMBER(MATCH(D300,{"Low","Medium","High"},0)),IF(MATCH(D300,{"Low","Medium","High"},0)&gt;=MATCH(INDEX(QB_MINTIER,MATCH(E300,QB_ID,0)),{"Low","Medium","High"},0),"Recommended for tier","Optional for tier"),"Tier not determined"),"Check question"))</f>
        <v/>
      </c>
      <c r="I300" s="34"/>
      <c r="J300" s="50"/>
      <c r="K300" s="34"/>
      <c r="L300" s="34"/>
      <c r="M300" s="62" t="str">
        <f aca="false">IF(L300="","",SUMPRODUCT(ISNUMBER(SEARCH(","&amp;EV_ID&amp;",",","&amp;SUBSTITUTE(L300," ","")&amp;","))*(EV_ID&lt;&gt;"")))</f>
        <v/>
      </c>
      <c r="N300" s="54" t="str">
        <f aca="false">IF(A300="","",IF(I300&lt;&gt;"Applicable",IF(I300="","Applicability not set","Not in scope ("&amp;I300&amp;")"),IF(OR(J300="",J300="Not answered"),"Awaiting supplier response",IF(J300="Not applicable","Supplier states not applicable - analyst to confirm",IF(L300="","Evidence insufficient - none referenced",IF(M300=0,"Evidence insufficient - referenced ID not found",IF(SUMPRODUCT(ISNUMBER(SEARCH(","&amp;EV_ID&amp;",",","&amp;SUBSTITUTE(L300," ","")&amp;","))*(EV_ID&lt;&gt;"")*(EV_SUFF="Sufficient"))&gt;0,"Evidence reviewed - sufficient",IF(SUMPRODUCT(ISNUMBER(SEARCH(","&amp;EV_ID&amp;",",","&amp;SUBSTITUTE(L300," ","")&amp;","))*(EV_ID&lt;&gt;"")*(EV_SUFF="Partially sufficient"))&gt;0,"Evidence partially sufficient","Evidence insufficient - referenced evidence not sufficient"))))))))</f>
        <v/>
      </c>
      <c r="O300" s="50"/>
      <c r="P300" s="34"/>
      <c r="Q300" s="34"/>
      <c r="R300" s="50"/>
      <c r="S300" s="51"/>
      <c r="T300" s="51"/>
      <c r="U300" s="52" t="str">
        <f aca="false">IF(OR(A300="",Q300=""),"",IF(AND(ISNUMBER(S300),S300&lt;AsOf,O300&lt;&gt;"Reviewed"),"Overdue",""))</f>
        <v/>
      </c>
      <c r="V300" s="54" t="str">
        <f aca="false">IF(A300="","",IF(COUNTIF(QA_ID,A300)&gt;1,"CHECK: duplicate ID",IF(B300="","CHECK: Supplier ID missing",IF(COUNTIF(INV_ID,B300)=0,"CHECK: Supplier ID not in inventory",IF(E300="","CHECK: Question ID missing",IF(COUNTIF(QB_ID,E300)=0,"CHECK: Question ID not in bank","OK"))))))</f>
        <v/>
      </c>
    </row>
    <row r="301" customFormat="false" ht="15" hidden="false" customHeight="false" outlineLevel="0" collapsed="false">
      <c r="A301" s="50"/>
      <c r="B301" s="50"/>
      <c r="C301" s="59" t="str">
        <f aca="false">IF(B301="","",IFERROR(INDEX(INV_NAME,MATCH(B301,INV_ID,0)),"CHECK: Supplier ID not found"))</f>
        <v/>
      </c>
      <c r="D301" s="63" t="str">
        <f aca="false">IF(B301="","",IFERROR(INDEX(INV_TIER,MATCH(B301,INV_ID,0)),""))</f>
        <v/>
      </c>
      <c r="E301" s="50"/>
      <c r="F301" s="59" t="str">
        <f aca="false">IF(E301="","",IFERROR(INDEX(QB_Q,MATCH(E301,QB_ID,0)),"CHECK: Question ID not found"))</f>
        <v/>
      </c>
      <c r="G301" s="59" t="str">
        <f aca="false">IF(E301="","",IFERROR(INDEX(QB_DOMAIN,MATCH(E301,QB_ID,0)),""))</f>
        <v/>
      </c>
      <c r="H301" s="54" t="str">
        <f aca="false">IF(OR(A301="",E301=""),"",IFERROR(IF(ISNUMBER(MATCH(D301,{"Low","Medium","High"},0)),IF(MATCH(D301,{"Low","Medium","High"},0)&gt;=MATCH(INDEX(QB_MINTIER,MATCH(E301,QB_ID,0)),{"Low","Medium","High"},0),"Recommended for tier","Optional for tier"),"Tier not determined"),"Check question"))</f>
        <v/>
      </c>
      <c r="I301" s="34"/>
      <c r="J301" s="50"/>
      <c r="K301" s="34"/>
      <c r="L301" s="34"/>
      <c r="M301" s="62" t="str">
        <f aca="false">IF(L301="","",SUMPRODUCT(ISNUMBER(SEARCH(","&amp;EV_ID&amp;",",","&amp;SUBSTITUTE(L301," ","")&amp;","))*(EV_ID&lt;&gt;"")))</f>
        <v/>
      </c>
      <c r="N301" s="54" t="str">
        <f aca="false">IF(A301="","",IF(I301&lt;&gt;"Applicable",IF(I301="","Applicability not set","Not in scope ("&amp;I301&amp;")"),IF(OR(J301="",J301="Not answered"),"Awaiting supplier response",IF(J301="Not applicable","Supplier states not applicable - analyst to confirm",IF(L301="","Evidence insufficient - none referenced",IF(M301=0,"Evidence insufficient - referenced ID not found",IF(SUMPRODUCT(ISNUMBER(SEARCH(","&amp;EV_ID&amp;",",","&amp;SUBSTITUTE(L301," ","")&amp;","))*(EV_ID&lt;&gt;"")*(EV_SUFF="Sufficient"))&gt;0,"Evidence reviewed - sufficient",IF(SUMPRODUCT(ISNUMBER(SEARCH(","&amp;EV_ID&amp;",",","&amp;SUBSTITUTE(L301," ","")&amp;","))*(EV_ID&lt;&gt;"")*(EV_SUFF="Partially sufficient"))&gt;0,"Evidence partially sufficient","Evidence insufficient - referenced evidence not sufficient"))))))))</f>
        <v/>
      </c>
      <c r="O301" s="50"/>
      <c r="P301" s="34"/>
      <c r="Q301" s="34"/>
      <c r="R301" s="50"/>
      <c r="S301" s="51"/>
      <c r="T301" s="51"/>
      <c r="U301" s="52" t="str">
        <f aca="false">IF(OR(A301="",Q301=""),"",IF(AND(ISNUMBER(S301),S301&lt;AsOf,O301&lt;&gt;"Reviewed"),"Overdue",""))</f>
        <v/>
      </c>
      <c r="V301" s="54" t="str">
        <f aca="false">IF(A301="","",IF(COUNTIF(QA_ID,A301)&gt;1,"CHECK: duplicate ID",IF(B301="","CHECK: Supplier ID missing",IF(COUNTIF(INV_ID,B301)=0,"CHECK: Supplier ID not in inventory",IF(E301="","CHECK: Question ID missing",IF(COUNTIF(QB_ID,E301)=0,"CHECK: Question ID not in bank","OK"))))))</f>
        <v/>
      </c>
    </row>
    <row r="302" customFormat="false" ht="15" hidden="false" customHeight="false" outlineLevel="0" collapsed="false">
      <c r="A302" s="50"/>
      <c r="B302" s="50"/>
      <c r="C302" s="59" t="str">
        <f aca="false">IF(B302="","",IFERROR(INDEX(INV_NAME,MATCH(B302,INV_ID,0)),"CHECK: Supplier ID not found"))</f>
        <v/>
      </c>
      <c r="D302" s="63" t="str">
        <f aca="false">IF(B302="","",IFERROR(INDEX(INV_TIER,MATCH(B302,INV_ID,0)),""))</f>
        <v/>
      </c>
      <c r="E302" s="50"/>
      <c r="F302" s="59" t="str">
        <f aca="false">IF(E302="","",IFERROR(INDEX(QB_Q,MATCH(E302,QB_ID,0)),"CHECK: Question ID not found"))</f>
        <v/>
      </c>
      <c r="G302" s="59" t="str">
        <f aca="false">IF(E302="","",IFERROR(INDEX(QB_DOMAIN,MATCH(E302,QB_ID,0)),""))</f>
        <v/>
      </c>
      <c r="H302" s="54" t="str">
        <f aca="false">IF(OR(A302="",E302=""),"",IFERROR(IF(ISNUMBER(MATCH(D302,{"Low","Medium","High"},0)),IF(MATCH(D302,{"Low","Medium","High"},0)&gt;=MATCH(INDEX(QB_MINTIER,MATCH(E302,QB_ID,0)),{"Low","Medium","High"},0),"Recommended for tier","Optional for tier"),"Tier not determined"),"Check question"))</f>
        <v/>
      </c>
      <c r="I302" s="34"/>
      <c r="J302" s="50"/>
      <c r="K302" s="34"/>
      <c r="L302" s="34"/>
      <c r="M302" s="62" t="str">
        <f aca="false">IF(L302="","",SUMPRODUCT(ISNUMBER(SEARCH(","&amp;EV_ID&amp;",",","&amp;SUBSTITUTE(L302," ","")&amp;","))*(EV_ID&lt;&gt;"")))</f>
        <v/>
      </c>
      <c r="N302" s="54" t="str">
        <f aca="false">IF(A302="","",IF(I302&lt;&gt;"Applicable",IF(I302="","Applicability not set","Not in scope ("&amp;I302&amp;")"),IF(OR(J302="",J302="Not answered"),"Awaiting supplier response",IF(J302="Not applicable","Supplier states not applicable - analyst to confirm",IF(L302="","Evidence insufficient - none referenced",IF(M302=0,"Evidence insufficient - referenced ID not found",IF(SUMPRODUCT(ISNUMBER(SEARCH(","&amp;EV_ID&amp;",",","&amp;SUBSTITUTE(L302," ","")&amp;","))*(EV_ID&lt;&gt;"")*(EV_SUFF="Sufficient"))&gt;0,"Evidence reviewed - sufficient",IF(SUMPRODUCT(ISNUMBER(SEARCH(","&amp;EV_ID&amp;",",","&amp;SUBSTITUTE(L302," ","")&amp;","))*(EV_ID&lt;&gt;"")*(EV_SUFF="Partially sufficient"))&gt;0,"Evidence partially sufficient","Evidence insufficient - referenced evidence not sufficient"))))))))</f>
        <v/>
      </c>
      <c r="O302" s="50"/>
      <c r="P302" s="34"/>
      <c r="Q302" s="34"/>
      <c r="R302" s="50"/>
      <c r="S302" s="51"/>
      <c r="T302" s="51"/>
      <c r="U302" s="52" t="str">
        <f aca="false">IF(OR(A302="",Q302=""),"",IF(AND(ISNUMBER(S302),S302&lt;AsOf,O302&lt;&gt;"Reviewed"),"Overdue",""))</f>
        <v/>
      </c>
      <c r="V302" s="54" t="str">
        <f aca="false">IF(A302="","",IF(COUNTIF(QA_ID,A302)&gt;1,"CHECK: duplicate ID",IF(B302="","CHECK: Supplier ID missing",IF(COUNTIF(INV_ID,B302)=0,"CHECK: Supplier ID not in inventory",IF(E302="","CHECK: Question ID missing",IF(COUNTIF(QB_ID,E302)=0,"CHECK: Question ID not in bank","OK"))))))</f>
        <v/>
      </c>
    </row>
    <row r="303" customFormat="false" ht="15" hidden="false" customHeight="false" outlineLevel="0" collapsed="false">
      <c r="A303" s="50"/>
      <c r="B303" s="50"/>
      <c r="C303" s="59" t="str">
        <f aca="false">IF(B303="","",IFERROR(INDEX(INV_NAME,MATCH(B303,INV_ID,0)),"CHECK: Supplier ID not found"))</f>
        <v/>
      </c>
      <c r="D303" s="63" t="str">
        <f aca="false">IF(B303="","",IFERROR(INDEX(INV_TIER,MATCH(B303,INV_ID,0)),""))</f>
        <v/>
      </c>
      <c r="E303" s="50"/>
      <c r="F303" s="59" t="str">
        <f aca="false">IF(E303="","",IFERROR(INDEX(QB_Q,MATCH(E303,QB_ID,0)),"CHECK: Question ID not found"))</f>
        <v/>
      </c>
      <c r="G303" s="59" t="str">
        <f aca="false">IF(E303="","",IFERROR(INDEX(QB_DOMAIN,MATCH(E303,QB_ID,0)),""))</f>
        <v/>
      </c>
      <c r="H303" s="54" t="str">
        <f aca="false">IF(OR(A303="",E303=""),"",IFERROR(IF(ISNUMBER(MATCH(D303,{"Low","Medium","High"},0)),IF(MATCH(D303,{"Low","Medium","High"},0)&gt;=MATCH(INDEX(QB_MINTIER,MATCH(E303,QB_ID,0)),{"Low","Medium","High"},0),"Recommended for tier","Optional for tier"),"Tier not determined"),"Check question"))</f>
        <v/>
      </c>
      <c r="I303" s="34"/>
      <c r="J303" s="50"/>
      <c r="K303" s="34"/>
      <c r="L303" s="34"/>
      <c r="M303" s="62" t="str">
        <f aca="false">IF(L303="","",SUMPRODUCT(ISNUMBER(SEARCH(","&amp;EV_ID&amp;",",","&amp;SUBSTITUTE(L303," ","")&amp;","))*(EV_ID&lt;&gt;"")))</f>
        <v/>
      </c>
      <c r="N303" s="54" t="str">
        <f aca="false">IF(A303="","",IF(I303&lt;&gt;"Applicable",IF(I303="","Applicability not set","Not in scope ("&amp;I303&amp;")"),IF(OR(J303="",J303="Not answered"),"Awaiting supplier response",IF(J303="Not applicable","Supplier states not applicable - analyst to confirm",IF(L303="","Evidence insufficient - none referenced",IF(M303=0,"Evidence insufficient - referenced ID not found",IF(SUMPRODUCT(ISNUMBER(SEARCH(","&amp;EV_ID&amp;",",","&amp;SUBSTITUTE(L303," ","")&amp;","))*(EV_ID&lt;&gt;"")*(EV_SUFF="Sufficient"))&gt;0,"Evidence reviewed - sufficient",IF(SUMPRODUCT(ISNUMBER(SEARCH(","&amp;EV_ID&amp;",",","&amp;SUBSTITUTE(L303," ","")&amp;","))*(EV_ID&lt;&gt;"")*(EV_SUFF="Partially sufficient"))&gt;0,"Evidence partially sufficient","Evidence insufficient - referenced evidence not sufficient"))))))))</f>
        <v/>
      </c>
      <c r="O303" s="50"/>
      <c r="P303" s="34"/>
      <c r="Q303" s="34"/>
      <c r="R303" s="50"/>
      <c r="S303" s="51"/>
      <c r="T303" s="51"/>
      <c r="U303" s="52" t="str">
        <f aca="false">IF(OR(A303="",Q303=""),"",IF(AND(ISNUMBER(S303),S303&lt;AsOf,O303&lt;&gt;"Reviewed"),"Overdue",""))</f>
        <v/>
      </c>
      <c r="V303" s="54" t="str">
        <f aca="false">IF(A303="","",IF(COUNTIF(QA_ID,A303)&gt;1,"CHECK: duplicate ID",IF(B303="","CHECK: Supplier ID missing",IF(COUNTIF(INV_ID,B303)=0,"CHECK: Supplier ID not in inventory",IF(E303="","CHECK: Question ID missing",IF(COUNTIF(QB_ID,E303)=0,"CHECK: Question ID not in bank","OK"))))))</f>
        <v/>
      </c>
    </row>
    <row r="304" customFormat="false" ht="15" hidden="false" customHeight="false" outlineLevel="0" collapsed="false">
      <c r="A304" s="50"/>
      <c r="B304" s="50"/>
      <c r="C304" s="59" t="str">
        <f aca="false">IF(B304="","",IFERROR(INDEX(INV_NAME,MATCH(B304,INV_ID,0)),"CHECK: Supplier ID not found"))</f>
        <v/>
      </c>
      <c r="D304" s="63" t="str">
        <f aca="false">IF(B304="","",IFERROR(INDEX(INV_TIER,MATCH(B304,INV_ID,0)),""))</f>
        <v/>
      </c>
      <c r="E304" s="50"/>
      <c r="F304" s="59" t="str">
        <f aca="false">IF(E304="","",IFERROR(INDEX(QB_Q,MATCH(E304,QB_ID,0)),"CHECK: Question ID not found"))</f>
        <v/>
      </c>
      <c r="G304" s="59" t="str">
        <f aca="false">IF(E304="","",IFERROR(INDEX(QB_DOMAIN,MATCH(E304,QB_ID,0)),""))</f>
        <v/>
      </c>
      <c r="H304" s="54" t="str">
        <f aca="false">IF(OR(A304="",E304=""),"",IFERROR(IF(ISNUMBER(MATCH(D304,{"Low","Medium","High"},0)),IF(MATCH(D304,{"Low","Medium","High"},0)&gt;=MATCH(INDEX(QB_MINTIER,MATCH(E304,QB_ID,0)),{"Low","Medium","High"},0),"Recommended for tier","Optional for tier"),"Tier not determined"),"Check question"))</f>
        <v/>
      </c>
      <c r="I304" s="34"/>
      <c r="J304" s="50"/>
      <c r="K304" s="34"/>
      <c r="L304" s="34"/>
      <c r="M304" s="62" t="str">
        <f aca="false">IF(L304="","",SUMPRODUCT(ISNUMBER(SEARCH(","&amp;EV_ID&amp;",",","&amp;SUBSTITUTE(L304," ","")&amp;","))*(EV_ID&lt;&gt;"")))</f>
        <v/>
      </c>
      <c r="N304" s="54" t="str">
        <f aca="false">IF(A304="","",IF(I304&lt;&gt;"Applicable",IF(I304="","Applicability not set","Not in scope ("&amp;I304&amp;")"),IF(OR(J304="",J304="Not answered"),"Awaiting supplier response",IF(J304="Not applicable","Supplier states not applicable - analyst to confirm",IF(L304="","Evidence insufficient - none referenced",IF(M304=0,"Evidence insufficient - referenced ID not found",IF(SUMPRODUCT(ISNUMBER(SEARCH(","&amp;EV_ID&amp;",",","&amp;SUBSTITUTE(L304," ","")&amp;","))*(EV_ID&lt;&gt;"")*(EV_SUFF="Sufficient"))&gt;0,"Evidence reviewed - sufficient",IF(SUMPRODUCT(ISNUMBER(SEARCH(","&amp;EV_ID&amp;",",","&amp;SUBSTITUTE(L304," ","")&amp;","))*(EV_ID&lt;&gt;"")*(EV_SUFF="Partially sufficient"))&gt;0,"Evidence partially sufficient","Evidence insufficient - referenced evidence not sufficient"))))))))</f>
        <v/>
      </c>
      <c r="O304" s="50"/>
      <c r="P304" s="34"/>
      <c r="Q304" s="34"/>
      <c r="R304" s="50"/>
      <c r="S304" s="51"/>
      <c r="T304" s="51"/>
      <c r="U304" s="52" t="str">
        <f aca="false">IF(OR(A304="",Q304=""),"",IF(AND(ISNUMBER(S304),S304&lt;AsOf,O304&lt;&gt;"Reviewed"),"Overdue",""))</f>
        <v/>
      </c>
      <c r="V304" s="54" t="str">
        <f aca="false">IF(A304="","",IF(COUNTIF(QA_ID,A304)&gt;1,"CHECK: duplicate ID",IF(B304="","CHECK: Supplier ID missing",IF(COUNTIF(INV_ID,B304)=0,"CHECK: Supplier ID not in inventory",IF(E304="","CHECK: Question ID missing",IF(COUNTIF(QB_ID,E304)=0,"CHECK: Question ID not in bank","OK"))))))</f>
        <v/>
      </c>
    </row>
    <row r="305" customFormat="false" ht="15" hidden="false" customHeight="false" outlineLevel="0" collapsed="false">
      <c r="A305" s="50"/>
      <c r="B305" s="50"/>
      <c r="C305" s="59" t="str">
        <f aca="false">IF(B305="","",IFERROR(INDEX(INV_NAME,MATCH(B305,INV_ID,0)),"CHECK: Supplier ID not found"))</f>
        <v/>
      </c>
      <c r="D305" s="63" t="str">
        <f aca="false">IF(B305="","",IFERROR(INDEX(INV_TIER,MATCH(B305,INV_ID,0)),""))</f>
        <v/>
      </c>
      <c r="E305" s="50"/>
      <c r="F305" s="59" t="str">
        <f aca="false">IF(E305="","",IFERROR(INDEX(QB_Q,MATCH(E305,QB_ID,0)),"CHECK: Question ID not found"))</f>
        <v/>
      </c>
      <c r="G305" s="59" t="str">
        <f aca="false">IF(E305="","",IFERROR(INDEX(QB_DOMAIN,MATCH(E305,QB_ID,0)),""))</f>
        <v/>
      </c>
      <c r="H305" s="54" t="str">
        <f aca="false">IF(OR(A305="",E305=""),"",IFERROR(IF(ISNUMBER(MATCH(D305,{"Low","Medium","High"},0)),IF(MATCH(D305,{"Low","Medium","High"},0)&gt;=MATCH(INDEX(QB_MINTIER,MATCH(E305,QB_ID,0)),{"Low","Medium","High"},0),"Recommended for tier","Optional for tier"),"Tier not determined"),"Check question"))</f>
        <v/>
      </c>
      <c r="I305" s="34"/>
      <c r="J305" s="50"/>
      <c r="K305" s="34"/>
      <c r="L305" s="34"/>
      <c r="M305" s="62" t="str">
        <f aca="false">IF(L305="","",SUMPRODUCT(ISNUMBER(SEARCH(","&amp;EV_ID&amp;",",","&amp;SUBSTITUTE(L305," ","")&amp;","))*(EV_ID&lt;&gt;"")))</f>
        <v/>
      </c>
      <c r="N305" s="54" t="str">
        <f aca="false">IF(A305="","",IF(I305&lt;&gt;"Applicable",IF(I305="","Applicability not set","Not in scope ("&amp;I305&amp;")"),IF(OR(J305="",J305="Not answered"),"Awaiting supplier response",IF(J305="Not applicable","Supplier states not applicable - analyst to confirm",IF(L305="","Evidence insufficient - none referenced",IF(M305=0,"Evidence insufficient - referenced ID not found",IF(SUMPRODUCT(ISNUMBER(SEARCH(","&amp;EV_ID&amp;",",","&amp;SUBSTITUTE(L305," ","")&amp;","))*(EV_ID&lt;&gt;"")*(EV_SUFF="Sufficient"))&gt;0,"Evidence reviewed - sufficient",IF(SUMPRODUCT(ISNUMBER(SEARCH(","&amp;EV_ID&amp;",",","&amp;SUBSTITUTE(L305," ","")&amp;","))*(EV_ID&lt;&gt;"")*(EV_SUFF="Partially sufficient"))&gt;0,"Evidence partially sufficient","Evidence insufficient - referenced evidence not sufficient"))))))))</f>
        <v/>
      </c>
      <c r="O305" s="50"/>
      <c r="P305" s="34"/>
      <c r="Q305" s="34"/>
      <c r="R305" s="50"/>
      <c r="S305" s="51"/>
      <c r="T305" s="51"/>
      <c r="U305" s="52" t="str">
        <f aca="false">IF(OR(A305="",Q305=""),"",IF(AND(ISNUMBER(S305),S305&lt;AsOf,O305&lt;&gt;"Reviewed"),"Overdue",""))</f>
        <v/>
      </c>
      <c r="V305" s="54" t="str">
        <f aca="false">IF(A305="","",IF(COUNTIF(QA_ID,A305)&gt;1,"CHECK: duplicate ID",IF(B305="","CHECK: Supplier ID missing",IF(COUNTIF(INV_ID,B305)=0,"CHECK: Supplier ID not in inventory",IF(E305="","CHECK: Question ID missing",IF(COUNTIF(QB_ID,E305)=0,"CHECK: Question ID not in bank","OK"))))))</f>
        <v/>
      </c>
    </row>
    <row r="306" customFormat="false" ht="15" hidden="false" customHeight="false" outlineLevel="0" collapsed="false">
      <c r="A306" s="50"/>
      <c r="B306" s="50"/>
      <c r="C306" s="59" t="str">
        <f aca="false">IF(B306="","",IFERROR(INDEX(INV_NAME,MATCH(B306,INV_ID,0)),"CHECK: Supplier ID not found"))</f>
        <v/>
      </c>
      <c r="D306" s="63" t="str">
        <f aca="false">IF(B306="","",IFERROR(INDEX(INV_TIER,MATCH(B306,INV_ID,0)),""))</f>
        <v/>
      </c>
      <c r="E306" s="50"/>
      <c r="F306" s="59" t="str">
        <f aca="false">IF(E306="","",IFERROR(INDEX(QB_Q,MATCH(E306,QB_ID,0)),"CHECK: Question ID not found"))</f>
        <v/>
      </c>
      <c r="G306" s="59" t="str">
        <f aca="false">IF(E306="","",IFERROR(INDEX(QB_DOMAIN,MATCH(E306,QB_ID,0)),""))</f>
        <v/>
      </c>
      <c r="H306" s="54" t="str">
        <f aca="false">IF(OR(A306="",E306=""),"",IFERROR(IF(ISNUMBER(MATCH(D306,{"Low","Medium","High"},0)),IF(MATCH(D306,{"Low","Medium","High"},0)&gt;=MATCH(INDEX(QB_MINTIER,MATCH(E306,QB_ID,0)),{"Low","Medium","High"},0),"Recommended for tier","Optional for tier"),"Tier not determined"),"Check question"))</f>
        <v/>
      </c>
      <c r="I306" s="34"/>
      <c r="J306" s="50"/>
      <c r="K306" s="34"/>
      <c r="L306" s="34"/>
      <c r="M306" s="62" t="str">
        <f aca="false">IF(L306="","",SUMPRODUCT(ISNUMBER(SEARCH(","&amp;EV_ID&amp;",",","&amp;SUBSTITUTE(L306," ","")&amp;","))*(EV_ID&lt;&gt;"")))</f>
        <v/>
      </c>
      <c r="N306" s="54" t="str">
        <f aca="false">IF(A306="","",IF(I306&lt;&gt;"Applicable",IF(I306="","Applicability not set","Not in scope ("&amp;I306&amp;")"),IF(OR(J306="",J306="Not answered"),"Awaiting supplier response",IF(J306="Not applicable","Supplier states not applicable - analyst to confirm",IF(L306="","Evidence insufficient - none referenced",IF(M306=0,"Evidence insufficient - referenced ID not found",IF(SUMPRODUCT(ISNUMBER(SEARCH(","&amp;EV_ID&amp;",",","&amp;SUBSTITUTE(L306," ","")&amp;","))*(EV_ID&lt;&gt;"")*(EV_SUFF="Sufficient"))&gt;0,"Evidence reviewed - sufficient",IF(SUMPRODUCT(ISNUMBER(SEARCH(","&amp;EV_ID&amp;",",","&amp;SUBSTITUTE(L306," ","")&amp;","))*(EV_ID&lt;&gt;"")*(EV_SUFF="Partially sufficient"))&gt;0,"Evidence partially sufficient","Evidence insufficient - referenced evidence not sufficient"))))))))</f>
        <v/>
      </c>
      <c r="O306" s="50"/>
      <c r="P306" s="34"/>
      <c r="Q306" s="34"/>
      <c r="R306" s="50"/>
      <c r="S306" s="51"/>
      <c r="T306" s="51"/>
      <c r="U306" s="52" t="str">
        <f aca="false">IF(OR(A306="",Q306=""),"",IF(AND(ISNUMBER(S306),S306&lt;AsOf,O306&lt;&gt;"Reviewed"),"Overdue",""))</f>
        <v/>
      </c>
      <c r="V306" s="54" t="str">
        <f aca="false">IF(A306="","",IF(COUNTIF(QA_ID,A306)&gt;1,"CHECK: duplicate ID",IF(B306="","CHECK: Supplier ID missing",IF(COUNTIF(INV_ID,B306)=0,"CHECK: Supplier ID not in inventory",IF(E306="","CHECK: Question ID missing",IF(COUNTIF(QB_ID,E306)=0,"CHECK: Question ID not in bank","OK"))))))</f>
        <v/>
      </c>
    </row>
    <row r="307" customFormat="false" ht="15" hidden="false" customHeight="false" outlineLevel="0" collapsed="false">
      <c r="A307" s="50"/>
      <c r="B307" s="50"/>
      <c r="C307" s="59" t="str">
        <f aca="false">IF(B307="","",IFERROR(INDEX(INV_NAME,MATCH(B307,INV_ID,0)),"CHECK: Supplier ID not found"))</f>
        <v/>
      </c>
      <c r="D307" s="63" t="str">
        <f aca="false">IF(B307="","",IFERROR(INDEX(INV_TIER,MATCH(B307,INV_ID,0)),""))</f>
        <v/>
      </c>
      <c r="E307" s="50"/>
      <c r="F307" s="59" t="str">
        <f aca="false">IF(E307="","",IFERROR(INDEX(QB_Q,MATCH(E307,QB_ID,0)),"CHECK: Question ID not found"))</f>
        <v/>
      </c>
      <c r="G307" s="59" t="str">
        <f aca="false">IF(E307="","",IFERROR(INDEX(QB_DOMAIN,MATCH(E307,QB_ID,0)),""))</f>
        <v/>
      </c>
      <c r="H307" s="54" t="str">
        <f aca="false">IF(OR(A307="",E307=""),"",IFERROR(IF(ISNUMBER(MATCH(D307,{"Low","Medium","High"},0)),IF(MATCH(D307,{"Low","Medium","High"},0)&gt;=MATCH(INDEX(QB_MINTIER,MATCH(E307,QB_ID,0)),{"Low","Medium","High"},0),"Recommended for tier","Optional for tier"),"Tier not determined"),"Check question"))</f>
        <v/>
      </c>
      <c r="I307" s="34"/>
      <c r="J307" s="50"/>
      <c r="K307" s="34"/>
      <c r="L307" s="34"/>
      <c r="M307" s="62" t="str">
        <f aca="false">IF(L307="","",SUMPRODUCT(ISNUMBER(SEARCH(","&amp;EV_ID&amp;",",","&amp;SUBSTITUTE(L307," ","")&amp;","))*(EV_ID&lt;&gt;"")))</f>
        <v/>
      </c>
      <c r="N307" s="54" t="str">
        <f aca="false">IF(A307="","",IF(I307&lt;&gt;"Applicable",IF(I307="","Applicability not set","Not in scope ("&amp;I307&amp;")"),IF(OR(J307="",J307="Not answered"),"Awaiting supplier response",IF(J307="Not applicable","Supplier states not applicable - analyst to confirm",IF(L307="","Evidence insufficient - none referenced",IF(M307=0,"Evidence insufficient - referenced ID not found",IF(SUMPRODUCT(ISNUMBER(SEARCH(","&amp;EV_ID&amp;",",","&amp;SUBSTITUTE(L307," ","")&amp;","))*(EV_ID&lt;&gt;"")*(EV_SUFF="Sufficient"))&gt;0,"Evidence reviewed - sufficient",IF(SUMPRODUCT(ISNUMBER(SEARCH(","&amp;EV_ID&amp;",",","&amp;SUBSTITUTE(L307," ","")&amp;","))*(EV_ID&lt;&gt;"")*(EV_SUFF="Partially sufficient"))&gt;0,"Evidence partially sufficient","Evidence insufficient - referenced evidence not sufficient"))))))))</f>
        <v/>
      </c>
      <c r="O307" s="50"/>
      <c r="P307" s="34"/>
      <c r="Q307" s="34"/>
      <c r="R307" s="50"/>
      <c r="S307" s="51"/>
      <c r="T307" s="51"/>
      <c r="U307" s="52" t="str">
        <f aca="false">IF(OR(A307="",Q307=""),"",IF(AND(ISNUMBER(S307),S307&lt;AsOf,O307&lt;&gt;"Reviewed"),"Overdue",""))</f>
        <v/>
      </c>
      <c r="V307" s="54" t="str">
        <f aca="false">IF(A307="","",IF(COUNTIF(QA_ID,A307)&gt;1,"CHECK: duplicate ID",IF(B307="","CHECK: Supplier ID missing",IF(COUNTIF(INV_ID,B307)=0,"CHECK: Supplier ID not in inventory",IF(E307="","CHECK: Question ID missing",IF(COUNTIF(QB_ID,E307)=0,"CHECK: Question ID not in bank","OK"))))))</f>
        <v/>
      </c>
    </row>
    <row r="308" customFormat="false" ht="15" hidden="false" customHeight="false" outlineLevel="0" collapsed="false">
      <c r="A308" s="50"/>
      <c r="B308" s="50"/>
      <c r="C308" s="59" t="str">
        <f aca="false">IF(B308="","",IFERROR(INDEX(INV_NAME,MATCH(B308,INV_ID,0)),"CHECK: Supplier ID not found"))</f>
        <v/>
      </c>
      <c r="D308" s="63" t="str">
        <f aca="false">IF(B308="","",IFERROR(INDEX(INV_TIER,MATCH(B308,INV_ID,0)),""))</f>
        <v/>
      </c>
      <c r="E308" s="50"/>
      <c r="F308" s="59" t="str">
        <f aca="false">IF(E308="","",IFERROR(INDEX(QB_Q,MATCH(E308,QB_ID,0)),"CHECK: Question ID not found"))</f>
        <v/>
      </c>
      <c r="G308" s="59" t="str">
        <f aca="false">IF(E308="","",IFERROR(INDEX(QB_DOMAIN,MATCH(E308,QB_ID,0)),""))</f>
        <v/>
      </c>
      <c r="H308" s="54" t="str">
        <f aca="false">IF(OR(A308="",E308=""),"",IFERROR(IF(ISNUMBER(MATCH(D308,{"Low","Medium","High"},0)),IF(MATCH(D308,{"Low","Medium","High"},0)&gt;=MATCH(INDEX(QB_MINTIER,MATCH(E308,QB_ID,0)),{"Low","Medium","High"},0),"Recommended for tier","Optional for tier"),"Tier not determined"),"Check question"))</f>
        <v/>
      </c>
      <c r="I308" s="34"/>
      <c r="J308" s="50"/>
      <c r="K308" s="34"/>
      <c r="L308" s="34"/>
      <c r="M308" s="62" t="str">
        <f aca="false">IF(L308="","",SUMPRODUCT(ISNUMBER(SEARCH(","&amp;EV_ID&amp;",",","&amp;SUBSTITUTE(L308," ","")&amp;","))*(EV_ID&lt;&gt;"")))</f>
        <v/>
      </c>
      <c r="N308" s="54" t="str">
        <f aca="false">IF(A308="","",IF(I308&lt;&gt;"Applicable",IF(I308="","Applicability not set","Not in scope ("&amp;I308&amp;")"),IF(OR(J308="",J308="Not answered"),"Awaiting supplier response",IF(J308="Not applicable","Supplier states not applicable - analyst to confirm",IF(L308="","Evidence insufficient - none referenced",IF(M308=0,"Evidence insufficient - referenced ID not found",IF(SUMPRODUCT(ISNUMBER(SEARCH(","&amp;EV_ID&amp;",",","&amp;SUBSTITUTE(L308," ","")&amp;","))*(EV_ID&lt;&gt;"")*(EV_SUFF="Sufficient"))&gt;0,"Evidence reviewed - sufficient",IF(SUMPRODUCT(ISNUMBER(SEARCH(","&amp;EV_ID&amp;",",","&amp;SUBSTITUTE(L308," ","")&amp;","))*(EV_ID&lt;&gt;"")*(EV_SUFF="Partially sufficient"))&gt;0,"Evidence partially sufficient","Evidence insufficient - referenced evidence not sufficient"))))))))</f>
        <v/>
      </c>
      <c r="O308" s="50"/>
      <c r="P308" s="34"/>
      <c r="Q308" s="34"/>
      <c r="R308" s="50"/>
      <c r="S308" s="51"/>
      <c r="T308" s="51"/>
      <c r="U308" s="52" t="str">
        <f aca="false">IF(OR(A308="",Q308=""),"",IF(AND(ISNUMBER(S308),S308&lt;AsOf,O308&lt;&gt;"Reviewed"),"Overdue",""))</f>
        <v/>
      </c>
      <c r="V308" s="54" t="str">
        <f aca="false">IF(A308="","",IF(COUNTIF(QA_ID,A308)&gt;1,"CHECK: duplicate ID",IF(B308="","CHECK: Supplier ID missing",IF(COUNTIF(INV_ID,B308)=0,"CHECK: Supplier ID not in inventory",IF(E308="","CHECK: Question ID missing",IF(COUNTIF(QB_ID,E308)=0,"CHECK: Question ID not in bank","OK"))))))</f>
        <v/>
      </c>
    </row>
    <row r="309" customFormat="false" ht="15" hidden="false" customHeight="false" outlineLevel="0" collapsed="false">
      <c r="A309" s="50"/>
      <c r="B309" s="50"/>
      <c r="C309" s="59" t="str">
        <f aca="false">IF(B309="","",IFERROR(INDEX(INV_NAME,MATCH(B309,INV_ID,0)),"CHECK: Supplier ID not found"))</f>
        <v/>
      </c>
      <c r="D309" s="63" t="str">
        <f aca="false">IF(B309="","",IFERROR(INDEX(INV_TIER,MATCH(B309,INV_ID,0)),""))</f>
        <v/>
      </c>
      <c r="E309" s="50"/>
      <c r="F309" s="59" t="str">
        <f aca="false">IF(E309="","",IFERROR(INDEX(QB_Q,MATCH(E309,QB_ID,0)),"CHECK: Question ID not found"))</f>
        <v/>
      </c>
      <c r="G309" s="59" t="str">
        <f aca="false">IF(E309="","",IFERROR(INDEX(QB_DOMAIN,MATCH(E309,QB_ID,0)),""))</f>
        <v/>
      </c>
      <c r="H309" s="54" t="str">
        <f aca="false">IF(OR(A309="",E309=""),"",IFERROR(IF(ISNUMBER(MATCH(D309,{"Low","Medium","High"},0)),IF(MATCH(D309,{"Low","Medium","High"},0)&gt;=MATCH(INDEX(QB_MINTIER,MATCH(E309,QB_ID,0)),{"Low","Medium","High"},0),"Recommended for tier","Optional for tier"),"Tier not determined"),"Check question"))</f>
        <v/>
      </c>
      <c r="I309" s="34"/>
      <c r="J309" s="50"/>
      <c r="K309" s="34"/>
      <c r="L309" s="34"/>
      <c r="M309" s="62" t="str">
        <f aca="false">IF(L309="","",SUMPRODUCT(ISNUMBER(SEARCH(","&amp;EV_ID&amp;",",","&amp;SUBSTITUTE(L309," ","")&amp;","))*(EV_ID&lt;&gt;"")))</f>
        <v/>
      </c>
      <c r="N309" s="54" t="str">
        <f aca="false">IF(A309="","",IF(I309&lt;&gt;"Applicable",IF(I309="","Applicability not set","Not in scope ("&amp;I309&amp;")"),IF(OR(J309="",J309="Not answered"),"Awaiting supplier response",IF(J309="Not applicable","Supplier states not applicable - analyst to confirm",IF(L309="","Evidence insufficient - none referenced",IF(M309=0,"Evidence insufficient - referenced ID not found",IF(SUMPRODUCT(ISNUMBER(SEARCH(","&amp;EV_ID&amp;",",","&amp;SUBSTITUTE(L309," ","")&amp;","))*(EV_ID&lt;&gt;"")*(EV_SUFF="Sufficient"))&gt;0,"Evidence reviewed - sufficient",IF(SUMPRODUCT(ISNUMBER(SEARCH(","&amp;EV_ID&amp;",",","&amp;SUBSTITUTE(L309," ","")&amp;","))*(EV_ID&lt;&gt;"")*(EV_SUFF="Partially sufficient"))&gt;0,"Evidence partially sufficient","Evidence insufficient - referenced evidence not sufficient"))))))))</f>
        <v/>
      </c>
      <c r="O309" s="50"/>
      <c r="P309" s="34"/>
      <c r="Q309" s="34"/>
      <c r="R309" s="50"/>
      <c r="S309" s="51"/>
      <c r="T309" s="51"/>
      <c r="U309" s="52" t="str">
        <f aca="false">IF(OR(A309="",Q309=""),"",IF(AND(ISNUMBER(S309),S309&lt;AsOf,O309&lt;&gt;"Reviewed"),"Overdue",""))</f>
        <v/>
      </c>
      <c r="V309" s="54" t="str">
        <f aca="false">IF(A309="","",IF(COUNTIF(QA_ID,A309)&gt;1,"CHECK: duplicate ID",IF(B309="","CHECK: Supplier ID missing",IF(COUNTIF(INV_ID,B309)=0,"CHECK: Supplier ID not in inventory",IF(E309="","CHECK: Question ID missing",IF(COUNTIF(QB_ID,E309)=0,"CHECK: Question ID not in bank","OK"))))))</f>
        <v/>
      </c>
    </row>
    <row r="310" customFormat="false" ht="15" hidden="false" customHeight="false" outlineLevel="0" collapsed="false">
      <c r="A310" s="50"/>
      <c r="B310" s="50"/>
      <c r="C310" s="59" t="str">
        <f aca="false">IF(B310="","",IFERROR(INDEX(INV_NAME,MATCH(B310,INV_ID,0)),"CHECK: Supplier ID not found"))</f>
        <v/>
      </c>
      <c r="D310" s="63" t="str">
        <f aca="false">IF(B310="","",IFERROR(INDEX(INV_TIER,MATCH(B310,INV_ID,0)),""))</f>
        <v/>
      </c>
      <c r="E310" s="50"/>
      <c r="F310" s="59" t="str">
        <f aca="false">IF(E310="","",IFERROR(INDEX(QB_Q,MATCH(E310,QB_ID,0)),"CHECK: Question ID not found"))</f>
        <v/>
      </c>
      <c r="G310" s="59" t="str">
        <f aca="false">IF(E310="","",IFERROR(INDEX(QB_DOMAIN,MATCH(E310,QB_ID,0)),""))</f>
        <v/>
      </c>
      <c r="H310" s="54" t="str">
        <f aca="false">IF(OR(A310="",E310=""),"",IFERROR(IF(ISNUMBER(MATCH(D310,{"Low","Medium","High"},0)),IF(MATCH(D310,{"Low","Medium","High"},0)&gt;=MATCH(INDEX(QB_MINTIER,MATCH(E310,QB_ID,0)),{"Low","Medium","High"},0),"Recommended for tier","Optional for tier"),"Tier not determined"),"Check question"))</f>
        <v/>
      </c>
      <c r="I310" s="34"/>
      <c r="J310" s="50"/>
      <c r="K310" s="34"/>
      <c r="L310" s="34"/>
      <c r="M310" s="62" t="str">
        <f aca="false">IF(L310="","",SUMPRODUCT(ISNUMBER(SEARCH(","&amp;EV_ID&amp;",",","&amp;SUBSTITUTE(L310," ","")&amp;","))*(EV_ID&lt;&gt;"")))</f>
        <v/>
      </c>
      <c r="N310" s="54" t="str">
        <f aca="false">IF(A310="","",IF(I310&lt;&gt;"Applicable",IF(I310="","Applicability not set","Not in scope ("&amp;I310&amp;")"),IF(OR(J310="",J310="Not answered"),"Awaiting supplier response",IF(J310="Not applicable","Supplier states not applicable - analyst to confirm",IF(L310="","Evidence insufficient - none referenced",IF(M310=0,"Evidence insufficient - referenced ID not found",IF(SUMPRODUCT(ISNUMBER(SEARCH(","&amp;EV_ID&amp;",",","&amp;SUBSTITUTE(L310," ","")&amp;","))*(EV_ID&lt;&gt;"")*(EV_SUFF="Sufficient"))&gt;0,"Evidence reviewed - sufficient",IF(SUMPRODUCT(ISNUMBER(SEARCH(","&amp;EV_ID&amp;",",","&amp;SUBSTITUTE(L310," ","")&amp;","))*(EV_ID&lt;&gt;"")*(EV_SUFF="Partially sufficient"))&gt;0,"Evidence partially sufficient","Evidence insufficient - referenced evidence not sufficient"))))))))</f>
        <v/>
      </c>
      <c r="O310" s="50"/>
      <c r="P310" s="34"/>
      <c r="Q310" s="34"/>
      <c r="R310" s="50"/>
      <c r="S310" s="51"/>
      <c r="T310" s="51"/>
      <c r="U310" s="52" t="str">
        <f aca="false">IF(OR(A310="",Q310=""),"",IF(AND(ISNUMBER(S310),S310&lt;AsOf,O310&lt;&gt;"Reviewed"),"Overdue",""))</f>
        <v/>
      </c>
      <c r="V310" s="54" t="str">
        <f aca="false">IF(A310="","",IF(COUNTIF(QA_ID,A310)&gt;1,"CHECK: duplicate ID",IF(B310="","CHECK: Supplier ID missing",IF(COUNTIF(INV_ID,B310)=0,"CHECK: Supplier ID not in inventory",IF(E310="","CHECK: Question ID missing",IF(COUNTIF(QB_ID,E310)=0,"CHECK: Question ID not in bank","OK"))))))</f>
        <v/>
      </c>
    </row>
    <row r="311" customFormat="false" ht="15" hidden="false" customHeight="false" outlineLevel="0" collapsed="false">
      <c r="A311" s="50"/>
      <c r="B311" s="50"/>
      <c r="C311" s="59" t="str">
        <f aca="false">IF(B311="","",IFERROR(INDEX(INV_NAME,MATCH(B311,INV_ID,0)),"CHECK: Supplier ID not found"))</f>
        <v/>
      </c>
      <c r="D311" s="63" t="str">
        <f aca="false">IF(B311="","",IFERROR(INDEX(INV_TIER,MATCH(B311,INV_ID,0)),""))</f>
        <v/>
      </c>
      <c r="E311" s="50"/>
      <c r="F311" s="59" t="str">
        <f aca="false">IF(E311="","",IFERROR(INDEX(QB_Q,MATCH(E311,QB_ID,0)),"CHECK: Question ID not found"))</f>
        <v/>
      </c>
      <c r="G311" s="59" t="str">
        <f aca="false">IF(E311="","",IFERROR(INDEX(QB_DOMAIN,MATCH(E311,QB_ID,0)),""))</f>
        <v/>
      </c>
      <c r="H311" s="54" t="str">
        <f aca="false">IF(OR(A311="",E311=""),"",IFERROR(IF(ISNUMBER(MATCH(D311,{"Low","Medium","High"},0)),IF(MATCH(D311,{"Low","Medium","High"},0)&gt;=MATCH(INDEX(QB_MINTIER,MATCH(E311,QB_ID,0)),{"Low","Medium","High"},0),"Recommended for tier","Optional for tier"),"Tier not determined"),"Check question"))</f>
        <v/>
      </c>
      <c r="I311" s="34"/>
      <c r="J311" s="50"/>
      <c r="K311" s="34"/>
      <c r="L311" s="34"/>
      <c r="M311" s="62" t="str">
        <f aca="false">IF(L311="","",SUMPRODUCT(ISNUMBER(SEARCH(","&amp;EV_ID&amp;",",","&amp;SUBSTITUTE(L311," ","")&amp;","))*(EV_ID&lt;&gt;"")))</f>
        <v/>
      </c>
      <c r="N311" s="54" t="str">
        <f aca="false">IF(A311="","",IF(I311&lt;&gt;"Applicable",IF(I311="","Applicability not set","Not in scope ("&amp;I311&amp;")"),IF(OR(J311="",J311="Not answered"),"Awaiting supplier response",IF(J311="Not applicable","Supplier states not applicable - analyst to confirm",IF(L311="","Evidence insufficient - none referenced",IF(M311=0,"Evidence insufficient - referenced ID not found",IF(SUMPRODUCT(ISNUMBER(SEARCH(","&amp;EV_ID&amp;",",","&amp;SUBSTITUTE(L311," ","")&amp;","))*(EV_ID&lt;&gt;"")*(EV_SUFF="Sufficient"))&gt;0,"Evidence reviewed - sufficient",IF(SUMPRODUCT(ISNUMBER(SEARCH(","&amp;EV_ID&amp;",",","&amp;SUBSTITUTE(L311," ","")&amp;","))*(EV_ID&lt;&gt;"")*(EV_SUFF="Partially sufficient"))&gt;0,"Evidence partially sufficient","Evidence insufficient - referenced evidence not sufficient"))))))))</f>
        <v/>
      </c>
      <c r="O311" s="50"/>
      <c r="P311" s="34"/>
      <c r="Q311" s="34"/>
      <c r="R311" s="50"/>
      <c r="S311" s="51"/>
      <c r="T311" s="51"/>
      <c r="U311" s="52" t="str">
        <f aca="false">IF(OR(A311="",Q311=""),"",IF(AND(ISNUMBER(S311),S311&lt;AsOf,O311&lt;&gt;"Reviewed"),"Overdue",""))</f>
        <v/>
      </c>
      <c r="V311" s="54" t="str">
        <f aca="false">IF(A311="","",IF(COUNTIF(QA_ID,A311)&gt;1,"CHECK: duplicate ID",IF(B311="","CHECK: Supplier ID missing",IF(COUNTIF(INV_ID,B311)=0,"CHECK: Supplier ID not in inventory",IF(E311="","CHECK: Question ID missing",IF(COUNTIF(QB_ID,E311)=0,"CHECK: Question ID not in bank","OK"))))))</f>
        <v/>
      </c>
    </row>
    <row r="312" customFormat="false" ht="15" hidden="false" customHeight="false" outlineLevel="0" collapsed="false">
      <c r="A312" s="50"/>
      <c r="B312" s="50"/>
      <c r="C312" s="59" t="str">
        <f aca="false">IF(B312="","",IFERROR(INDEX(INV_NAME,MATCH(B312,INV_ID,0)),"CHECK: Supplier ID not found"))</f>
        <v/>
      </c>
      <c r="D312" s="63" t="str">
        <f aca="false">IF(B312="","",IFERROR(INDEX(INV_TIER,MATCH(B312,INV_ID,0)),""))</f>
        <v/>
      </c>
      <c r="E312" s="50"/>
      <c r="F312" s="59" t="str">
        <f aca="false">IF(E312="","",IFERROR(INDEX(QB_Q,MATCH(E312,QB_ID,0)),"CHECK: Question ID not found"))</f>
        <v/>
      </c>
      <c r="G312" s="59" t="str">
        <f aca="false">IF(E312="","",IFERROR(INDEX(QB_DOMAIN,MATCH(E312,QB_ID,0)),""))</f>
        <v/>
      </c>
      <c r="H312" s="54" t="str">
        <f aca="false">IF(OR(A312="",E312=""),"",IFERROR(IF(ISNUMBER(MATCH(D312,{"Low","Medium","High"},0)),IF(MATCH(D312,{"Low","Medium","High"},0)&gt;=MATCH(INDEX(QB_MINTIER,MATCH(E312,QB_ID,0)),{"Low","Medium","High"},0),"Recommended for tier","Optional for tier"),"Tier not determined"),"Check question"))</f>
        <v/>
      </c>
      <c r="I312" s="34"/>
      <c r="J312" s="50"/>
      <c r="K312" s="34"/>
      <c r="L312" s="34"/>
      <c r="M312" s="62" t="str">
        <f aca="false">IF(L312="","",SUMPRODUCT(ISNUMBER(SEARCH(","&amp;EV_ID&amp;",",","&amp;SUBSTITUTE(L312," ","")&amp;","))*(EV_ID&lt;&gt;"")))</f>
        <v/>
      </c>
      <c r="N312" s="54" t="str">
        <f aca="false">IF(A312="","",IF(I312&lt;&gt;"Applicable",IF(I312="","Applicability not set","Not in scope ("&amp;I312&amp;")"),IF(OR(J312="",J312="Not answered"),"Awaiting supplier response",IF(J312="Not applicable","Supplier states not applicable - analyst to confirm",IF(L312="","Evidence insufficient - none referenced",IF(M312=0,"Evidence insufficient - referenced ID not found",IF(SUMPRODUCT(ISNUMBER(SEARCH(","&amp;EV_ID&amp;",",","&amp;SUBSTITUTE(L312," ","")&amp;","))*(EV_ID&lt;&gt;"")*(EV_SUFF="Sufficient"))&gt;0,"Evidence reviewed - sufficient",IF(SUMPRODUCT(ISNUMBER(SEARCH(","&amp;EV_ID&amp;",",","&amp;SUBSTITUTE(L312," ","")&amp;","))*(EV_ID&lt;&gt;"")*(EV_SUFF="Partially sufficient"))&gt;0,"Evidence partially sufficient","Evidence insufficient - referenced evidence not sufficient"))))))))</f>
        <v/>
      </c>
      <c r="O312" s="50"/>
      <c r="P312" s="34"/>
      <c r="Q312" s="34"/>
      <c r="R312" s="50"/>
      <c r="S312" s="51"/>
      <c r="T312" s="51"/>
      <c r="U312" s="52" t="str">
        <f aca="false">IF(OR(A312="",Q312=""),"",IF(AND(ISNUMBER(S312),S312&lt;AsOf,O312&lt;&gt;"Reviewed"),"Overdue",""))</f>
        <v/>
      </c>
      <c r="V312" s="54" t="str">
        <f aca="false">IF(A312="","",IF(COUNTIF(QA_ID,A312)&gt;1,"CHECK: duplicate ID",IF(B312="","CHECK: Supplier ID missing",IF(COUNTIF(INV_ID,B312)=0,"CHECK: Supplier ID not in inventory",IF(E312="","CHECK: Question ID missing",IF(COUNTIF(QB_ID,E312)=0,"CHECK: Question ID not in bank","OK"))))))</f>
        <v/>
      </c>
    </row>
    <row r="313" customFormat="false" ht="15" hidden="false" customHeight="false" outlineLevel="0" collapsed="false">
      <c r="A313" s="50"/>
      <c r="B313" s="50"/>
      <c r="C313" s="59" t="str">
        <f aca="false">IF(B313="","",IFERROR(INDEX(INV_NAME,MATCH(B313,INV_ID,0)),"CHECK: Supplier ID not found"))</f>
        <v/>
      </c>
      <c r="D313" s="63" t="str">
        <f aca="false">IF(B313="","",IFERROR(INDEX(INV_TIER,MATCH(B313,INV_ID,0)),""))</f>
        <v/>
      </c>
      <c r="E313" s="50"/>
      <c r="F313" s="59" t="str">
        <f aca="false">IF(E313="","",IFERROR(INDEX(QB_Q,MATCH(E313,QB_ID,0)),"CHECK: Question ID not found"))</f>
        <v/>
      </c>
      <c r="G313" s="59" t="str">
        <f aca="false">IF(E313="","",IFERROR(INDEX(QB_DOMAIN,MATCH(E313,QB_ID,0)),""))</f>
        <v/>
      </c>
      <c r="H313" s="54" t="str">
        <f aca="false">IF(OR(A313="",E313=""),"",IFERROR(IF(ISNUMBER(MATCH(D313,{"Low","Medium","High"},0)),IF(MATCH(D313,{"Low","Medium","High"},0)&gt;=MATCH(INDEX(QB_MINTIER,MATCH(E313,QB_ID,0)),{"Low","Medium","High"},0),"Recommended for tier","Optional for tier"),"Tier not determined"),"Check question"))</f>
        <v/>
      </c>
      <c r="I313" s="34"/>
      <c r="J313" s="50"/>
      <c r="K313" s="34"/>
      <c r="L313" s="34"/>
      <c r="M313" s="62" t="str">
        <f aca="false">IF(L313="","",SUMPRODUCT(ISNUMBER(SEARCH(","&amp;EV_ID&amp;",",","&amp;SUBSTITUTE(L313," ","")&amp;","))*(EV_ID&lt;&gt;"")))</f>
        <v/>
      </c>
      <c r="N313" s="54" t="str">
        <f aca="false">IF(A313="","",IF(I313&lt;&gt;"Applicable",IF(I313="","Applicability not set","Not in scope ("&amp;I313&amp;")"),IF(OR(J313="",J313="Not answered"),"Awaiting supplier response",IF(J313="Not applicable","Supplier states not applicable - analyst to confirm",IF(L313="","Evidence insufficient - none referenced",IF(M313=0,"Evidence insufficient - referenced ID not found",IF(SUMPRODUCT(ISNUMBER(SEARCH(","&amp;EV_ID&amp;",",","&amp;SUBSTITUTE(L313," ","")&amp;","))*(EV_ID&lt;&gt;"")*(EV_SUFF="Sufficient"))&gt;0,"Evidence reviewed - sufficient",IF(SUMPRODUCT(ISNUMBER(SEARCH(","&amp;EV_ID&amp;",",","&amp;SUBSTITUTE(L313," ","")&amp;","))*(EV_ID&lt;&gt;"")*(EV_SUFF="Partially sufficient"))&gt;0,"Evidence partially sufficient","Evidence insufficient - referenced evidence not sufficient"))))))))</f>
        <v/>
      </c>
      <c r="O313" s="50"/>
      <c r="P313" s="34"/>
      <c r="Q313" s="34"/>
      <c r="R313" s="50"/>
      <c r="S313" s="51"/>
      <c r="T313" s="51"/>
      <c r="U313" s="52" t="str">
        <f aca="false">IF(OR(A313="",Q313=""),"",IF(AND(ISNUMBER(S313),S313&lt;AsOf,O313&lt;&gt;"Reviewed"),"Overdue",""))</f>
        <v/>
      </c>
      <c r="V313" s="54" t="str">
        <f aca="false">IF(A313="","",IF(COUNTIF(QA_ID,A313)&gt;1,"CHECK: duplicate ID",IF(B313="","CHECK: Supplier ID missing",IF(COUNTIF(INV_ID,B313)=0,"CHECK: Supplier ID not in inventory",IF(E313="","CHECK: Question ID missing",IF(COUNTIF(QB_ID,E313)=0,"CHECK: Question ID not in bank","OK"))))))</f>
        <v/>
      </c>
    </row>
    <row r="314" customFormat="false" ht="15" hidden="false" customHeight="false" outlineLevel="0" collapsed="false">
      <c r="A314" s="50"/>
      <c r="B314" s="50"/>
      <c r="C314" s="59" t="str">
        <f aca="false">IF(B314="","",IFERROR(INDEX(INV_NAME,MATCH(B314,INV_ID,0)),"CHECK: Supplier ID not found"))</f>
        <v/>
      </c>
      <c r="D314" s="63" t="str">
        <f aca="false">IF(B314="","",IFERROR(INDEX(INV_TIER,MATCH(B314,INV_ID,0)),""))</f>
        <v/>
      </c>
      <c r="E314" s="50"/>
      <c r="F314" s="59" t="str">
        <f aca="false">IF(E314="","",IFERROR(INDEX(QB_Q,MATCH(E314,QB_ID,0)),"CHECK: Question ID not found"))</f>
        <v/>
      </c>
      <c r="G314" s="59" t="str">
        <f aca="false">IF(E314="","",IFERROR(INDEX(QB_DOMAIN,MATCH(E314,QB_ID,0)),""))</f>
        <v/>
      </c>
      <c r="H314" s="54" t="str">
        <f aca="false">IF(OR(A314="",E314=""),"",IFERROR(IF(ISNUMBER(MATCH(D314,{"Low","Medium","High"},0)),IF(MATCH(D314,{"Low","Medium","High"},0)&gt;=MATCH(INDEX(QB_MINTIER,MATCH(E314,QB_ID,0)),{"Low","Medium","High"},0),"Recommended for tier","Optional for tier"),"Tier not determined"),"Check question"))</f>
        <v/>
      </c>
      <c r="I314" s="34"/>
      <c r="J314" s="50"/>
      <c r="K314" s="34"/>
      <c r="L314" s="34"/>
      <c r="M314" s="62" t="str">
        <f aca="false">IF(L314="","",SUMPRODUCT(ISNUMBER(SEARCH(","&amp;EV_ID&amp;",",","&amp;SUBSTITUTE(L314," ","")&amp;","))*(EV_ID&lt;&gt;"")))</f>
        <v/>
      </c>
      <c r="N314" s="54" t="str">
        <f aca="false">IF(A314="","",IF(I314&lt;&gt;"Applicable",IF(I314="","Applicability not set","Not in scope ("&amp;I314&amp;")"),IF(OR(J314="",J314="Not answered"),"Awaiting supplier response",IF(J314="Not applicable","Supplier states not applicable - analyst to confirm",IF(L314="","Evidence insufficient - none referenced",IF(M314=0,"Evidence insufficient - referenced ID not found",IF(SUMPRODUCT(ISNUMBER(SEARCH(","&amp;EV_ID&amp;",",","&amp;SUBSTITUTE(L314," ","")&amp;","))*(EV_ID&lt;&gt;"")*(EV_SUFF="Sufficient"))&gt;0,"Evidence reviewed - sufficient",IF(SUMPRODUCT(ISNUMBER(SEARCH(","&amp;EV_ID&amp;",",","&amp;SUBSTITUTE(L314," ","")&amp;","))*(EV_ID&lt;&gt;"")*(EV_SUFF="Partially sufficient"))&gt;0,"Evidence partially sufficient","Evidence insufficient - referenced evidence not sufficient"))))))))</f>
        <v/>
      </c>
      <c r="O314" s="50"/>
      <c r="P314" s="34"/>
      <c r="Q314" s="34"/>
      <c r="R314" s="50"/>
      <c r="S314" s="51"/>
      <c r="T314" s="51"/>
      <c r="U314" s="52" t="str">
        <f aca="false">IF(OR(A314="",Q314=""),"",IF(AND(ISNUMBER(S314),S314&lt;AsOf,O314&lt;&gt;"Reviewed"),"Overdue",""))</f>
        <v/>
      </c>
      <c r="V314" s="54" t="str">
        <f aca="false">IF(A314="","",IF(COUNTIF(QA_ID,A314)&gt;1,"CHECK: duplicate ID",IF(B314="","CHECK: Supplier ID missing",IF(COUNTIF(INV_ID,B314)=0,"CHECK: Supplier ID not in inventory",IF(E314="","CHECK: Question ID missing",IF(COUNTIF(QB_ID,E314)=0,"CHECK: Question ID not in bank","OK"))))))</f>
        <v/>
      </c>
    </row>
    <row r="315" customFormat="false" ht="15" hidden="false" customHeight="false" outlineLevel="0" collapsed="false">
      <c r="A315" s="50"/>
      <c r="B315" s="50"/>
      <c r="C315" s="59" t="str">
        <f aca="false">IF(B315="","",IFERROR(INDEX(INV_NAME,MATCH(B315,INV_ID,0)),"CHECK: Supplier ID not found"))</f>
        <v/>
      </c>
      <c r="D315" s="63" t="str">
        <f aca="false">IF(B315="","",IFERROR(INDEX(INV_TIER,MATCH(B315,INV_ID,0)),""))</f>
        <v/>
      </c>
      <c r="E315" s="50"/>
      <c r="F315" s="59" t="str">
        <f aca="false">IF(E315="","",IFERROR(INDEX(QB_Q,MATCH(E315,QB_ID,0)),"CHECK: Question ID not found"))</f>
        <v/>
      </c>
      <c r="G315" s="59" t="str">
        <f aca="false">IF(E315="","",IFERROR(INDEX(QB_DOMAIN,MATCH(E315,QB_ID,0)),""))</f>
        <v/>
      </c>
      <c r="H315" s="54" t="str">
        <f aca="false">IF(OR(A315="",E315=""),"",IFERROR(IF(ISNUMBER(MATCH(D315,{"Low","Medium","High"},0)),IF(MATCH(D315,{"Low","Medium","High"},0)&gt;=MATCH(INDEX(QB_MINTIER,MATCH(E315,QB_ID,0)),{"Low","Medium","High"},0),"Recommended for tier","Optional for tier"),"Tier not determined"),"Check question"))</f>
        <v/>
      </c>
      <c r="I315" s="34"/>
      <c r="J315" s="50"/>
      <c r="K315" s="34"/>
      <c r="L315" s="34"/>
      <c r="M315" s="62" t="str">
        <f aca="false">IF(L315="","",SUMPRODUCT(ISNUMBER(SEARCH(","&amp;EV_ID&amp;",",","&amp;SUBSTITUTE(L315," ","")&amp;","))*(EV_ID&lt;&gt;"")))</f>
        <v/>
      </c>
      <c r="N315" s="54" t="str">
        <f aca="false">IF(A315="","",IF(I315&lt;&gt;"Applicable",IF(I315="","Applicability not set","Not in scope ("&amp;I315&amp;")"),IF(OR(J315="",J315="Not answered"),"Awaiting supplier response",IF(J315="Not applicable","Supplier states not applicable - analyst to confirm",IF(L315="","Evidence insufficient - none referenced",IF(M315=0,"Evidence insufficient - referenced ID not found",IF(SUMPRODUCT(ISNUMBER(SEARCH(","&amp;EV_ID&amp;",",","&amp;SUBSTITUTE(L315," ","")&amp;","))*(EV_ID&lt;&gt;"")*(EV_SUFF="Sufficient"))&gt;0,"Evidence reviewed - sufficient",IF(SUMPRODUCT(ISNUMBER(SEARCH(","&amp;EV_ID&amp;",",","&amp;SUBSTITUTE(L315," ","")&amp;","))*(EV_ID&lt;&gt;"")*(EV_SUFF="Partially sufficient"))&gt;0,"Evidence partially sufficient","Evidence insufficient - referenced evidence not sufficient"))))))))</f>
        <v/>
      </c>
      <c r="O315" s="50"/>
      <c r="P315" s="34"/>
      <c r="Q315" s="34"/>
      <c r="R315" s="50"/>
      <c r="S315" s="51"/>
      <c r="T315" s="51"/>
      <c r="U315" s="52" t="str">
        <f aca="false">IF(OR(A315="",Q315=""),"",IF(AND(ISNUMBER(S315),S315&lt;AsOf,O315&lt;&gt;"Reviewed"),"Overdue",""))</f>
        <v/>
      </c>
      <c r="V315" s="54" t="str">
        <f aca="false">IF(A315="","",IF(COUNTIF(QA_ID,A315)&gt;1,"CHECK: duplicate ID",IF(B315="","CHECK: Supplier ID missing",IF(COUNTIF(INV_ID,B315)=0,"CHECK: Supplier ID not in inventory",IF(E315="","CHECK: Question ID missing",IF(COUNTIF(QB_ID,E315)=0,"CHECK: Question ID not in bank","OK"))))))</f>
        <v/>
      </c>
    </row>
    <row r="316" customFormat="false" ht="15" hidden="false" customHeight="false" outlineLevel="0" collapsed="false">
      <c r="A316" s="50"/>
      <c r="B316" s="50"/>
      <c r="C316" s="59" t="str">
        <f aca="false">IF(B316="","",IFERROR(INDEX(INV_NAME,MATCH(B316,INV_ID,0)),"CHECK: Supplier ID not found"))</f>
        <v/>
      </c>
      <c r="D316" s="63" t="str">
        <f aca="false">IF(B316="","",IFERROR(INDEX(INV_TIER,MATCH(B316,INV_ID,0)),""))</f>
        <v/>
      </c>
      <c r="E316" s="50"/>
      <c r="F316" s="59" t="str">
        <f aca="false">IF(E316="","",IFERROR(INDEX(QB_Q,MATCH(E316,QB_ID,0)),"CHECK: Question ID not found"))</f>
        <v/>
      </c>
      <c r="G316" s="59" t="str">
        <f aca="false">IF(E316="","",IFERROR(INDEX(QB_DOMAIN,MATCH(E316,QB_ID,0)),""))</f>
        <v/>
      </c>
      <c r="H316" s="54" t="str">
        <f aca="false">IF(OR(A316="",E316=""),"",IFERROR(IF(ISNUMBER(MATCH(D316,{"Low","Medium","High"},0)),IF(MATCH(D316,{"Low","Medium","High"},0)&gt;=MATCH(INDEX(QB_MINTIER,MATCH(E316,QB_ID,0)),{"Low","Medium","High"},0),"Recommended for tier","Optional for tier"),"Tier not determined"),"Check question"))</f>
        <v/>
      </c>
      <c r="I316" s="34"/>
      <c r="J316" s="50"/>
      <c r="K316" s="34"/>
      <c r="L316" s="34"/>
      <c r="M316" s="62" t="str">
        <f aca="false">IF(L316="","",SUMPRODUCT(ISNUMBER(SEARCH(","&amp;EV_ID&amp;",",","&amp;SUBSTITUTE(L316," ","")&amp;","))*(EV_ID&lt;&gt;"")))</f>
        <v/>
      </c>
      <c r="N316" s="54" t="str">
        <f aca="false">IF(A316="","",IF(I316&lt;&gt;"Applicable",IF(I316="","Applicability not set","Not in scope ("&amp;I316&amp;")"),IF(OR(J316="",J316="Not answered"),"Awaiting supplier response",IF(J316="Not applicable","Supplier states not applicable - analyst to confirm",IF(L316="","Evidence insufficient - none referenced",IF(M316=0,"Evidence insufficient - referenced ID not found",IF(SUMPRODUCT(ISNUMBER(SEARCH(","&amp;EV_ID&amp;",",","&amp;SUBSTITUTE(L316," ","")&amp;","))*(EV_ID&lt;&gt;"")*(EV_SUFF="Sufficient"))&gt;0,"Evidence reviewed - sufficient",IF(SUMPRODUCT(ISNUMBER(SEARCH(","&amp;EV_ID&amp;",",","&amp;SUBSTITUTE(L316," ","")&amp;","))*(EV_ID&lt;&gt;"")*(EV_SUFF="Partially sufficient"))&gt;0,"Evidence partially sufficient","Evidence insufficient - referenced evidence not sufficient"))))))))</f>
        <v/>
      </c>
      <c r="O316" s="50"/>
      <c r="P316" s="34"/>
      <c r="Q316" s="34"/>
      <c r="R316" s="50"/>
      <c r="S316" s="51"/>
      <c r="T316" s="51"/>
      <c r="U316" s="52" t="str">
        <f aca="false">IF(OR(A316="",Q316=""),"",IF(AND(ISNUMBER(S316),S316&lt;AsOf,O316&lt;&gt;"Reviewed"),"Overdue",""))</f>
        <v/>
      </c>
      <c r="V316" s="54" t="str">
        <f aca="false">IF(A316="","",IF(COUNTIF(QA_ID,A316)&gt;1,"CHECK: duplicate ID",IF(B316="","CHECK: Supplier ID missing",IF(COUNTIF(INV_ID,B316)=0,"CHECK: Supplier ID not in inventory",IF(E316="","CHECK: Question ID missing",IF(COUNTIF(QB_ID,E316)=0,"CHECK: Question ID not in bank","OK"))))))</f>
        <v/>
      </c>
    </row>
    <row r="317" customFormat="false" ht="15" hidden="false" customHeight="false" outlineLevel="0" collapsed="false">
      <c r="A317" s="50"/>
      <c r="B317" s="50"/>
      <c r="C317" s="59" t="str">
        <f aca="false">IF(B317="","",IFERROR(INDEX(INV_NAME,MATCH(B317,INV_ID,0)),"CHECK: Supplier ID not found"))</f>
        <v/>
      </c>
      <c r="D317" s="63" t="str">
        <f aca="false">IF(B317="","",IFERROR(INDEX(INV_TIER,MATCH(B317,INV_ID,0)),""))</f>
        <v/>
      </c>
      <c r="E317" s="50"/>
      <c r="F317" s="59" t="str">
        <f aca="false">IF(E317="","",IFERROR(INDEX(QB_Q,MATCH(E317,QB_ID,0)),"CHECK: Question ID not found"))</f>
        <v/>
      </c>
      <c r="G317" s="59" t="str">
        <f aca="false">IF(E317="","",IFERROR(INDEX(QB_DOMAIN,MATCH(E317,QB_ID,0)),""))</f>
        <v/>
      </c>
      <c r="H317" s="54" t="str">
        <f aca="false">IF(OR(A317="",E317=""),"",IFERROR(IF(ISNUMBER(MATCH(D317,{"Low","Medium","High"},0)),IF(MATCH(D317,{"Low","Medium","High"},0)&gt;=MATCH(INDEX(QB_MINTIER,MATCH(E317,QB_ID,0)),{"Low","Medium","High"},0),"Recommended for tier","Optional for tier"),"Tier not determined"),"Check question"))</f>
        <v/>
      </c>
      <c r="I317" s="34"/>
      <c r="J317" s="50"/>
      <c r="K317" s="34"/>
      <c r="L317" s="34"/>
      <c r="M317" s="62" t="str">
        <f aca="false">IF(L317="","",SUMPRODUCT(ISNUMBER(SEARCH(","&amp;EV_ID&amp;",",","&amp;SUBSTITUTE(L317," ","")&amp;","))*(EV_ID&lt;&gt;"")))</f>
        <v/>
      </c>
      <c r="N317" s="54" t="str">
        <f aca="false">IF(A317="","",IF(I317&lt;&gt;"Applicable",IF(I317="","Applicability not set","Not in scope ("&amp;I317&amp;")"),IF(OR(J317="",J317="Not answered"),"Awaiting supplier response",IF(J317="Not applicable","Supplier states not applicable - analyst to confirm",IF(L317="","Evidence insufficient - none referenced",IF(M317=0,"Evidence insufficient - referenced ID not found",IF(SUMPRODUCT(ISNUMBER(SEARCH(","&amp;EV_ID&amp;",",","&amp;SUBSTITUTE(L317," ","")&amp;","))*(EV_ID&lt;&gt;"")*(EV_SUFF="Sufficient"))&gt;0,"Evidence reviewed - sufficient",IF(SUMPRODUCT(ISNUMBER(SEARCH(","&amp;EV_ID&amp;",",","&amp;SUBSTITUTE(L317," ","")&amp;","))*(EV_ID&lt;&gt;"")*(EV_SUFF="Partially sufficient"))&gt;0,"Evidence partially sufficient","Evidence insufficient - referenced evidence not sufficient"))))))))</f>
        <v/>
      </c>
      <c r="O317" s="50"/>
      <c r="P317" s="34"/>
      <c r="Q317" s="34"/>
      <c r="R317" s="50"/>
      <c r="S317" s="51"/>
      <c r="T317" s="51"/>
      <c r="U317" s="52" t="str">
        <f aca="false">IF(OR(A317="",Q317=""),"",IF(AND(ISNUMBER(S317),S317&lt;AsOf,O317&lt;&gt;"Reviewed"),"Overdue",""))</f>
        <v/>
      </c>
      <c r="V317" s="54" t="str">
        <f aca="false">IF(A317="","",IF(COUNTIF(QA_ID,A317)&gt;1,"CHECK: duplicate ID",IF(B317="","CHECK: Supplier ID missing",IF(COUNTIF(INV_ID,B317)=0,"CHECK: Supplier ID not in inventory",IF(E317="","CHECK: Question ID missing",IF(COUNTIF(QB_ID,E317)=0,"CHECK: Question ID not in bank","OK"))))))</f>
        <v/>
      </c>
    </row>
    <row r="318" customFormat="false" ht="15" hidden="false" customHeight="false" outlineLevel="0" collapsed="false">
      <c r="A318" s="50"/>
      <c r="B318" s="50"/>
      <c r="C318" s="59" t="str">
        <f aca="false">IF(B318="","",IFERROR(INDEX(INV_NAME,MATCH(B318,INV_ID,0)),"CHECK: Supplier ID not found"))</f>
        <v/>
      </c>
      <c r="D318" s="63" t="str">
        <f aca="false">IF(B318="","",IFERROR(INDEX(INV_TIER,MATCH(B318,INV_ID,0)),""))</f>
        <v/>
      </c>
      <c r="E318" s="50"/>
      <c r="F318" s="59" t="str">
        <f aca="false">IF(E318="","",IFERROR(INDEX(QB_Q,MATCH(E318,QB_ID,0)),"CHECK: Question ID not found"))</f>
        <v/>
      </c>
      <c r="G318" s="59" t="str">
        <f aca="false">IF(E318="","",IFERROR(INDEX(QB_DOMAIN,MATCH(E318,QB_ID,0)),""))</f>
        <v/>
      </c>
      <c r="H318" s="54" t="str">
        <f aca="false">IF(OR(A318="",E318=""),"",IFERROR(IF(ISNUMBER(MATCH(D318,{"Low","Medium","High"},0)),IF(MATCH(D318,{"Low","Medium","High"},0)&gt;=MATCH(INDEX(QB_MINTIER,MATCH(E318,QB_ID,0)),{"Low","Medium","High"},0),"Recommended for tier","Optional for tier"),"Tier not determined"),"Check question"))</f>
        <v/>
      </c>
      <c r="I318" s="34"/>
      <c r="J318" s="50"/>
      <c r="K318" s="34"/>
      <c r="L318" s="34"/>
      <c r="M318" s="62" t="str">
        <f aca="false">IF(L318="","",SUMPRODUCT(ISNUMBER(SEARCH(","&amp;EV_ID&amp;",",","&amp;SUBSTITUTE(L318," ","")&amp;","))*(EV_ID&lt;&gt;"")))</f>
        <v/>
      </c>
      <c r="N318" s="54" t="str">
        <f aca="false">IF(A318="","",IF(I318&lt;&gt;"Applicable",IF(I318="","Applicability not set","Not in scope ("&amp;I318&amp;")"),IF(OR(J318="",J318="Not answered"),"Awaiting supplier response",IF(J318="Not applicable","Supplier states not applicable - analyst to confirm",IF(L318="","Evidence insufficient - none referenced",IF(M318=0,"Evidence insufficient - referenced ID not found",IF(SUMPRODUCT(ISNUMBER(SEARCH(","&amp;EV_ID&amp;",",","&amp;SUBSTITUTE(L318," ","")&amp;","))*(EV_ID&lt;&gt;"")*(EV_SUFF="Sufficient"))&gt;0,"Evidence reviewed - sufficient",IF(SUMPRODUCT(ISNUMBER(SEARCH(","&amp;EV_ID&amp;",",","&amp;SUBSTITUTE(L318," ","")&amp;","))*(EV_ID&lt;&gt;"")*(EV_SUFF="Partially sufficient"))&gt;0,"Evidence partially sufficient","Evidence insufficient - referenced evidence not sufficient"))))))))</f>
        <v/>
      </c>
      <c r="O318" s="50"/>
      <c r="P318" s="34"/>
      <c r="Q318" s="34"/>
      <c r="R318" s="50"/>
      <c r="S318" s="51"/>
      <c r="T318" s="51"/>
      <c r="U318" s="52" t="str">
        <f aca="false">IF(OR(A318="",Q318=""),"",IF(AND(ISNUMBER(S318),S318&lt;AsOf,O318&lt;&gt;"Reviewed"),"Overdue",""))</f>
        <v/>
      </c>
      <c r="V318" s="54" t="str">
        <f aca="false">IF(A318="","",IF(COUNTIF(QA_ID,A318)&gt;1,"CHECK: duplicate ID",IF(B318="","CHECK: Supplier ID missing",IF(COUNTIF(INV_ID,B318)=0,"CHECK: Supplier ID not in inventory",IF(E318="","CHECK: Question ID missing",IF(COUNTIF(QB_ID,E318)=0,"CHECK: Question ID not in bank","OK"))))))</f>
        <v/>
      </c>
    </row>
    <row r="319" customFormat="false" ht="15" hidden="false" customHeight="false" outlineLevel="0" collapsed="false">
      <c r="A319" s="50"/>
      <c r="B319" s="50"/>
      <c r="C319" s="59" t="str">
        <f aca="false">IF(B319="","",IFERROR(INDEX(INV_NAME,MATCH(B319,INV_ID,0)),"CHECK: Supplier ID not found"))</f>
        <v/>
      </c>
      <c r="D319" s="63" t="str">
        <f aca="false">IF(B319="","",IFERROR(INDEX(INV_TIER,MATCH(B319,INV_ID,0)),""))</f>
        <v/>
      </c>
      <c r="E319" s="50"/>
      <c r="F319" s="59" t="str">
        <f aca="false">IF(E319="","",IFERROR(INDEX(QB_Q,MATCH(E319,QB_ID,0)),"CHECK: Question ID not found"))</f>
        <v/>
      </c>
      <c r="G319" s="59" t="str">
        <f aca="false">IF(E319="","",IFERROR(INDEX(QB_DOMAIN,MATCH(E319,QB_ID,0)),""))</f>
        <v/>
      </c>
      <c r="H319" s="54" t="str">
        <f aca="false">IF(OR(A319="",E319=""),"",IFERROR(IF(ISNUMBER(MATCH(D319,{"Low","Medium","High"},0)),IF(MATCH(D319,{"Low","Medium","High"},0)&gt;=MATCH(INDEX(QB_MINTIER,MATCH(E319,QB_ID,0)),{"Low","Medium","High"},0),"Recommended for tier","Optional for tier"),"Tier not determined"),"Check question"))</f>
        <v/>
      </c>
      <c r="I319" s="34"/>
      <c r="J319" s="50"/>
      <c r="K319" s="34"/>
      <c r="L319" s="34"/>
      <c r="M319" s="62" t="str">
        <f aca="false">IF(L319="","",SUMPRODUCT(ISNUMBER(SEARCH(","&amp;EV_ID&amp;",",","&amp;SUBSTITUTE(L319," ","")&amp;","))*(EV_ID&lt;&gt;"")))</f>
        <v/>
      </c>
      <c r="N319" s="54" t="str">
        <f aca="false">IF(A319="","",IF(I319&lt;&gt;"Applicable",IF(I319="","Applicability not set","Not in scope ("&amp;I319&amp;")"),IF(OR(J319="",J319="Not answered"),"Awaiting supplier response",IF(J319="Not applicable","Supplier states not applicable - analyst to confirm",IF(L319="","Evidence insufficient - none referenced",IF(M319=0,"Evidence insufficient - referenced ID not found",IF(SUMPRODUCT(ISNUMBER(SEARCH(","&amp;EV_ID&amp;",",","&amp;SUBSTITUTE(L319," ","")&amp;","))*(EV_ID&lt;&gt;"")*(EV_SUFF="Sufficient"))&gt;0,"Evidence reviewed - sufficient",IF(SUMPRODUCT(ISNUMBER(SEARCH(","&amp;EV_ID&amp;",",","&amp;SUBSTITUTE(L319," ","")&amp;","))*(EV_ID&lt;&gt;"")*(EV_SUFF="Partially sufficient"))&gt;0,"Evidence partially sufficient","Evidence insufficient - referenced evidence not sufficient"))))))))</f>
        <v/>
      </c>
      <c r="O319" s="50"/>
      <c r="P319" s="34"/>
      <c r="Q319" s="34"/>
      <c r="R319" s="50"/>
      <c r="S319" s="51"/>
      <c r="T319" s="51"/>
      <c r="U319" s="52" t="str">
        <f aca="false">IF(OR(A319="",Q319=""),"",IF(AND(ISNUMBER(S319),S319&lt;AsOf,O319&lt;&gt;"Reviewed"),"Overdue",""))</f>
        <v/>
      </c>
      <c r="V319" s="54" t="str">
        <f aca="false">IF(A319="","",IF(COUNTIF(QA_ID,A319)&gt;1,"CHECK: duplicate ID",IF(B319="","CHECK: Supplier ID missing",IF(COUNTIF(INV_ID,B319)=0,"CHECK: Supplier ID not in inventory",IF(E319="","CHECK: Question ID missing",IF(COUNTIF(QB_ID,E319)=0,"CHECK: Question ID not in bank","OK"))))))</f>
        <v/>
      </c>
    </row>
    <row r="320" customFormat="false" ht="15" hidden="false" customHeight="false" outlineLevel="0" collapsed="false">
      <c r="A320" s="50"/>
      <c r="B320" s="50"/>
      <c r="C320" s="59" t="str">
        <f aca="false">IF(B320="","",IFERROR(INDEX(INV_NAME,MATCH(B320,INV_ID,0)),"CHECK: Supplier ID not found"))</f>
        <v/>
      </c>
      <c r="D320" s="63" t="str">
        <f aca="false">IF(B320="","",IFERROR(INDEX(INV_TIER,MATCH(B320,INV_ID,0)),""))</f>
        <v/>
      </c>
      <c r="E320" s="50"/>
      <c r="F320" s="59" t="str">
        <f aca="false">IF(E320="","",IFERROR(INDEX(QB_Q,MATCH(E320,QB_ID,0)),"CHECK: Question ID not found"))</f>
        <v/>
      </c>
      <c r="G320" s="59" t="str">
        <f aca="false">IF(E320="","",IFERROR(INDEX(QB_DOMAIN,MATCH(E320,QB_ID,0)),""))</f>
        <v/>
      </c>
      <c r="H320" s="54" t="str">
        <f aca="false">IF(OR(A320="",E320=""),"",IFERROR(IF(ISNUMBER(MATCH(D320,{"Low","Medium","High"},0)),IF(MATCH(D320,{"Low","Medium","High"},0)&gt;=MATCH(INDEX(QB_MINTIER,MATCH(E320,QB_ID,0)),{"Low","Medium","High"},0),"Recommended for tier","Optional for tier"),"Tier not determined"),"Check question"))</f>
        <v/>
      </c>
      <c r="I320" s="34"/>
      <c r="J320" s="50"/>
      <c r="K320" s="34"/>
      <c r="L320" s="34"/>
      <c r="M320" s="62" t="str">
        <f aca="false">IF(L320="","",SUMPRODUCT(ISNUMBER(SEARCH(","&amp;EV_ID&amp;",",","&amp;SUBSTITUTE(L320," ","")&amp;","))*(EV_ID&lt;&gt;"")))</f>
        <v/>
      </c>
      <c r="N320" s="54" t="str">
        <f aca="false">IF(A320="","",IF(I320&lt;&gt;"Applicable",IF(I320="","Applicability not set","Not in scope ("&amp;I320&amp;")"),IF(OR(J320="",J320="Not answered"),"Awaiting supplier response",IF(J320="Not applicable","Supplier states not applicable - analyst to confirm",IF(L320="","Evidence insufficient - none referenced",IF(M320=0,"Evidence insufficient - referenced ID not found",IF(SUMPRODUCT(ISNUMBER(SEARCH(","&amp;EV_ID&amp;",",","&amp;SUBSTITUTE(L320," ","")&amp;","))*(EV_ID&lt;&gt;"")*(EV_SUFF="Sufficient"))&gt;0,"Evidence reviewed - sufficient",IF(SUMPRODUCT(ISNUMBER(SEARCH(","&amp;EV_ID&amp;",",","&amp;SUBSTITUTE(L320," ","")&amp;","))*(EV_ID&lt;&gt;"")*(EV_SUFF="Partially sufficient"))&gt;0,"Evidence partially sufficient","Evidence insufficient - referenced evidence not sufficient"))))))))</f>
        <v/>
      </c>
      <c r="O320" s="50"/>
      <c r="P320" s="34"/>
      <c r="Q320" s="34"/>
      <c r="R320" s="50"/>
      <c r="S320" s="51"/>
      <c r="T320" s="51"/>
      <c r="U320" s="52" t="str">
        <f aca="false">IF(OR(A320="",Q320=""),"",IF(AND(ISNUMBER(S320),S320&lt;AsOf,O320&lt;&gt;"Reviewed"),"Overdue",""))</f>
        <v/>
      </c>
      <c r="V320" s="54" t="str">
        <f aca="false">IF(A320="","",IF(COUNTIF(QA_ID,A320)&gt;1,"CHECK: duplicate ID",IF(B320="","CHECK: Supplier ID missing",IF(COUNTIF(INV_ID,B320)=0,"CHECK: Supplier ID not in inventory",IF(E320="","CHECK: Question ID missing",IF(COUNTIF(QB_ID,E320)=0,"CHECK: Question ID not in bank","OK"))))))</f>
        <v/>
      </c>
    </row>
    <row r="321" customFormat="false" ht="15" hidden="false" customHeight="false" outlineLevel="0" collapsed="false">
      <c r="A321" s="50"/>
      <c r="B321" s="50"/>
      <c r="C321" s="59" t="str">
        <f aca="false">IF(B321="","",IFERROR(INDEX(INV_NAME,MATCH(B321,INV_ID,0)),"CHECK: Supplier ID not found"))</f>
        <v/>
      </c>
      <c r="D321" s="63" t="str">
        <f aca="false">IF(B321="","",IFERROR(INDEX(INV_TIER,MATCH(B321,INV_ID,0)),""))</f>
        <v/>
      </c>
      <c r="E321" s="50"/>
      <c r="F321" s="59" t="str">
        <f aca="false">IF(E321="","",IFERROR(INDEX(QB_Q,MATCH(E321,QB_ID,0)),"CHECK: Question ID not found"))</f>
        <v/>
      </c>
      <c r="G321" s="59" t="str">
        <f aca="false">IF(E321="","",IFERROR(INDEX(QB_DOMAIN,MATCH(E321,QB_ID,0)),""))</f>
        <v/>
      </c>
      <c r="H321" s="54" t="str">
        <f aca="false">IF(OR(A321="",E321=""),"",IFERROR(IF(ISNUMBER(MATCH(D321,{"Low","Medium","High"},0)),IF(MATCH(D321,{"Low","Medium","High"},0)&gt;=MATCH(INDEX(QB_MINTIER,MATCH(E321,QB_ID,0)),{"Low","Medium","High"},0),"Recommended for tier","Optional for tier"),"Tier not determined"),"Check question"))</f>
        <v/>
      </c>
      <c r="I321" s="34"/>
      <c r="J321" s="50"/>
      <c r="K321" s="34"/>
      <c r="L321" s="34"/>
      <c r="M321" s="62" t="str">
        <f aca="false">IF(L321="","",SUMPRODUCT(ISNUMBER(SEARCH(","&amp;EV_ID&amp;",",","&amp;SUBSTITUTE(L321," ","")&amp;","))*(EV_ID&lt;&gt;"")))</f>
        <v/>
      </c>
      <c r="N321" s="54" t="str">
        <f aca="false">IF(A321="","",IF(I321&lt;&gt;"Applicable",IF(I321="","Applicability not set","Not in scope ("&amp;I321&amp;")"),IF(OR(J321="",J321="Not answered"),"Awaiting supplier response",IF(J321="Not applicable","Supplier states not applicable - analyst to confirm",IF(L321="","Evidence insufficient - none referenced",IF(M321=0,"Evidence insufficient - referenced ID not found",IF(SUMPRODUCT(ISNUMBER(SEARCH(","&amp;EV_ID&amp;",",","&amp;SUBSTITUTE(L321," ","")&amp;","))*(EV_ID&lt;&gt;"")*(EV_SUFF="Sufficient"))&gt;0,"Evidence reviewed - sufficient",IF(SUMPRODUCT(ISNUMBER(SEARCH(","&amp;EV_ID&amp;",",","&amp;SUBSTITUTE(L321," ","")&amp;","))*(EV_ID&lt;&gt;"")*(EV_SUFF="Partially sufficient"))&gt;0,"Evidence partially sufficient","Evidence insufficient - referenced evidence not sufficient"))))))))</f>
        <v/>
      </c>
      <c r="O321" s="50"/>
      <c r="P321" s="34"/>
      <c r="Q321" s="34"/>
      <c r="R321" s="50"/>
      <c r="S321" s="51"/>
      <c r="T321" s="51"/>
      <c r="U321" s="52" t="str">
        <f aca="false">IF(OR(A321="",Q321=""),"",IF(AND(ISNUMBER(S321),S321&lt;AsOf,O321&lt;&gt;"Reviewed"),"Overdue",""))</f>
        <v/>
      </c>
      <c r="V321" s="54" t="str">
        <f aca="false">IF(A321="","",IF(COUNTIF(QA_ID,A321)&gt;1,"CHECK: duplicate ID",IF(B321="","CHECK: Supplier ID missing",IF(COUNTIF(INV_ID,B321)=0,"CHECK: Supplier ID not in inventory",IF(E321="","CHECK: Question ID missing",IF(COUNTIF(QB_ID,E321)=0,"CHECK: Question ID not in bank","OK"))))))</f>
        <v/>
      </c>
    </row>
    <row r="322" customFormat="false" ht="15" hidden="false" customHeight="false" outlineLevel="0" collapsed="false">
      <c r="A322" s="50"/>
      <c r="B322" s="50"/>
      <c r="C322" s="59" t="str">
        <f aca="false">IF(B322="","",IFERROR(INDEX(INV_NAME,MATCH(B322,INV_ID,0)),"CHECK: Supplier ID not found"))</f>
        <v/>
      </c>
      <c r="D322" s="63" t="str">
        <f aca="false">IF(B322="","",IFERROR(INDEX(INV_TIER,MATCH(B322,INV_ID,0)),""))</f>
        <v/>
      </c>
      <c r="E322" s="50"/>
      <c r="F322" s="59" t="str">
        <f aca="false">IF(E322="","",IFERROR(INDEX(QB_Q,MATCH(E322,QB_ID,0)),"CHECK: Question ID not found"))</f>
        <v/>
      </c>
      <c r="G322" s="59" t="str">
        <f aca="false">IF(E322="","",IFERROR(INDEX(QB_DOMAIN,MATCH(E322,QB_ID,0)),""))</f>
        <v/>
      </c>
      <c r="H322" s="54" t="str">
        <f aca="false">IF(OR(A322="",E322=""),"",IFERROR(IF(ISNUMBER(MATCH(D322,{"Low","Medium","High"},0)),IF(MATCH(D322,{"Low","Medium","High"},0)&gt;=MATCH(INDEX(QB_MINTIER,MATCH(E322,QB_ID,0)),{"Low","Medium","High"},0),"Recommended for tier","Optional for tier"),"Tier not determined"),"Check question"))</f>
        <v/>
      </c>
      <c r="I322" s="34"/>
      <c r="J322" s="50"/>
      <c r="K322" s="34"/>
      <c r="L322" s="34"/>
      <c r="M322" s="62" t="str">
        <f aca="false">IF(L322="","",SUMPRODUCT(ISNUMBER(SEARCH(","&amp;EV_ID&amp;",",","&amp;SUBSTITUTE(L322," ","")&amp;","))*(EV_ID&lt;&gt;"")))</f>
        <v/>
      </c>
      <c r="N322" s="54" t="str">
        <f aca="false">IF(A322="","",IF(I322&lt;&gt;"Applicable",IF(I322="","Applicability not set","Not in scope ("&amp;I322&amp;")"),IF(OR(J322="",J322="Not answered"),"Awaiting supplier response",IF(J322="Not applicable","Supplier states not applicable - analyst to confirm",IF(L322="","Evidence insufficient - none referenced",IF(M322=0,"Evidence insufficient - referenced ID not found",IF(SUMPRODUCT(ISNUMBER(SEARCH(","&amp;EV_ID&amp;",",","&amp;SUBSTITUTE(L322," ","")&amp;","))*(EV_ID&lt;&gt;"")*(EV_SUFF="Sufficient"))&gt;0,"Evidence reviewed - sufficient",IF(SUMPRODUCT(ISNUMBER(SEARCH(","&amp;EV_ID&amp;",",","&amp;SUBSTITUTE(L322," ","")&amp;","))*(EV_ID&lt;&gt;"")*(EV_SUFF="Partially sufficient"))&gt;0,"Evidence partially sufficient","Evidence insufficient - referenced evidence not sufficient"))))))))</f>
        <v/>
      </c>
      <c r="O322" s="50"/>
      <c r="P322" s="34"/>
      <c r="Q322" s="34"/>
      <c r="R322" s="50"/>
      <c r="S322" s="51"/>
      <c r="T322" s="51"/>
      <c r="U322" s="52" t="str">
        <f aca="false">IF(OR(A322="",Q322=""),"",IF(AND(ISNUMBER(S322),S322&lt;AsOf,O322&lt;&gt;"Reviewed"),"Overdue",""))</f>
        <v/>
      </c>
      <c r="V322" s="54" t="str">
        <f aca="false">IF(A322="","",IF(COUNTIF(QA_ID,A322)&gt;1,"CHECK: duplicate ID",IF(B322="","CHECK: Supplier ID missing",IF(COUNTIF(INV_ID,B322)=0,"CHECK: Supplier ID not in inventory",IF(E322="","CHECK: Question ID missing",IF(COUNTIF(QB_ID,E322)=0,"CHECK: Question ID not in bank","OK"))))))</f>
        <v/>
      </c>
    </row>
    <row r="323" customFormat="false" ht="15" hidden="false" customHeight="false" outlineLevel="0" collapsed="false">
      <c r="A323" s="50"/>
      <c r="B323" s="50"/>
      <c r="C323" s="59" t="str">
        <f aca="false">IF(B323="","",IFERROR(INDEX(INV_NAME,MATCH(B323,INV_ID,0)),"CHECK: Supplier ID not found"))</f>
        <v/>
      </c>
      <c r="D323" s="63" t="str">
        <f aca="false">IF(B323="","",IFERROR(INDEX(INV_TIER,MATCH(B323,INV_ID,0)),""))</f>
        <v/>
      </c>
      <c r="E323" s="50"/>
      <c r="F323" s="59" t="str">
        <f aca="false">IF(E323="","",IFERROR(INDEX(QB_Q,MATCH(E323,QB_ID,0)),"CHECK: Question ID not found"))</f>
        <v/>
      </c>
      <c r="G323" s="59" t="str">
        <f aca="false">IF(E323="","",IFERROR(INDEX(QB_DOMAIN,MATCH(E323,QB_ID,0)),""))</f>
        <v/>
      </c>
      <c r="H323" s="54" t="str">
        <f aca="false">IF(OR(A323="",E323=""),"",IFERROR(IF(ISNUMBER(MATCH(D323,{"Low","Medium","High"},0)),IF(MATCH(D323,{"Low","Medium","High"},0)&gt;=MATCH(INDEX(QB_MINTIER,MATCH(E323,QB_ID,0)),{"Low","Medium","High"},0),"Recommended for tier","Optional for tier"),"Tier not determined"),"Check question"))</f>
        <v/>
      </c>
      <c r="I323" s="34"/>
      <c r="J323" s="50"/>
      <c r="K323" s="34"/>
      <c r="L323" s="34"/>
      <c r="M323" s="62" t="str">
        <f aca="false">IF(L323="","",SUMPRODUCT(ISNUMBER(SEARCH(","&amp;EV_ID&amp;",",","&amp;SUBSTITUTE(L323," ","")&amp;","))*(EV_ID&lt;&gt;"")))</f>
        <v/>
      </c>
      <c r="N323" s="54" t="str">
        <f aca="false">IF(A323="","",IF(I323&lt;&gt;"Applicable",IF(I323="","Applicability not set","Not in scope ("&amp;I323&amp;")"),IF(OR(J323="",J323="Not answered"),"Awaiting supplier response",IF(J323="Not applicable","Supplier states not applicable - analyst to confirm",IF(L323="","Evidence insufficient - none referenced",IF(M323=0,"Evidence insufficient - referenced ID not found",IF(SUMPRODUCT(ISNUMBER(SEARCH(","&amp;EV_ID&amp;",",","&amp;SUBSTITUTE(L323," ","")&amp;","))*(EV_ID&lt;&gt;"")*(EV_SUFF="Sufficient"))&gt;0,"Evidence reviewed - sufficient",IF(SUMPRODUCT(ISNUMBER(SEARCH(","&amp;EV_ID&amp;",",","&amp;SUBSTITUTE(L323," ","")&amp;","))*(EV_ID&lt;&gt;"")*(EV_SUFF="Partially sufficient"))&gt;0,"Evidence partially sufficient","Evidence insufficient - referenced evidence not sufficient"))))))))</f>
        <v/>
      </c>
      <c r="O323" s="50"/>
      <c r="P323" s="34"/>
      <c r="Q323" s="34"/>
      <c r="R323" s="50"/>
      <c r="S323" s="51"/>
      <c r="T323" s="51"/>
      <c r="U323" s="52" t="str">
        <f aca="false">IF(OR(A323="",Q323=""),"",IF(AND(ISNUMBER(S323),S323&lt;AsOf,O323&lt;&gt;"Reviewed"),"Overdue",""))</f>
        <v/>
      </c>
      <c r="V323" s="54" t="str">
        <f aca="false">IF(A323="","",IF(COUNTIF(QA_ID,A323)&gt;1,"CHECK: duplicate ID",IF(B323="","CHECK: Supplier ID missing",IF(COUNTIF(INV_ID,B323)=0,"CHECK: Supplier ID not in inventory",IF(E323="","CHECK: Question ID missing",IF(COUNTIF(QB_ID,E323)=0,"CHECK: Question ID not in bank","OK"))))))</f>
        <v/>
      </c>
    </row>
    <row r="324" customFormat="false" ht="15" hidden="false" customHeight="false" outlineLevel="0" collapsed="false">
      <c r="A324" s="50"/>
      <c r="B324" s="50"/>
      <c r="C324" s="59" t="str">
        <f aca="false">IF(B324="","",IFERROR(INDEX(INV_NAME,MATCH(B324,INV_ID,0)),"CHECK: Supplier ID not found"))</f>
        <v/>
      </c>
      <c r="D324" s="63" t="str">
        <f aca="false">IF(B324="","",IFERROR(INDEX(INV_TIER,MATCH(B324,INV_ID,0)),""))</f>
        <v/>
      </c>
      <c r="E324" s="50"/>
      <c r="F324" s="59" t="str">
        <f aca="false">IF(E324="","",IFERROR(INDEX(QB_Q,MATCH(E324,QB_ID,0)),"CHECK: Question ID not found"))</f>
        <v/>
      </c>
      <c r="G324" s="59" t="str">
        <f aca="false">IF(E324="","",IFERROR(INDEX(QB_DOMAIN,MATCH(E324,QB_ID,0)),""))</f>
        <v/>
      </c>
      <c r="H324" s="54" t="str">
        <f aca="false">IF(OR(A324="",E324=""),"",IFERROR(IF(ISNUMBER(MATCH(D324,{"Low","Medium","High"},0)),IF(MATCH(D324,{"Low","Medium","High"},0)&gt;=MATCH(INDEX(QB_MINTIER,MATCH(E324,QB_ID,0)),{"Low","Medium","High"},0),"Recommended for tier","Optional for tier"),"Tier not determined"),"Check question"))</f>
        <v/>
      </c>
      <c r="I324" s="34"/>
      <c r="J324" s="50"/>
      <c r="K324" s="34"/>
      <c r="L324" s="34"/>
      <c r="M324" s="62" t="str">
        <f aca="false">IF(L324="","",SUMPRODUCT(ISNUMBER(SEARCH(","&amp;EV_ID&amp;",",","&amp;SUBSTITUTE(L324," ","")&amp;","))*(EV_ID&lt;&gt;"")))</f>
        <v/>
      </c>
      <c r="N324" s="54" t="str">
        <f aca="false">IF(A324="","",IF(I324&lt;&gt;"Applicable",IF(I324="","Applicability not set","Not in scope ("&amp;I324&amp;")"),IF(OR(J324="",J324="Not answered"),"Awaiting supplier response",IF(J324="Not applicable","Supplier states not applicable - analyst to confirm",IF(L324="","Evidence insufficient - none referenced",IF(M324=0,"Evidence insufficient - referenced ID not found",IF(SUMPRODUCT(ISNUMBER(SEARCH(","&amp;EV_ID&amp;",",","&amp;SUBSTITUTE(L324," ","")&amp;","))*(EV_ID&lt;&gt;"")*(EV_SUFF="Sufficient"))&gt;0,"Evidence reviewed - sufficient",IF(SUMPRODUCT(ISNUMBER(SEARCH(","&amp;EV_ID&amp;",",","&amp;SUBSTITUTE(L324," ","")&amp;","))*(EV_ID&lt;&gt;"")*(EV_SUFF="Partially sufficient"))&gt;0,"Evidence partially sufficient","Evidence insufficient - referenced evidence not sufficient"))))))))</f>
        <v/>
      </c>
      <c r="O324" s="50"/>
      <c r="P324" s="34"/>
      <c r="Q324" s="34"/>
      <c r="R324" s="50"/>
      <c r="S324" s="51"/>
      <c r="T324" s="51"/>
      <c r="U324" s="52" t="str">
        <f aca="false">IF(OR(A324="",Q324=""),"",IF(AND(ISNUMBER(S324),S324&lt;AsOf,O324&lt;&gt;"Reviewed"),"Overdue",""))</f>
        <v/>
      </c>
      <c r="V324" s="54" t="str">
        <f aca="false">IF(A324="","",IF(COUNTIF(QA_ID,A324)&gt;1,"CHECK: duplicate ID",IF(B324="","CHECK: Supplier ID missing",IF(COUNTIF(INV_ID,B324)=0,"CHECK: Supplier ID not in inventory",IF(E324="","CHECK: Question ID missing",IF(COUNTIF(QB_ID,E324)=0,"CHECK: Question ID not in bank","OK"))))))</f>
        <v/>
      </c>
    </row>
    <row r="325" customFormat="false" ht="15" hidden="false" customHeight="false" outlineLevel="0" collapsed="false">
      <c r="A325" s="50"/>
      <c r="B325" s="50"/>
      <c r="C325" s="59" t="str">
        <f aca="false">IF(B325="","",IFERROR(INDEX(INV_NAME,MATCH(B325,INV_ID,0)),"CHECK: Supplier ID not found"))</f>
        <v/>
      </c>
      <c r="D325" s="63" t="str">
        <f aca="false">IF(B325="","",IFERROR(INDEX(INV_TIER,MATCH(B325,INV_ID,0)),""))</f>
        <v/>
      </c>
      <c r="E325" s="50"/>
      <c r="F325" s="59" t="str">
        <f aca="false">IF(E325="","",IFERROR(INDEX(QB_Q,MATCH(E325,QB_ID,0)),"CHECK: Question ID not found"))</f>
        <v/>
      </c>
      <c r="G325" s="59" t="str">
        <f aca="false">IF(E325="","",IFERROR(INDEX(QB_DOMAIN,MATCH(E325,QB_ID,0)),""))</f>
        <v/>
      </c>
      <c r="H325" s="54" t="str">
        <f aca="false">IF(OR(A325="",E325=""),"",IFERROR(IF(ISNUMBER(MATCH(D325,{"Low","Medium","High"},0)),IF(MATCH(D325,{"Low","Medium","High"},0)&gt;=MATCH(INDEX(QB_MINTIER,MATCH(E325,QB_ID,0)),{"Low","Medium","High"},0),"Recommended for tier","Optional for tier"),"Tier not determined"),"Check question"))</f>
        <v/>
      </c>
      <c r="I325" s="34"/>
      <c r="J325" s="50"/>
      <c r="K325" s="34"/>
      <c r="L325" s="34"/>
      <c r="M325" s="62" t="str">
        <f aca="false">IF(L325="","",SUMPRODUCT(ISNUMBER(SEARCH(","&amp;EV_ID&amp;",",","&amp;SUBSTITUTE(L325," ","")&amp;","))*(EV_ID&lt;&gt;"")))</f>
        <v/>
      </c>
      <c r="N325" s="54" t="str">
        <f aca="false">IF(A325="","",IF(I325&lt;&gt;"Applicable",IF(I325="","Applicability not set","Not in scope ("&amp;I325&amp;")"),IF(OR(J325="",J325="Not answered"),"Awaiting supplier response",IF(J325="Not applicable","Supplier states not applicable - analyst to confirm",IF(L325="","Evidence insufficient - none referenced",IF(M325=0,"Evidence insufficient - referenced ID not found",IF(SUMPRODUCT(ISNUMBER(SEARCH(","&amp;EV_ID&amp;",",","&amp;SUBSTITUTE(L325," ","")&amp;","))*(EV_ID&lt;&gt;"")*(EV_SUFF="Sufficient"))&gt;0,"Evidence reviewed - sufficient",IF(SUMPRODUCT(ISNUMBER(SEARCH(","&amp;EV_ID&amp;",",","&amp;SUBSTITUTE(L325," ","")&amp;","))*(EV_ID&lt;&gt;"")*(EV_SUFF="Partially sufficient"))&gt;0,"Evidence partially sufficient","Evidence insufficient - referenced evidence not sufficient"))))))))</f>
        <v/>
      </c>
      <c r="O325" s="50"/>
      <c r="P325" s="34"/>
      <c r="Q325" s="34"/>
      <c r="R325" s="50"/>
      <c r="S325" s="51"/>
      <c r="T325" s="51"/>
      <c r="U325" s="52" t="str">
        <f aca="false">IF(OR(A325="",Q325=""),"",IF(AND(ISNUMBER(S325),S325&lt;AsOf,O325&lt;&gt;"Reviewed"),"Overdue",""))</f>
        <v/>
      </c>
      <c r="V325" s="54" t="str">
        <f aca="false">IF(A325="","",IF(COUNTIF(QA_ID,A325)&gt;1,"CHECK: duplicate ID",IF(B325="","CHECK: Supplier ID missing",IF(COUNTIF(INV_ID,B325)=0,"CHECK: Supplier ID not in inventory",IF(E325="","CHECK: Question ID missing",IF(COUNTIF(QB_ID,E325)=0,"CHECK: Question ID not in bank","OK"))))))</f>
        <v/>
      </c>
    </row>
    <row r="326" customFormat="false" ht="15" hidden="false" customHeight="false" outlineLevel="0" collapsed="false">
      <c r="A326" s="50"/>
      <c r="B326" s="50"/>
      <c r="C326" s="59" t="str">
        <f aca="false">IF(B326="","",IFERROR(INDEX(INV_NAME,MATCH(B326,INV_ID,0)),"CHECK: Supplier ID not found"))</f>
        <v/>
      </c>
      <c r="D326" s="63" t="str">
        <f aca="false">IF(B326="","",IFERROR(INDEX(INV_TIER,MATCH(B326,INV_ID,0)),""))</f>
        <v/>
      </c>
      <c r="E326" s="50"/>
      <c r="F326" s="59" t="str">
        <f aca="false">IF(E326="","",IFERROR(INDEX(QB_Q,MATCH(E326,QB_ID,0)),"CHECK: Question ID not found"))</f>
        <v/>
      </c>
      <c r="G326" s="59" t="str">
        <f aca="false">IF(E326="","",IFERROR(INDEX(QB_DOMAIN,MATCH(E326,QB_ID,0)),""))</f>
        <v/>
      </c>
      <c r="H326" s="54" t="str">
        <f aca="false">IF(OR(A326="",E326=""),"",IFERROR(IF(ISNUMBER(MATCH(D326,{"Low","Medium","High"},0)),IF(MATCH(D326,{"Low","Medium","High"},0)&gt;=MATCH(INDEX(QB_MINTIER,MATCH(E326,QB_ID,0)),{"Low","Medium","High"},0),"Recommended for tier","Optional for tier"),"Tier not determined"),"Check question"))</f>
        <v/>
      </c>
      <c r="I326" s="34"/>
      <c r="J326" s="50"/>
      <c r="K326" s="34"/>
      <c r="L326" s="34"/>
      <c r="M326" s="62" t="str">
        <f aca="false">IF(L326="","",SUMPRODUCT(ISNUMBER(SEARCH(","&amp;EV_ID&amp;",",","&amp;SUBSTITUTE(L326," ","")&amp;","))*(EV_ID&lt;&gt;"")))</f>
        <v/>
      </c>
      <c r="N326" s="54" t="str">
        <f aca="false">IF(A326="","",IF(I326&lt;&gt;"Applicable",IF(I326="","Applicability not set","Not in scope ("&amp;I326&amp;")"),IF(OR(J326="",J326="Not answered"),"Awaiting supplier response",IF(J326="Not applicable","Supplier states not applicable - analyst to confirm",IF(L326="","Evidence insufficient - none referenced",IF(M326=0,"Evidence insufficient - referenced ID not found",IF(SUMPRODUCT(ISNUMBER(SEARCH(","&amp;EV_ID&amp;",",","&amp;SUBSTITUTE(L326," ","")&amp;","))*(EV_ID&lt;&gt;"")*(EV_SUFF="Sufficient"))&gt;0,"Evidence reviewed - sufficient",IF(SUMPRODUCT(ISNUMBER(SEARCH(","&amp;EV_ID&amp;",",","&amp;SUBSTITUTE(L326," ","")&amp;","))*(EV_ID&lt;&gt;"")*(EV_SUFF="Partially sufficient"))&gt;0,"Evidence partially sufficient","Evidence insufficient - referenced evidence not sufficient"))))))))</f>
        <v/>
      </c>
      <c r="O326" s="50"/>
      <c r="P326" s="34"/>
      <c r="Q326" s="34"/>
      <c r="R326" s="50"/>
      <c r="S326" s="51"/>
      <c r="T326" s="51"/>
      <c r="U326" s="52" t="str">
        <f aca="false">IF(OR(A326="",Q326=""),"",IF(AND(ISNUMBER(S326),S326&lt;AsOf,O326&lt;&gt;"Reviewed"),"Overdue",""))</f>
        <v/>
      </c>
      <c r="V326" s="54" t="str">
        <f aca="false">IF(A326="","",IF(COUNTIF(QA_ID,A326)&gt;1,"CHECK: duplicate ID",IF(B326="","CHECK: Supplier ID missing",IF(COUNTIF(INV_ID,B326)=0,"CHECK: Supplier ID not in inventory",IF(E326="","CHECK: Question ID missing",IF(COUNTIF(QB_ID,E326)=0,"CHECK: Question ID not in bank","OK"))))))</f>
        <v/>
      </c>
    </row>
    <row r="327" customFormat="false" ht="15" hidden="false" customHeight="false" outlineLevel="0" collapsed="false">
      <c r="A327" s="50"/>
      <c r="B327" s="50"/>
      <c r="C327" s="59" t="str">
        <f aca="false">IF(B327="","",IFERROR(INDEX(INV_NAME,MATCH(B327,INV_ID,0)),"CHECK: Supplier ID not found"))</f>
        <v/>
      </c>
      <c r="D327" s="63" t="str">
        <f aca="false">IF(B327="","",IFERROR(INDEX(INV_TIER,MATCH(B327,INV_ID,0)),""))</f>
        <v/>
      </c>
      <c r="E327" s="50"/>
      <c r="F327" s="59" t="str">
        <f aca="false">IF(E327="","",IFERROR(INDEX(QB_Q,MATCH(E327,QB_ID,0)),"CHECK: Question ID not found"))</f>
        <v/>
      </c>
      <c r="G327" s="59" t="str">
        <f aca="false">IF(E327="","",IFERROR(INDEX(QB_DOMAIN,MATCH(E327,QB_ID,0)),""))</f>
        <v/>
      </c>
      <c r="H327" s="54" t="str">
        <f aca="false">IF(OR(A327="",E327=""),"",IFERROR(IF(ISNUMBER(MATCH(D327,{"Low","Medium","High"},0)),IF(MATCH(D327,{"Low","Medium","High"},0)&gt;=MATCH(INDEX(QB_MINTIER,MATCH(E327,QB_ID,0)),{"Low","Medium","High"},0),"Recommended for tier","Optional for tier"),"Tier not determined"),"Check question"))</f>
        <v/>
      </c>
      <c r="I327" s="34"/>
      <c r="J327" s="50"/>
      <c r="K327" s="34"/>
      <c r="L327" s="34"/>
      <c r="M327" s="62" t="str">
        <f aca="false">IF(L327="","",SUMPRODUCT(ISNUMBER(SEARCH(","&amp;EV_ID&amp;",",","&amp;SUBSTITUTE(L327," ","")&amp;","))*(EV_ID&lt;&gt;"")))</f>
        <v/>
      </c>
      <c r="N327" s="54" t="str">
        <f aca="false">IF(A327="","",IF(I327&lt;&gt;"Applicable",IF(I327="","Applicability not set","Not in scope ("&amp;I327&amp;")"),IF(OR(J327="",J327="Not answered"),"Awaiting supplier response",IF(J327="Not applicable","Supplier states not applicable - analyst to confirm",IF(L327="","Evidence insufficient - none referenced",IF(M327=0,"Evidence insufficient - referenced ID not found",IF(SUMPRODUCT(ISNUMBER(SEARCH(","&amp;EV_ID&amp;",",","&amp;SUBSTITUTE(L327," ","")&amp;","))*(EV_ID&lt;&gt;"")*(EV_SUFF="Sufficient"))&gt;0,"Evidence reviewed - sufficient",IF(SUMPRODUCT(ISNUMBER(SEARCH(","&amp;EV_ID&amp;",",","&amp;SUBSTITUTE(L327," ","")&amp;","))*(EV_ID&lt;&gt;"")*(EV_SUFF="Partially sufficient"))&gt;0,"Evidence partially sufficient","Evidence insufficient - referenced evidence not sufficient"))))))))</f>
        <v/>
      </c>
      <c r="O327" s="50"/>
      <c r="P327" s="34"/>
      <c r="Q327" s="34"/>
      <c r="R327" s="50"/>
      <c r="S327" s="51"/>
      <c r="T327" s="51"/>
      <c r="U327" s="52" t="str">
        <f aca="false">IF(OR(A327="",Q327=""),"",IF(AND(ISNUMBER(S327),S327&lt;AsOf,O327&lt;&gt;"Reviewed"),"Overdue",""))</f>
        <v/>
      </c>
      <c r="V327" s="54" t="str">
        <f aca="false">IF(A327="","",IF(COUNTIF(QA_ID,A327)&gt;1,"CHECK: duplicate ID",IF(B327="","CHECK: Supplier ID missing",IF(COUNTIF(INV_ID,B327)=0,"CHECK: Supplier ID not in inventory",IF(E327="","CHECK: Question ID missing",IF(COUNTIF(QB_ID,E327)=0,"CHECK: Question ID not in bank","OK"))))))</f>
        <v/>
      </c>
    </row>
    <row r="328" customFormat="false" ht="15" hidden="false" customHeight="false" outlineLevel="0" collapsed="false">
      <c r="A328" s="50"/>
      <c r="B328" s="50"/>
      <c r="C328" s="59" t="str">
        <f aca="false">IF(B328="","",IFERROR(INDEX(INV_NAME,MATCH(B328,INV_ID,0)),"CHECK: Supplier ID not found"))</f>
        <v/>
      </c>
      <c r="D328" s="63" t="str">
        <f aca="false">IF(B328="","",IFERROR(INDEX(INV_TIER,MATCH(B328,INV_ID,0)),""))</f>
        <v/>
      </c>
      <c r="E328" s="50"/>
      <c r="F328" s="59" t="str">
        <f aca="false">IF(E328="","",IFERROR(INDEX(QB_Q,MATCH(E328,QB_ID,0)),"CHECK: Question ID not found"))</f>
        <v/>
      </c>
      <c r="G328" s="59" t="str">
        <f aca="false">IF(E328="","",IFERROR(INDEX(QB_DOMAIN,MATCH(E328,QB_ID,0)),""))</f>
        <v/>
      </c>
      <c r="H328" s="54" t="str">
        <f aca="false">IF(OR(A328="",E328=""),"",IFERROR(IF(ISNUMBER(MATCH(D328,{"Low","Medium","High"},0)),IF(MATCH(D328,{"Low","Medium","High"},0)&gt;=MATCH(INDEX(QB_MINTIER,MATCH(E328,QB_ID,0)),{"Low","Medium","High"},0),"Recommended for tier","Optional for tier"),"Tier not determined"),"Check question"))</f>
        <v/>
      </c>
      <c r="I328" s="34"/>
      <c r="J328" s="50"/>
      <c r="K328" s="34"/>
      <c r="L328" s="34"/>
      <c r="M328" s="62" t="str">
        <f aca="false">IF(L328="","",SUMPRODUCT(ISNUMBER(SEARCH(","&amp;EV_ID&amp;",",","&amp;SUBSTITUTE(L328," ","")&amp;","))*(EV_ID&lt;&gt;"")))</f>
        <v/>
      </c>
      <c r="N328" s="54" t="str">
        <f aca="false">IF(A328="","",IF(I328&lt;&gt;"Applicable",IF(I328="","Applicability not set","Not in scope ("&amp;I328&amp;")"),IF(OR(J328="",J328="Not answered"),"Awaiting supplier response",IF(J328="Not applicable","Supplier states not applicable - analyst to confirm",IF(L328="","Evidence insufficient - none referenced",IF(M328=0,"Evidence insufficient - referenced ID not found",IF(SUMPRODUCT(ISNUMBER(SEARCH(","&amp;EV_ID&amp;",",","&amp;SUBSTITUTE(L328," ","")&amp;","))*(EV_ID&lt;&gt;"")*(EV_SUFF="Sufficient"))&gt;0,"Evidence reviewed - sufficient",IF(SUMPRODUCT(ISNUMBER(SEARCH(","&amp;EV_ID&amp;",",","&amp;SUBSTITUTE(L328," ","")&amp;","))*(EV_ID&lt;&gt;"")*(EV_SUFF="Partially sufficient"))&gt;0,"Evidence partially sufficient","Evidence insufficient - referenced evidence not sufficient"))))))))</f>
        <v/>
      </c>
      <c r="O328" s="50"/>
      <c r="P328" s="34"/>
      <c r="Q328" s="34"/>
      <c r="R328" s="50"/>
      <c r="S328" s="51"/>
      <c r="T328" s="51"/>
      <c r="U328" s="52" t="str">
        <f aca="false">IF(OR(A328="",Q328=""),"",IF(AND(ISNUMBER(S328),S328&lt;AsOf,O328&lt;&gt;"Reviewed"),"Overdue",""))</f>
        <v/>
      </c>
      <c r="V328" s="54" t="str">
        <f aca="false">IF(A328="","",IF(COUNTIF(QA_ID,A328)&gt;1,"CHECK: duplicate ID",IF(B328="","CHECK: Supplier ID missing",IF(COUNTIF(INV_ID,B328)=0,"CHECK: Supplier ID not in inventory",IF(E328="","CHECK: Question ID missing",IF(COUNTIF(QB_ID,E328)=0,"CHECK: Question ID not in bank","OK"))))))</f>
        <v/>
      </c>
    </row>
    <row r="329" customFormat="false" ht="15" hidden="false" customHeight="false" outlineLevel="0" collapsed="false">
      <c r="A329" s="50"/>
      <c r="B329" s="50"/>
      <c r="C329" s="59" t="str">
        <f aca="false">IF(B329="","",IFERROR(INDEX(INV_NAME,MATCH(B329,INV_ID,0)),"CHECK: Supplier ID not found"))</f>
        <v/>
      </c>
      <c r="D329" s="63" t="str">
        <f aca="false">IF(B329="","",IFERROR(INDEX(INV_TIER,MATCH(B329,INV_ID,0)),""))</f>
        <v/>
      </c>
      <c r="E329" s="50"/>
      <c r="F329" s="59" t="str">
        <f aca="false">IF(E329="","",IFERROR(INDEX(QB_Q,MATCH(E329,QB_ID,0)),"CHECK: Question ID not found"))</f>
        <v/>
      </c>
      <c r="G329" s="59" t="str">
        <f aca="false">IF(E329="","",IFERROR(INDEX(QB_DOMAIN,MATCH(E329,QB_ID,0)),""))</f>
        <v/>
      </c>
      <c r="H329" s="54" t="str">
        <f aca="false">IF(OR(A329="",E329=""),"",IFERROR(IF(ISNUMBER(MATCH(D329,{"Low","Medium","High"},0)),IF(MATCH(D329,{"Low","Medium","High"},0)&gt;=MATCH(INDEX(QB_MINTIER,MATCH(E329,QB_ID,0)),{"Low","Medium","High"},0),"Recommended for tier","Optional for tier"),"Tier not determined"),"Check question"))</f>
        <v/>
      </c>
      <c r="I329" s="34"/>
      <c r="J329" s="50"/>
      <c r="K329" s="34"/>
      <c r="L329" s="34"/>
      <c r="M329" s="62" t="str">
        <f aca="false">IF(L329="","",SUMPRODUCT(ISNUMBER(SEARCH(","&amp;EV_ID&amp;",",","&amp;SUBSTITUTE(L329," ","")&amp;","))*(EV_ID&lt;&gt;"")))</f>
        <v/>
      </c>
      <c r="N329" s="54" t="str">
        <f aca="false">IF(A329="","",IF(I329&lt;&gt;"Applicable",IF(I329="","Applicability not set","Not in scope ("&amp;I329&amp;")"),IF(OR(J329="",J329="Not answered"),"Awaiting supplier response",IF(J329="Not applicable","Supplier states not applicable - analyst to confirm",IF(L329="","Evidence insufficient - none referenced",IF(M329=0,"Evidence insufficient - referenced ID not found",IF(SUMPRODUCT(ISNUMBER(SEARCH(","&amp;EV_ID&amp;",",","&amp;SUBSTITUTE(L329," ","")&amp;","))*(EV_ID&lt;&gt;"")*(EV_SUFF="Sufficient"))&gt;0,"Evidence reviewed - sufficient",IF(SUMPRODUCT(ISNUMBER(SEARCH(","&amp;EV_ID&amp;",",","&amp;SUBSTITUTE(L329," ","")&amp;","))*(EV_ID&lt;&gt;"")*(EV_SUFF="Partially sufficient"))&gt;0,"Evidence partially sufficient","Evidence insufficient - referenced evidence not sufficient"))))))))</f>
        <v/>
      </c>
      <c r="O329" s="50"/>
      <c r="P329" s="34"/>
      <c r="Q329" s="34"/>
      <c r="R329" s="50"/>
      <c r="S329" s="51"/>
      <c r="T329" s="51"/>
      <c r="U329" s="52" t="str">
        <f aca="false">IF(OR(A329="",Q329=""),"",IF(AND(ISNUMBER(S329),S329&lt;AsOf,O329&lt;&gt;"Reviewed"),"Overdue",""))</f>
        <v/>
      </c>
      <c r="V329" s="54" t="str">
        <f aca="false">IF(A329="","",IF(COUNTIF(QA_ID,A329)&gt;1,"CHECK: duplicate ID",IF(B329="","CHECK: Supplier ID missing",IF(COUNTIF(INV_ID,B329)=0,"CHECK: Supplier ID not in inventory",IF(E329="","CHECK: Question ID missing",IF(COUNTIF(QB_ID,E329)=0,"CHECK: Question ID not in bank","OK"))))))</f>
        <v/>
      </c>
    </row>
    <row r="330" customFormat="false" ht="15" hidden="false" customHeight="false" outlineLevel="0" collapsed="false">
      <c r="A330" s="50"/>
      <c r="B330" s="50"/>
      <c r="C330" s="59" t="str">
        <f aca="false">IF(B330="","",IFERROR(INDEX(INV_NAME,MATCH(B330,INV_ID,0)),"CHECK: Supplier ID not found"))</f>
        <v/>
      </c>
      <c r="D330" s="63" t="str">
        <f aca="false">IF(B330="","",IFERROR(INDEX(INV_TIER,MATCH(B330,INV_ID,0)),""))</f>
        <v/>
      </c>
      <c r="E330" s="50"/>
      <c r="F330" s="59" t="str">
        <f aca="false">IF(E330="","",IFERROR(INDEX(QB_Q,MATCH(E330,QB_ID,0)),"CHECK: Question ID not found"))</f>
        <v/>
      </c>
      <c r="G330" s="59" t="str">
        <f aca="false">IF(E330="","",IFERROR(INDEX(QB_DOMAIN,MATCH(E330,QB_ID,0)),""))</f>
        <v/>
      </c>
      <c r="H330" s="54" t="str">
        <f aca="false">IF(OR(A330="",E330=""),"",IFERROR(IF(ISNUMBER(MATCH(D330,{"Low","Medium","High"},0)),IF(MATCH(D330,{"Low","Medium","High"},0)&gt;=MATCH(INDEX(QB_MINTIER,MATCH(E330,QB_ID,0)),{"Low","Medium","High"},0),"Recommended for tier","Optional for tier"),"Tier not determined"),"Check question"))</f>
        <v/>
      </c>
      <c r="I330" s="34"/>
      <c r="J330" s="50"/>
      <c r="K330" s="34"/>
      <c r="L330" s="34"/>
      <c r="M330" s="62" t="str">
        <f aca="false">IF(L330="","",SUMPRODUCT(ISNUMBER(SEARCH(","&amp;EV_ID&amp;",",","&amp;SUBSTITUTE(L330," ","")&amp;","))*(EV_ID&lt;&gt;"")))</f>
        <v/>
      </c>
      <c r="N330" s="54" t="str">
        <f aca="false">IF(A330="","",IF(I330&lt;&gt;"Applicable",IF(I330="","Applicability not set","Not in scope ("&amp;I330&amp;")"),IF(OR(J330="",J330="Not answered"),"Awaiting supplier response",IF(J330="Not applicable","Supplier states not applicable - analyst to confirm",IF(L330="","Evidence insufficient - none referenced",IF(M330=0,"Evidence insufficient - referenced ID not found",IF(SUMPRODUCT(ISNUMBER(SEARCH(","&amp;EV_ID&amp;",",","&amp;SUBSTITUTE(L330," ","")&amp;","))*(EV_ID&lt;&gt;"")*(EV_SUFF="Sufficient"))&gt;0,"Evidence reviewed - sufficient",IF(SUMPRODUCT(ISNUMBER(SEARCH(","&amp;EV_ID&amp;",",","&amp;SUBSTITUTE(L330," ","")&amp;","))*(EV_ID&lt;&gt;"")*(EV_SUFF="Partially sufficient"))&gt;0,"Evidence partially sufficient","Evidence insufficient - referenced evidence not sufficient"))))))))</f>
        <v/>
      </c>
      <c r="O330" s="50"/>
      <c r="P330" s="34"/>
      <c r="Q330" s="34"/>
      <c r="R330" s="50"/>
      <c r="S330" s="51"/>
      <c r="T330" s="51"/>
      <c r="U330" s="52" t="str">
        <f aca="false">IF(OR(A330="",Q330=""),"",IF(AND(ISNUMBER(S330),S330&lt;AsOf,O330&lt;&gt;"Reviewed"),"Overdue",""))</f>
        <v/>
      </c>
      <c r="V330" s="54" t="str">
        <f aca="false">IF(A330="","",IF(COUNTIF(QA_ID,A330)&gt;1,"CHECK: duplicate ID",IF(B330="","CHECK: Supplier ID missing",IF(COUNTIF(INV_ID,B330)=0,"CHECK: Supplier ID not in inventory",IF(E330="","CHECK: Question ID missing",IF(COUNTIF(QB_ID,E330)=0,"CHECK: Question ID not in bank","OK"))))))</f>
        <v/>
      </c>
    </row>
    <row r="331" customFormat="false" ht="15" hidden="false" customHeight="false" outlineLevel="0" collapsed="false">
      <c r="A331" s="50"/>
      <c r="B331" s="50"/>
      <c r="C331" s="59" t="str">
        <f aca="false">IF(B331="","",IFERROR(INDEX(INV_NAME,MATCH(B331,INV_ID,0)),"CHECK: Supplier ID not found"))</f>
        <v/>
      </c>
      <c r="D331" s="63" t="str">
        <f aca="false">IF(B331="","",IFERROR(INDEX(INV_TIER,MATCH(B331,INV_ID,0)),""))</f>
        <v/>
      </c>
      <c r="E331" s="50"/>
      <c r="F331" s="59" t="str">
        <f aca="false">IF(E331="","",IFERROR(INDEX(QB_Q,MATCH(E331,QB_ID,0)),"CHECK: Question ID not found"))</f>
        <v/>
      </c>
      <c r="G331" s="59" t="str">
        <f aca="false">IF(E331="","",IFERROR(INDEX(QB_DOMAIN,MATCH(E331,QB_ID,0)),""))</f>
        <v/>
      </c>
      <c r="H331" s="54" t="str">
        <f aca="false">IF(OR(A331="",E331=""),"",IFERROR(IF(ISNUMBER(MATCH(D331,{"Low","Medium","High"},0)),IF(MATCH(D331,{"Low","Medium","High"},0)&gt;=MATCH(INDEX(QB_MINTIER,MATCH(E331,QB_ID,0)),{"Low","Medium","High"},0),"Recommended for tier","Optional for tier"),"Tier not determined"),"Check question"))</f>
        <v/>
      </c>
      <c r="I331" s="34"/>
      <c r="J331" s="50"/>
      <c r="K331" s="34"/>
      <c r="L331" s="34"/>
      <c r="M331" s="62" t="str">
        <f aca="false">IF(L331="","",SUMPRODUCT(ISNUMBER(SEARCH(","&amp;EV_ID&amp;",",","&amp;SUBSTITUTE(L331," ","")&amp;","))*(EV_ID&lt;&gt;"")))</f>
        <v/>
      </c>
      <c r="N331" s="54" t="str">
        <f aca="false">IF(A331="","",IF(I331&lt;&gt;"Applicable",IF(I331="","Applicability not set","Not in scope ("&amp;I331&amp;")"),IF(OR(J331="",J331="Not answered"),"Awaiting supplier response",IF(J331="Not applicable","Supplier states not applicable - analyst to confirm",IF(L331="","Evidence insufficient - none referenced",IF(M331=0,"Evidence insufficient - referenced ID not found",IF(SUMPRODUCT(ISNUMBER(SEARCH(","&amp;EV_ID&amp;",",","&amp;SUBSTITUTE(L331," ","")&amp;","))*(EV_ID&lt;&gt;"")*(EV_SUFF="Sufficient"))&gt;0,"Evidence reviewed - sufficient",IF(SUMPRODUCT(ISNUMBER(SEARCH(","&amp;EV_ID&amp;",",","&amp;SUBSTITUTE(L331," ","")&amp;","))*(EV_ID&lt;&gt;"")*(EV_SUFF="Partially sufficient"))&gt;0,"Evidence partially sufficient","Evidence insufficient - referenced evidence not sufficient"))))))))</f>
        <v/>
      </c>
      <c r="O331" s="50"/>
      <c r="P331" s="34"/>
      <c r="Q331" s="34"/>
      <c r="R331" s="50"/>
      <c r="S331" s="51"/>
      <c r="T331" s="51"/>
      <c r="U331" s="52" t="str">
        <f aca="false">IF(OR(A331="",Q331=""),"",IF(AND(ISNUMBER(S331),S331&lt;AsOf,O331&lt;&gt;"Reviewed"),"Overdue",""))</f>
        <v/>
      </c>
      <c r="V331" s="54" t="str">
        <f aca="false">IF(A331="","",IF(COUNTIF(QA_ID,A331)&gt;1,"CHECK: duplicate ID",IF(B331="","CHECK: Supplier ID missing",IF(COUNTIF(INV_ID,B331)=0,"CHECK: Supplier ID not in inventory",IF(E331="","CHECK: Question ID missing",IF(COUNTIF(QB_ID,E331)=0,"CHECK: Question ID not in bank","OK"))))))</f>
        <v/>
      </c>
    </row>
    <row r="332" customFormat="false" ht="15" hidden="false" customHeight="false" outlineLevel="0" collapsed="false">
      <c r="A332" s="50"/>
      <c r="B332" s="50"/>
      <c r="C332" s="59" t="str">
        <f aca="false">IF(B332="","",IFERROR(INDEX(INV_NAME,MATCH(B332,INV_ID,0)),"CHECK: Supplier ID not found"))</f>
        <v/>
      </c>
      <c r="D332" s="63" t="str">
        <f aca="false">IF(B332="","",IFERROR(INDEX(INV_TIER,MATCH(B332,INV_ID,0)),""))</f>
        <v/>
      </c>
      <c r="E332" s="50"/>
      <c r="F332" s="59" t="str">
        <f aca="false">IF(E332="","",IFERROR(INDEX(QB_Q,MATCH(E332,QB_ID,0)),"CHECK: Question ID not found"))</f>
        <v/>
      </c>
      <c r="G332" s="59" t="str">
        <f aca="false">IF(E332="","",IFERROR(INDEX(QB_DOMAIN,MATCH(E332,QB_ID,0)),""))</f>
        <v/>
      </c>
      <c r="H332" s="54" t="str">
        <f aca="false">IF(OR(A332="",E332=""),"",IFERROR(IF(ISNUMBER(MATCH(D332,{"Low","Medium","High"},0)),IF(MATCH(D332,{"Low","Medium","High"},0)&gt;=MATCH(INDEX(QB_MINTIER,MATCH(E332,QB_ID,0)),{"Low","Medium","High"},0),"Recommended for tier","Optional for tier"),"Tier not determined"),"Check question"))</f>
        <v/>
      </c>
      <c r="I332" s="34"/>
      <c r="J332" s="50"/>
      <c r="K332" s="34"/>
      <c r="L332" s="34"/>
      <c r="M332" s="62" t="str">
        <f aca="false">IF(L332="","",SUMPRODUCT(ISNUMBER(SEARCH(","&amp;EV_ID&amp;",",","&amp;SUBSTITUTE(L332," ","")&amp;","))*(EV_ID&lt;&gt;"")))</f>
        <v/>
      </c>
      <c r="N332" s="54" t="str">
        <f aca="false">IF(A332="","",IF(I332&lt;&gt;"Applicable",IF(I332="","Applicability not set","Not in scope ("&amp;I332&amp;")"),IF(OR(J332="",J332="Not answered"),"Awaiting supplier response",IF(J332="Not applicable","Supplier states not applicable - analyst to confirm",IF(L332="","Evidence insufficient - none referenced",IF(M332=0,"Evidence insufficient - referenced ID not found",IF(SUMPRODUCT(ISNUMBER(SEARCH(","&amp;EV_ID&amp;",",","&amp;SUBSTITUTE(L332," ","")&amp;","))*(EV_ID&lt;&gt;"")*(EV_SUFF="Sufficient"))&gt;0,"Evidence reviewed - sufficient",IF(SUMPRODUCT(ISNUMBER(SEARCH(","&amp;EV_ID&amp;",",","&amp;SUBSTITUTE(L332," ","")&amp;","))*(EV_ID&lt;&gt;"")*(EV_SUFF="Partially sufficient"))&gt;0,"Evidence partially sufficient","Evidence insufficient - referenced evidence not sufficient"))))))))</f>
        <v/>
      </c>
      <c r="O332" s="50"/>
      <c r="P332" s="34"/>
      <c r="Q332" s="34"/>
      <c r="R332" s="50"/>
      <c r="S332" s="51"/>
      <c r="T332" s="51"/>
      <c r="U332" s="52" t="str">
        <f aca="false">IF(OR(A332="",Q332=""),"",IF(AND(ISNUMBER(S332),S332&lt;AsOf,O332&lt;&gt;"Reviewed"),"Overdue",""))</f>
        <v/>
      </c>
      <c r="V332" s="54" t="str">
        <f aca="false">IF(A332="","",IF(COUNTIF(QA_ID,A332)&gt;1,"CHECK: duplicate ID",IF(B332="","CHECK: Supplier ID missing",IF(COUNTIF(INV_ID,B332)=0,"CHECK: Supplier ID not in inventory",IF(E332="","CHECK: Question ID missing",IF(COUNTIF(QB_ID,E332)=0,"CHECK: Question ID not in bank","OK"))))))</f>
        <v/>
      </c>
    </row>
    <row r="333" customFormat="false" ht="15" hidden="false" customHeight="false" outlineLevel="0" collapsed="false">
      <c r="A333" s="50"/>
      <c r="B333" s="50"/>
      <c r="C333" s="59" t="str">
        <f aca="false">IF(B333="","",IFERROR(INDEX(INV_NAME,MATCH(B333,INV_ID,0)),"CHECK: Supplier ID not found"))</f>
        <v/>
      </c>
      <c r="D333" s="63" t="str">
        <f aca="false">IF(B333="","",IFERROR(INDEX(INV_TIER,MATCH(B333,INV_ID,0)),""))</f>
        <v/>
      </c>
      <c r="E333" s="50"/>
      <c r="F333" s="59" t="str">
        <f aca="false">IF(E333="","",IFERROR(INDEX(QB_Q,MATCH(E333,QB_ID,0)),"CHECK: Question ID not found"))</f>
        <v/>
      </c>
      <c r="G333" s="59" t="str">
        <f aca="false">IF(E333="","",IFERROR(INDEX(QB_DOMAIN,MATCH(E333,QB_ID,0)),""))</f>
        <v/>
      </c>
      <c r="H333" s="54" t="str">
        <f aca="false">IF(OR(A333="",E333=""),"",IFERROR(IF(ISNUMBER(MATCH(D333,{"Low","Medium","High"},0)),IF(MATCH(D333,{"Low","Medium","High"},0)&gt;=MATCH(INDEX(QB_MINTIER,MATCH(E333,QB_ID,0)),{"Low","Medium","High"},0),"Recommended for tier","Optional for tier"),"Tier not determined"),"Check question"))</f>
        <v/>
      </c>
      <c r="I333" s="34"/>
      <c r="J333" s="50"/>
      <c r="K333" s="34"/>
      <c r="L333" s="34"/>
      <c r="M333" s="62" t="str">
        <f aca="false">IF(L333="","",SUMPRODUCT(ISNUMBER(SEARCH(","&amp;EV_ID&amp;",",","&amp;SUBSTITUTE(L333," ","")&amp;","))*(EV_ID&lt;&gt;"")))</f>
        <v/>
      </c>
      <c r="N333" s="54" t="str">
        <f aca="false">IF(A333="","",IF(I333&lt;&gt;"Applicable",IF(I333="","Applicability not set","Not in scope ("&amp;I333&amp;")"),IF(OR(J333="",J333="Not answered"),"Awaiting supplier response",IF(J333="Not applicable","Supplier states not applicable - analyst to confirm",IF(L333="","Evidence insufficient - none referenced",IF(M333=0,"Evidence insufficient - referenced ID not found",IF(SUMPRODUCT(ISNUMBER(SEARCH(","&amp;EV_ID&amp;",",","&amp;SUBSTITUTE(L333," ","")&amp;","))*(EV_ID&lt;&gt;"")*(EV_SUFF="Sufficient"))&gt;0,"Evidence reviewed - sufficient",IF(SUMPRODUCT(ISNUMBER(SEARCH(","&amp;EV_ID&amp;",",","&amp;SUBSTITUTE(L333," ","")&amp;","))*(EV_ID&lt;&gt;"")*(EV_SUFF="Partially sufficient"))&gt;0,"Evidence partially sufficient","Evidence insufficient - referenced evidence not sufficient"))))))))</f>
        <v/>
      </c>
      <c r="O333" s="50"/>
      <c r="P333" s="34"/>
      <c r="Q333" s="34"/>
      <c r="R333" s="50"/>
      <c r="S333" s="51"/>
      <c r="T333" s="51"/>
      <c r="U333" s="52" t="str">
        <f aca="false">IF(OR(A333="",Q333=""),"",IF(AND(ISNUMBER(S333),S333&lt;AsOf,O333&lt;&gt;"Reviewed"),"Overdue",""))</f>
        <v/>
      </c>
      <c r="V333" s="54" t="str">
        <f aca="false">IF(A333="","",IF(COUNTIF(QA_ID,A333)&gt;1,"CHECK: duplicate ID",IF(B333="","CHECK: Supplier ID missing",IF(COUNTIF(INV_ID,B333)=0,"CHECK: Supplier ID not in inventory",IF(E333="","CHECK: Question ID missing",IF(COUNTIF(QB_ID,E333)=0,"CHECK: Question ID not in bank","OK"))))))</f>
        <v/>
      </c>
    </row>
    <row r="334" customFormat="false" ht="15" hidden="false" customHeight="false" outlineLevel="0" collapsed="false">
      <c r="A334" s="50"/>
      <c r="B334" s="50"/>
      <c r="C334" s="59" t="str">
        <f aca="false">IF(B334="","",IFERROR(INDEX(INV_NAME,MATCH(B334,INV_ID,0)),"CHECK: Supplier ID not found"))</f>
        <v/>
      </c>
      <c r="D334" s="63" t="str">
        <f aca="false">IF(B334="","",IFERROR(INDEX(INV_TIER,MATCH(B334,INV_ID,0)),""))</f>
        <v/>
      </c>
      <c r="E334" s="50"/>
      <c r="F334" s="59" t="str">
        <f aca="false">IF(E334="","",IFERROR(INDEX(QB_Q,MATCH(E334,QB_ID,0)),"CHECK: Question ID not found"))</f>
        <v/>
      </c>
      <c r="G334" s="59" t="str">
        <f aca="false">IF(E334="","",IFERROR(INDEX(QB_DOMAIN,MATCH(E334,QB_ID,0)),""))</f>
        <v/>
      </c>
      <c r="H334" s="54" t="str">
        <f aca="false">IF(OR(A334="",E334=""),"",IFERROR(IF(ISNUMBER(MATCH(D334,{"Low","Medium","High"},0)),IF(MATCH(D334,{"Low","Medium","High"},0)&gt;=MATCH(INDEX(QB_MINTIER,MATCH(E334,QB_ID,0)),{"Low","Medium","High"},0),"Recommended for tier","Optional for tier"),"Tier not determined"),"Check question"))</f>
        <v/>
      </c>
      <c r="I334" s="34"/>
      <c r="J334" s="50"/>
      <c r="K334" s="34"/>
      <c r="L334" s="34"/>
      <c r="M334" s="62" t="str">
        <f aca="false">IF(L334="","",SUMPRODUCT(ISNUMBER(SEARCH(","&amp;EV_ID&amp;",",","&amp;SUBSTITUTE(L334," ","")&amp;","))*(EV_ID&lt;&gt;"")))</f>
        <v/>
      </c>
      <c r="N334" s="54" t="str">
        <f aca="false">IF(A334="","",IF(I334&lt;&gt;"Applicable",IF(I334="","Applicability not set","Not in scope ("&amp;I334&amp;")"),IF(OR(J334="",J334="Not answered"),"Awaiting supplier response",IF(J334="Not applicable","Supplier states not applicable - analyst to confirm",IF(L334="","Evidence insufficient - none referenced",IF(M334=0,"Evidence insufficient - referenced ID not found",IF(SUMPRODUCT(ISNUMBER(SEARCH(","&amp;EV_ID&amp;",",","&amp;SUBSTITUTE(L334," ","")&amp;","))*(EV_ID&lt;&gt;"")*(EV_SUFF="Sufficient"))&gt;0,"Evidence reviewed - sufficient",IF(SUMPRODUCT(ISNUMBER(SEARCH(","&amp;EV_ID&amp;",",","&amp;SUBSTITUTE(L334," ","")&amp;","))*(EV_ID&lt;&gt;"")*(EV_SUFF="Partially sufficient"))&gt;0,"Evidence partially sufficient","Evidence insufficient - referenced evidence not sufficient"))))))))</f>
        <v/>
      </c>
      <c r="O334" s="50"/>
      <c r="P334" s="34"/>
      <c r="Q334" s="34"/>
      <c r="R334" s="50"/>
      <c r="S334" s="51"/>
      <c r="T334" s="51"/>
      <c r="U334" s="52" t="str">
        <f aca="false">IF(OR(A334="",Q334=""),"",IF(AND(ISNUMBER(S334),S334&lt;AsOf,O334&lt;&gt;"Reviewed"),"Overdue",""))</f>
        <v/>
      </c>
      <c r="V334" s="54" t="str">
        <f aca="false">IF(A334="","",IF(COUNTIF(QA_ID,A334)&gt;1,"CHECK: duplicate ID",IF(B334="","CHECK: Supplier ID missing",IF(COUNTIF(INV_ID,B334)=0,"CHECK: Supplier ID not in inventory",IF(E334="","CHECK: Question ID missing",IF(COUNTIF(QB_ID,E334)=0,"CHECK: Question ID not in bank","OK"))))))</f>
        <v/>
      </c>
    </row>
    <row r="335" customFormat="false" ht="15" hidden="false" customHeight="false" outlineLevel="0" collapsed="false">
      <c r="A335" s="50"/>
      <c r="B335" s="50"/>
      <c r="C335" s="59" t="str">
        <f aca="false">IF(B335="","",IFERROR(INDEX(INV_NAME,MATCH(B335,INV_ID,0)),"CHECK: Supplier ID not found"))</f>
        <v/>
      </c>
      <c r="D335" s="63" t="str">
        <f aca="false">IF(B335="","",IFERROR(INDEX(INV_TIER,MATCH(B335,INV_ID,0)),""))</f>
        <v/>
      </c>
      <c r="E335" s="50"/>
      <c r="F335" s="59" t="str">
        <f aca="false">IF(E335="","",IFERROR(INDEX(QB_Q,MATCH(E335,QB_ID,0)),"CHECK: Question ID not found"))</f>
        <v/>
      </c>
      <c r="G335" s="59" t="str">
        <f aca="false">IF(E335="","",IFERROR(INDEX(QB_DOMAIN,MATCH(E335,QB_ID,0)),""))</f>
        <v/>
      </c>
      <c r="H335" s="54" t="str">
        <f aca="false">IF(OR(A335="",E335=""),"",IFERROR(IF(ISNUMBER(MATCH(D335,{"Low","Medium","High"},0)),IF(MATCH(D335,{"Low","Medium","High"},0)&gt;=MATCH(INDEX(QB_MINTIER,MATCH(E335,QB_ID,0)),{"Low","Medium","High"},0),"Recommended for tier","Optional for tier"),"Tier not determined"),"Check question"))</f>
        <v/>
      </c>
      <c r="I335" s="34"/>
      <c r="J335" s="50"/>
      <c r="K335" s="34"/>
      <c r="L335" s="34"/>
      <c r="M335" s="62" t="str">
        <f aca="false">IF(L335="","",SUMPRODUCT(ISNUMBER(SEARCH(","&amp;EV_ID&amp;",",","&amp;SUBSTITUTE(L335," ","")&amp;","))*(EV_ID&lt;&gt;"")))</f>
        <v/>
      </c>
      <c r="N335" s="54" t="str">
        <f aca="false">IF(A335="","",IF(I335&lt;&gt;"Applicable",IF(I335="","Applicability not set","Not in scope ("&amp;I335&amp;")"),IF(OR(J335="",J335="Not answered"),"Awaiting supplier response",IF(J335="Not applicable","Supplier states not applicable - analyst to confirm",IF(L335="","Evidence insufficient - none referenced",IF(M335=0,"Evidence insufficient - referenced ID not found",IF(SUMPRODUCT(ISNUMBER(SEARCH(","&amp;EV_ID&amp;",",","&amp;SUBSTITUTE(L335," ","")&amp;","))*(EV_ID&lt;&gt;"")*(EV_SUFF="Sufficient"))&gt;0,"Evidence reviewed - sufficient",IF(SUMPRODUCT(ISNUMBER(SEARCH(","&amp;EV_ID&amp;",",","&amp;SUBSTITUTE(L335," ","")&amp;","))*(EV_ID&lt;&gt;"")*(EV_SUFF="Partially sufficient"))&gt;0,"Evidence partially sufficient","Evidence insufficient - referenced evidence not sufficient"))))))))</f>
        <v/>
      </c>
      <c r="O335" s="50"/>
      <c r="P335" s="34"/>
      <c r="Q335" s="34"/>
      <c r="R335" s="50"/>
      <c r="S335" s="51"/>
      <c r="T335" s="51"/>
      <c r="U335" s="52" t="str">
        <f aca="false">IF(OR(A335="",Q335=""),"",IF(AND(ISNUMBER(S335),S335&lt;AsOf,O335&lt;&gt;"Reviewed"),"Overdue",""))</f>
        <v/>
      </c>
      <c r="V335" s="54" t="str">
        <f aca="false">IF(A335="","",IF(COUNTIF(QA_ID,A335)&gt;1,"CHECK: duplicate ID",IF(B335="","CHECK: Supplier ID missing",IF(COUNTIF(INV_ID,B335)=0,"CHECK: Supplier ID not in inventory",IF(E335="","CHECK: Question ID missing",IF(COUNTIF(QB_ID,E335)=0,"CHECK: Question ID not in bank","OK"))))))</f>
        <v/>
      </c>
    </row>
    <row r="336" customFormat="false" ht="15" hidden="false" customHeight="false" outlineLevel="0" collapsed="false">
      <c r="A336" s="50"/>
      <c r="B336" s="50"/>
      <c r="C336" s="59" t="str">
        <f aca="false">IF(B336="","",IFERROR(INDEX(INV_NAME,MATCH(B336,INV_ID,0)),"CHECK: Supplier ID not found"))</f>
        <v/>
      </c>
      <c r="D336" s="63" t="str">
        <f aca="false">IF(B336="","",IFERROR(INDEX(INV_TIER,MATCH(B336,INV_ID,0)),""))</f>
        <v/>
      </c>
      <c r="E336" s="50"/>
      <c r="F336" s="59" t="str">
        <f aca="false">IF(E336="","",IFERROR(INDEX(QB_Q,MATCH(E336,QB_ID,0)),"CHECK: Question ID not found"))</f>
        <v/>
      </c>
      <c r="G336" s="59" t="str">
        <f aca="false">IF(E336="","",IFERROR(INDEX(QB_DOMAIN,MATCH(E336,QB_ID,0)),""))</f>
        <v/>
      </c>
      <c r="H336" s="54" t="str">
        <f aca="false">IF(OR(A336="",E336=""),"",IFERROR(IF(ISNUMBER(MATCH(D336,{"Low","Medium","High"},0)),IF(MATCH(D336,{"Low","Medium","High"},0)&gt;=MATCH(INDEX(QB_MINTIER,MATCH(E336,QB_ID,0)),{"Low","Medium","High"},0),"Recommended for tier","Optional for tier"),"Tier not determined"),"Check question"))</f>
        <v/>
      </c>
      <c r="I336" s="34"/>
      <c r="J336" s="50"/>
      <c r="K336" s="34"/>
      <c r="L336" s="34"/>
      <c r="M336" s="62" t="str">
        <f aca="false">IF(L336="","",SUMPRODUCT(ISNUMBER(SEARCH(","&amp;EV_ID&amp;",",","&amp;SUBSTITUTE(L336," ","")&amp;","))*(EV_ID&lt;&gt;"")))</f>
        <v/>
      </c>
      <c r="N336" s="54" t="str">
        <f aca="false">IF(A336="","",IF(I336&lt;&gt;"Applicable",IF(I336="","Applicability not set","Not in scope ("&amp;I336&amp;")"),IF(OR(J336="",J336="Not answered"),"Awaiting supplier response",IF(J336="Not applicable","Supplier states not applicable - analyst to confirm",IF(L336="","Evidence insufficient - none referenced",IF(M336=0,"Evidence insufficient - referenced ID not found",IF(SUMPRODUCT(ISNUMBER(SEARCH(","&amp;EV_ID&amp;",",","&amp;SUBSTITUTE(L336," ","")&amp;","))*(EV_ID&lt;&gt;"")*(EV_SUFF="Sufficient"))&gt;0,"Evidence reviewed - sufficient",IF(SUMPRODUCT(ISNUMBER(SEARCH(","&amp;EV_ID&amp;",",","&amp;SUBSTITUTE(L336," ","")&amp;","))*(EV_ID&lt;&gt;"")*(EV_SUFF="Partially sufficient"))&gt;0,"Evidence partially sufficient","Evidence insufficient - referenced evidence not sufficient"))))))))</f>
        <v/>
      </c>
      <c r="O336" s="50"/>
      <c r="P336" s="34"/>
      <c r="Q336" s="34"/>
      <c r="R336" s="50"/>
      <c r="S336" s="51"/>
      <c r="T336" s="51"/>
      <c r="U336" s="52" t="str">
        <f aca="false">IF(OR(A336="",Q336=""),"",IF(AND(ISNUMBER(S336),S336&lt;AsOf,O336&lt;&gt;"Reviewed"),"Overdue",""))</f>
        <v/>
      </c>
      <c r="V336" s="54" t="str">
        <f aca="false">IF(A336="","",IF(COUNTIF(QA_ID,A336)&gt;1,"CHECK: duplicate ID",IF(B336="","CHECK: Supplier ID missing",IF(COUNTIF(INV_ID,B336)=0,"CHECK: Supplier ID not in inventory",IF(E336="","CHECK: Question ID missing",IF(COUNTIF(QB_ID,E336)=0,"CHECK: Question ID not in bank","OK"))))))</f>
        <v/>
      </c>
    </row>
    <row r="337" customFormat="false" ht="15" hidden="false" customHeight="false" outlineLevel="0" collapsed="false">
      <c r="A337" s="50"/>
      <c r="B337" s="50"/>
      <c r="C337" s="59" t="str">
        <f aca="false">IF(B337="","",IFERROR(INDEX(INV_NAME,MATCH(B337,INV_ID,0)),"CHECK: Supplier ID not found"))</f>
        <v/>
      </c>
      <c r="D337" s="63" t="str">
        <f aca="false">IF(B337="","",IFERROR(INDEX(INV_TIER,MATCH(B337,INV_ID,0)),""))</f>
        <v/>
      </c>
      <c r="E337" s="50"/>
      <c r="F337" s="59" t="str">
        <f aca="false">IF(E337="","",IFERROR(INDEX(QB_Q,MATCH(E337,QB_ID,0)),"CHECK: Question ID not found"))</f>
        <v/>
      </c>
      <c r="G337" s="59" t="str">
        <f aca="false">IF(E337="","",IFERROR(INDEX(QB_DOMAIN,MATCH(E337,QB_ID,0)),""))</f>
        <v/>
      </c>
      <c r="H337" s="54" t="str">
        <f aca="false">IF(OR(A337="",E337=""),"",IFERROR(IF(ISNUMBER(MATCH(D337,{"Low","Medium","High"},0)),IF(MATCH(D337,{"Low","Medium","High"},0)&gt;=MATCH(INDEX(QB_MINTIER,MATCH(E337,QB_ID,0)),{"Low","Medium","High"},0),"Recommended for tier","Optional for tier"),"Tier not determined"),"Check question"))</f>
        <v/>
      </c>
      <c r="I337" s="34"/>
      <c r="J337" s="50"/>
      <c r="K337" s="34"/>
      <c r="L337" s="34"/>
      <c r="M337" s="62" t="str">
        <f aca="false">IF(L337="","",SUMPRODUCT(ISNUMBER(SEARCH(","&amp;EV_ID&amp;",",","&amp;SUBSTITUTE(L337," ","")&amp;","))*(EV_ID&lt;&gt;"")))</f>
        <v/>
      </c>
      <c r="N337" s="54" t="str">
        <f aca="false">IF(A337="","",IF(I337&lt;&gt;"Applicable",IF(I337="","Applicability not set","Not in scope ("&amp;I337&amp;")"),IF(OR(J337="",J337="Not answered"),"Awaiting supplier response",IF(J337="Not applicable","Supplier states not applicable - analyst to confirm",IF(L337="","Evidence insufficient - none referenced",IF(M337=0,"Evidence insufficient - referenced ID not found",IF(SUMPRODUCT(ISNUMBER(SEARCH(","&amp;EV_ID&amp;",",","&amp;SUBSTITUTE(L337," ","")&amp;","))*(EV_ID&lt;&gt;"")*(EV_SUFF="Sufficient"))&gt;0,"Evidence reviewed - sufficient",IF(SUMPRODUCT(ISNUMBER(SEARCH(","&amp;EV_ID&amp;",",","&amp;SUBSTITUTE(L337," ","")&amp;","))*(EV_ID&lt;&gt;"")*(EV_SUFF="Partially sufficient"))&gt;0,"Evidence partially sufficient","Evidence insufficient - referenced evidence not sufficient"))))))))</f>
        <v/>
      </c>
      <c r="O337" s="50"/>
      <c r="P337" s="34"/>
      <c r="Q337" s="34"/>
      <c r="R337" s="50"/>
      <c r="S337" s="51"/>
      <c r="T337" s="51"/>
      <c r="U337" s="52" t="str">
        <f aca="false">IF(OR(A337="",Q337=""),"",IF(AND(ISNUMBER(S337),S337&lt;AsOf,O337&lt;&gt;"Reviewed"),"Overdue",""))</f>
        <v/>
      </c>
      <c r="V337" s="54" t="str">
        <f aca="false">IF(A337="","",IF(COUNTIF(QA_ID,A337)&gt;1,"CHECK: duplicate ID",IF(B337="","CHECK: Supplier ID missing",IF(COUNTIF(INV_ID,B337)=0,"CHECK: Supplier ID not in inventory",IF(E337="","CHECK: Question ID missing",IF(COUNTIF(QB_ID,E337)=0,"CHECK: Question ID not in bank","OK"))))))</f>
        <v/>
      </c>
    </row>
    <row r="338" customFormat="false" ht="15" hidden="false" customHeight="false" outlineLevel="0" collapsed="false">
      <c r="A338" s="50"/>
      <c r="B338" s="50"/>
      <c r="C338" s="59" t="str">
        <f aca="false">IF(B338="","",IFERROR(INDEX(INV_NAME,MATCH(B338,INV_ID,0)),"CHECK: Supplier ID not found"))</f>
        <v/>
      </c>
      <c r="D338" s="63" t="str">
        <f aca="false">IF(B338="","",IFERROR(INDEX(INV_TIER,MATCH(B338,INV_ID,0)),""))</f>
        <v/>
      </c>
      <c r="E338" s="50"/>
      <c r="F338" s="59" t="str">
        <f aca="false">IF(E338="","",IFERROR(INDEX(QB_Q,MATCH(E338,QB_ID,0)),"CHECK: Question ID not found"))</f>
        <v/>
      </c>
      <c r="G338" s="59" t="str">
        <f aca="false">IF(E338="","",IFERROR(INDEX(QB_DOMAIN,MATCH(E338,QB_ID,0)),""))</f>
        <v/>
      </c>
      <c r="H338" s="54" t="str">
        <f aca="false">IF(OR(A338="",E338=""),"",IFERROR(IF(ISNUMBER(MATCH(D338,{"Low","Medium","High"},0)),IF(MATCH(D338,{"Low","Medium","High"},0)&gt;=MATCH(INDEX(QB_MINTIER,MATCH(E338,QB_ID,0)),{"Low","Medium","High"},0),"Recommended for tier","Optional for tier"),"Tier not determined"),"Check question"))</f>
        <v/>
      </c>
      <c r="I338" s="34"/>
      <c r="J338" s="50"/>
      <c r="K338" s="34"/>
      <c r="L338" s="34"/>
      <c r="M338" s="62" t="str">
        <f aca="false">IF(L338="","",SUMPRODUCT(ISNUMBER(SEARCH(","&amp;EV_ID&amp;",",","&amp;SUBSTITUTE(L338," ","")&amp;","))*(EV_ID&lt;&gt;"")))</f>
        <v/>
      </c>
      <c r="N338" s="54" t="str">
        <f aca="false">IF(A338="","",IF(I338&lt;&gt;"Applicable",IF(I338="","Applicability not set","Not in scope ("&amp;I338&amp;")"),IF(OR(J338="",J338="Not answered"),"Awaiting supplier response",IF(J338="Not applicable","Supplier states not applicable - analyst to confirm",IF(L338="","Evidence insufficient - none referenced",IF(M338=0,"Evidence insufficient - referenced ID not found",IF(SUMPRODUCT(ISNUMBER(SEARCH(","&amp;EV_ID&amp;",",","&amp;SUBSTITUTE(L338," ","")&amp;","))*(EV_ID&lt;&gt;"")*(EV_SUFF="Sufficient"))&gt;0,"Evidence reviewed - sufficient",IF(SUMPRODUCT(ISNUMBER(SEARCH(","&amp;EV_ID&amp;",",","&amp;SUBSTITUTE(L338," ","")&amp;","))*(EV_ID&lt;&gt;"")*(EV_SUFF="Partially sufficient"))&gt;0,"Evidence partially sufficient","Evidence insufficient - referenced evidence not sufficient"))))))))</f>
        <v/>
      </c>
      <c r="O338" s="50"/>
      <c r="P338" s="34"/>
      <c r="Q338" s="34"/>
      <c r="R338" s="50"/>
      <c r="S338" s="51"/>
      <c r="T338" s="51"/>
      <c r="U338" s="52" t="str">
        <f aca="false">IF(OR(A338="",Q338=""),"",IF(AND(ISNUMBER(S338),S338&lt;AsOf,O338&lt;&gt;"Reviewed"),"Overdue",""))</f>
        <v/>
      </c>
      <c r="V338" s="54" t="str">
        <f aca="false">IF(A338="","",IF(COUNTIF(QA_ID,A338)&gt;1,"CHECK: duplicate ID",IF(B338="","CHECK: Supplier ID missing",IF(COUNTIF(INV_ID,B338)=0,"CHECK: Supplier ID not in inventory",IF(E338="","CHECK: Question ID missing",IF(COUNTIF(QB_ID,E338)=0,"CHECK: Question ID not in bank","OK"))))))</f>
        <v/>
      </c>
    </row>
    <row r="339" customFormat="false" ht="15" hidden="false" customHeight="false" outlineLevel="0" collapsed="false">
      <c r="A339" s="50"/>
      <c r="B339" s="50"/>
      <c r="C339" s="59" t="str">
        <f aca="false">IF(B339="","",IFERROR(INDEX(INV_NAME,MATCH(B339,INV_ID,0)),"CHECK: Supplier ID not found"))</f>
        <v/>
      </c>
      <c r="D339" s="63" t="str">
        <f aca="false">IF(B339="","",IFERROR(INDEX(INV_TIER,MATCH(B339,INV_ID,0)),""))</f>
        <v/>
      </c>
      <c r="E339" s="50"/>
      <c r="F339" s="59" t="str">
        <f aca="false">IF(E339="","",IFERROR(INDEX(QB_Q,MATCH(E339,QB_ID,0)),"CHECK: Question ID not found"))</f>
        <v/>
      </c>
      <c r="G339" s="59" t="str">
        <f aca="false">IF(E339="","",IFERROR(INDEX(QB_DOMAIN,MATCH(E339,QB_ID,0)),""))</f>
        <v/>
      </c>
      <c r="H339" s="54" t="str">
        <f aca="false">IF(OR(A339="",E339=""),"",IFERROR(IF(ISNUMBER(MATCH(D339,{"Low","Medium","High"},0)),IF(MATCH(D339,{"Low","Medium","High"},0)&gt;=MATCH(INDEX(QB_MINTIER,MATCH(E339,QB_ID,0)),{"Low","Medium","High"},0),"Recommended for tier","Optional for tier"),"Tier not determined"),"Check question"))</f>
        <v/>
      </c>
      <c r="I339" s="34"/>
      <c r="J339" s="50"/>
      <c r="K339" s="34"/>
      <c r="L339" s="34"/>
      <c r="M339" s="62" t="str">
        <f aca="false">IF(L339="","",SUMPRODUCT(ISNUMBER(SEARCH(","&amp;EV_ID&amp;",",","&amp;SUBSTITUTE(L339," ","")&amp;","))*(EV_ID&lt;&gt;"")))</f>
        <v/>
      </c>
      <c r="N339" s="54" t="str">
        <f aca="false">IF(A339="","",IF(I339&lt;&gt;"Applicable",IF(I339="","Applicability not set","Not in scope ("&amp;I339&amp;")"),IF(OR(J339="",J339="Not answered"),"Awaiting supplier response",IF(J339="Not applicable","Supplier states not applicable - analyst to confirm",IF(L339="","Evidence insufficient - none referenced",IF(M339=0,"Evidence insufficient - referenced ID not found",IF(SUMPRODUCT(ISNUMBER(SEARCH(","&amp;EV_ID&amp;",",","&amp;SUBSTITUTE(L339," ","")&amp;","))*(EV_ID&lt;&gt;"")*(EV_SUFF="Sufficient"))&gt;0,"Evidence reviewed - sufficient",IF(SUMPRODUCT(ISNUMBER(SEARCH(","&amp;EV_ID&amp;",",","&amp;SUBSTITUTE(L339," ","")&amp;","))*(EV_ID&lt;&gt;"")*(EV_SUFF="Partially sufficient"))&gt;0,"Evidence partially sufficient","Evidence insufficient - referenced evidence not sufficient"))))))))</f>
        <v/>
      </c>
      <c r="O339" s="50"/>
      <c r="P339" s="34"/>
      <c r="Q339" s="34"/>
      <c r="R339" s="50"/>
      <c r="S339" s="51"/>
      <c r="T339" s="51"/>
      <c r="U339" s="52" t="str">
        <f aca="false">IF(OR(A339="",Q339=""),"",IF(AND(ISNUMBER(S339),S339&lt;AsOf,O339&lt;&gt;"Reviewed"),"Overdue",""))</f>
        <v/>
      </c>
      <c r="V339" s="54" t="str">
        <f aca="false">IF(A339="","",IF(COUNTIF(QA_ID,A339)&gt;1,"CHECK: duplicate ID",IF(B339="","CHECK: Supplier ID missing",IF(COUNTIF(INV_ID,B339)=0,"CHECK: Supplier ID not in inventory",IF(E339="","CHECK: Question ID missing",IF(COUNTIF(QB_ID,E339)=0,"CHECK: Question ID not in bank","OK"))))))</f>
        <v/>
      </c>
    </row>
    <row r="340" customFormat="false" ht="15" hidden="false" customHeight="false" outlineLevel="0" collapsed="false">
      <c r="A340" s="50"/>
      <c r="B340" s="50"/>
      <c r="C340" s="59" t="str">
        <f aca="false">IF(B340="","",IFERROR(INDEX(INV_NAME,MATCH(B340,INV_ID,0)),"CHECK: Supplier ID not found"))</f>
        <v/>
      </c>
      <c r="D340" s="63" t="str">
        <f aca="false">IF(B340="","",IFERROR(INDEX(INV_TIER,MATCH(B340,INV_ID,0)),""))</f>
        <v/>
      </c>
      <c r="E340" s="50"/>
      <c r="F340" s="59" t="str">
        <f aca="false">IF(E340="","",IFERROR(INDEX(QB_Q,MATCH(E340,QB_ID,0)),"CHECK: Question ID not found"))</f>
        <v/>
      </c>
      <c r="G340" s="59" t="str">
        <f aca="false">IF(E340="","",IFERROR(INDEX(QB_DOMAIN,MATCH(E340,QB_ID,0)),""))</f>
        <v/>
      </c>
      <c r="H340" s="54" t="str">
        <f aca="false">IF(OR(A340="",E340=""),"",IFERROR(IF(ISNUMBER(MATCH(D340,{"Low","Medium","High"},0)),IF(MATCH(D340,{"Low","Medium","High"},0)&gt;=MATCH(INDEX(QB_MINTIER,MATCH(E340,QB_ID,0)),{"Low","Medium","High"},0),"Recommended for tier","Optional for tier"),"Tier not determined"),"Check question"))</f>
        <v/>
      </c>
      <c r="I340" s="34"/>
      <c r="J340" s="50"/>
      <c r="K340" s="34"/>
      <c r="L340" s="34"/>
      <c r="M340" s="62" t="str">
        <f aca="false">IF(L340="","",SUMPRODUCT(ISNUMBER(SEARCH(","&amp;EV_ID&amp;",",","&amp;SUBSTITUTE(L340," ","")&amp;","))*(EV_ID&lt;&gt;"")))</f>
        <v/>
      </c>
      <c r="N340" s="54" t="str">
        <f aca="false">IF(A340="","",IF(I340&lt;&gt;"Applicable",IF(I340="","Applicability not set","Not in scope ("&amp;I340&amp;")"),IF(OR(J340="",J340="Not answered"),"Awaiting supplier response",IF(J340="Not applicable","Supplier states not applicable - analyst to confirm",IF(L340="","Evidence insufficient - none referenced",IF(M340=0,"Evidence insufficient - referenced ID not found",IF(SUMPRODUCT(ISNUMBER(SEARCH(","&amp;EV_ID&amp;",",","&amp;SUBSTITUTE(L340," ","")&amp;","))*(EV_ID&lt;&gt;"")*(EV_SUFF="Sufficient"))&gt;0,"Evidence reviewed - sufficient",IF(SUMPRODUCT(ISNUMBER(SEARCH(","&amp;EV_ID&amp;",",","&amp;SUBSTITUTE(L340," ","")&amp;","))*(EV_ID&lt;&gt;"")*(EV_SUFF="Partially sufficient"))&gt;0,"Evidence partially sufficient","Evidence insufficient - referenced evidence not sufficient"))))))))</f>
        <v/>
      </c>
      <c r="O340" s="50"/>
      <c r="P340" s="34"/>
      <c r="Q340" s="34"/>
      <c r="R340" s="50"/>
      <c r="S340" s="51"/>
      <c r="T340" s="51"/>
      <c r="U340" s="52" t="str">
        <f aca="false">IF(OR(A340="",Q340=""),"",IF(AND(ISNUMBER(S340),S340&lt;AsOf,O340&lt;&gt;"Reviewed"),"Overdue",""))</f>
        <v/>
      </c>
      <c r="V340" s="54" t="str">
        <f aca="false">IF(A340="","",IF(COUNTIF(QA_ID,A340)&gt;1,"CHECK: duplicate ID",IF(B340="","CHECK: Supplier ID missing",IF(COUNTIF(INV_ID,B340)=0,"CHECK: Supplier ID not in inventory",IF(E340="","CHECK: Question ID missing",IF(COUNTIF(QB_ID,E340)=0,"CHECK: Question ID not in bank","OK"))))))</f>
        <v/>
      </c>
    </row>
    <row r="341" customFormat="false" ht="15" hidden="false" customHeight="false" outlineLevel="0" collapsed="false">
      <c r="A341" s="50"/>
      <c r="B341" s="50"/>
      <c r="C341" s="59" t="str">
        <f aca="false">IF(B341="","",IFERROR(INDEX(INV_NAME,MATCH(B341,INV_ID,0)),"CHECK: Supplier ID not found"))</f>
        <v/>
      </c>
      <c r="D341" s="63" t="str">
        <f aca="false">IF(B341="","",IFERROR(INDEX(INV_TIER,MATCH(B341,INV_ID,0)),""))</f>
        <v/>
      </c>
      <c r="E341" s="50"/>
      <c r="F341" s="59" t="str">
        <f aca="false">IF(E341="","",IFERROR(INDEX(QB_Q,MATCH(E341,QB_ID,0)),"CHECK: Question ID not found"))</f>
        <v/>
      </c>
      <c r="G341" s="59" t="str">
        <f aca="false">IF(E341="","",IFERROR(INDEX(QB_DOMAIN,MATCH(E341,QB_ID,0)),""))</f>
        <v/>
      </c>
      <c r="H341" s="54" t="str">
        <f aca="false">IF(OR(A341="",E341=""),"",IFERROR(IF(ISNUMBER(MATCH(D341,{"Low","Medium","High"},0)),IF(MATCH(D341,{"Low","Medium","High"},0)&gt;=MATCH(INDEX(QB_MINTIER,MATCH(E341,QB_ID,0)),{"Low","Medium","High"},0),"Recommended for tier","Optional for tier"),"Tier not determined"),"Check question"))</f>
        <v/>
      </c>
      <c r="I341" s="34"/>
      <c r="J341" s="50"/>
      <c r="K341" s="34"/>
      <c r="L341" s="34"/>
      <c r="M341" s="62" t="str">
        <f aca="false">IF(L341="","",SUMPRODUCT(ISNUMBER(SEARCH(","&amp;EV_ID&amp;",",","&amp;SUBSTITUTE(L341," ","")&amp;","))*(EV_ID&lt;&gt;"")))</f>
        <v/>
      </c>
      <c r="N341" s="54" t="str">
        <f aca="false">IF(A341="","",IF(I341&lt;&gt;"Applicable",IF(I341="","Applicability not set","Not in scope ("&amp;I341&amp;")"),IF(OR(J341="",J341="Not answered"),"Awaiting supplier response",IF(J341="Not applicable","Supplier states not applicable - analyst to confirm",IF(L341="","Evidence insufficient - none referenced",IF(M341=0,"Evidence insufficient - referenced ID not found",IF(SUMPRODUCT(ISNUMBER(SEARCH(","&amp;EV_ID&amp;",",","&amp;SUBSTITUTE(L341," ","")&amp;","))*(EV_ID&lt;&gt;"")*(EV_SUFF="Sufficient"))&gt;0,"Evidence reviewed - sufficient",IF(SUMPRODUCT(ISNUMBER(SEARCH(","&amp;EV_ID&amp;",",","&amp;SUBSTITUTE(L341," ","")&amp;","))*(EV_ID&lt;&gt;"")*(EV_SUFF="Partially sufficient"))&gt;0,"Evidence partially sufficient","Evidence insufficient - referenced evidence not sufficient"))))))))</f>
        <v/>
      </c>
      <c r="O341" s="50"/>
      <c r="P341" s="34"/>
      <c r="Q341" s="34"/>
      <c r="R341" s="50"/>
      <c r="S341" s="51"/>
      <c r="T341" s="51"/>
      <c r="U341" s="52" t="str">
        <f aca="false">IF(OR(A341="",Q341=""),"",IF(AND(ISNUMBER(S341),S341&lt;AsOf,O341&lt;&gt;"Reviewed"),"Overdue",""))</f>
        <v/>
      </c>
      <c r="V341" s="54" t="str">
        <f aca="false">IF(A341="","",IF(COUNTIF(QA_ID,A341)&gt;1,"CHECK: duplicate ID",IF(B341="","CHECK: Supplier ID missing",IF(COUNTIF(INV_ID,B341)=0,"CHECK: Supplier ID not in inventory",IF(E341="","CHECK: Question ID missing",IF(COUNTIF(QB_ID,E341)=0,"CHECK: Question ID not in bank","OK"))))))</f>
        <v/>
      </c>
    </row>
    <row r="342" customFormat="false" ht="15" hidden="false" customHeight="false" outlineLevel="0" collapsed="false">
      <c r="A342" s="50"/>
      <c r="B342" s="50"/>
      <c r="C342" s="59" t="str">
        <f aca="false">IF(B342="","",IFERROR(INDEX(INV_NAME,MATCH(B342,INV_ID,0)),"CHECK: Supplier ID not found"))</f>
        <v/>
      </c>
      <c r="D342" s="63" t="str">
        <f aca="false">IF(B342="","",IFERROR(INDEX(INV_TIER,MATCH(B342,INV_ID,0)),""))</f>
        <v/>
      </c>
      <c r="E342" s="50"/>
      <c r="F342" s="59" t="str">
        <f aca="false">IF(E342="","",IFERROR(INDEX(QB_Q,MATCH(E342,QB_ID,0)),"CHECK: Question ID not found"))</f>
        <v/>
      </c>
      <c r="G342" s="59" t="str">
        <f aca="false">IF(E342="","",IFERROR(INDEX(QB_DOMAIN,MATCH(E342,QB_ID,0)),""))</f>
        <v/>
      </c>
      <c r="H342" s="54" t="str">
        <f aca="false">IF(OR(A342="",E342=""),"",IFERROR(IF(ISNUMBER(MATCH(D342,{"Low","Medium","High"},0)),IF(MATCH(D342,{"Low","Medium","High"},0)&gt;=MATCH(INDEX(QB_MINTIER,MATCH(E342,QB_ID,0)),{"Low","Medium","High"},0),"Recommended for tier","Optional for tier"),"Tier not determined"),"Check question"))</f>
        <v/>
      </c>
      <c r="I342" s="34"/>
      <c r="J342" s="50"/>
      <c r="K342" s="34"/>
      <c r="L342" s="34"/>
      <c r="M342" s="62" t="str">
        <f aca="false">IF(L342="","",SUMPRODUCT(ISNUMBER(SEARCH(","&amp;EV_ID&amp;",",","&amp;SUBSTITUTE(L342," ","")&amp;","))*(EV_ID&lt;&gt;"")))</f>
        <v/>
      </c>
      <c r="N342" s="54" t="str">
        <f aca="false">IF(A342="","",IF(I342&lt;&gt;"Applicable",IF(I342="","Applicability not set","Not in scope ("&amp;I342&amp;")"),IF(OR(J342="",J342="Not answered"),"Awaiting supplier response",IF(J342="Not applicable","Supplier states not applicable - analyst to confirm",IF(L342="","Evidence insufficient - none referenced",IF(M342=0,"Evidence insufficient - referenced ID not found",IF(SUMPRODUCT(ISNUMBER(SEARCH(","&amp;EV_ID&amp;",",","&amp;SUBSTITUTE(L342," ","")&amp;","))*(EV_ID&lt;&gt;"")*(EV_SUFF="Sufficient"))&gt;0,"Evidence reviewed - sufficient",IF(SUMPRODUCT(ISNUMBER(SEARCH(","&amp;EV_ID&amp;",",","&amp;SUBSTITUTE(L342," ","")&amp;","))*(EV_ID&lt;&gt;"")*(EV_SUFF="Partially sufficient"))&gt;0,"Evidence partially sufficient","Evidence insufficient - referenced evidence not sufficient"))))))))</f>
        <v/>
      </c>
      <c r="O342" s="50"/>
      <c r="P342" s="34"/>
      <c r="Q342" s="34"/>
      <c r="R342" s="50"/>
      <c r="S342" s="51"/>
      <c r="T342" s="51"/>
      <c r="U342" s="52" t="str">
        <f aca="false">IF(OR(A342="",Q342=""),"",IF(AND(ISNUMBER(S342),S342&lt;AsOf,O342&lt;&gt;"Reviewed"),"Overdue",""))</f>
        <v/>
      </c>
      <c r="V342" s="54" t="str">
        <f aca="false">IF(A342="","",IF(COUNTIF(QA_ID,A342)&gt;1,"CHECK: duplicate ID",IF(B342="","CHECK: Supplier ID missing",IF(COUNTIF(INV_ID,B342)=0,"CHECK: Supplier ID not in inventory",IF(E342="","CHECK: Question ID missing",IF(COUNTIF(QB_ID,E342)=0,"CHECK: Question ID not in bank","OK"))))))</f>
        <v/>
      </c>
    </row>
    <row r="343" customFormat="false" ht="15" hidden="false" customHeight="false" outlineLevel="0" collapsed="false">
      <c r="A343" s="50"/>
      <c r="B343" s="50"/>
      <c r="C343" s="59" t="str">
        <f aca="false">IF(B343="","",IFERROR(INDEX(INV_NAME,MATCH(B343,INV_ID,0)),"CHECK: Supplier ID not found"))</f>
        <v/>
      </c>
      <c r="D343" s="63" t="str">
        <f aca="false">IF(B343="","",IFERROR(INDEX(INV_TIER,MATCH(B343,INV_ID,0)),""))</f>
        <v/>
      </c>
      <c r="E343" s="50"/>
      <c r="F343" s="59" t="str">
        <f aca="false">IF(E343="","",IFERROR(INDEX(QB_Q,MATCH(E343,QB_ID,0)),"CHECK: Question ID not found"))</f>
        <v/>
      </c>
      <c r="G343" s="59" t="str">
        <f aca="false">IF(E343="","",IFERROR(INDEX(QB_DOMAIN,MATCH(E343,QB_ID,0)),""))</f>
        <v/>
      </c>
      <c r="H343" s="54" t="str">
        <f aca="false">IF(OR(A343="",E343=""),"",IFERROR(IF(ISNUMBER(MATCH(D343,{"Low","Medium","High"},0)),IF(MATCH(D343,{"Low","Medium","High"},0)&gt;=MATCH(INDEX(QB_MINTIER,MATCH(E343,QB_ID,0)),{"Low","Medium","High"},0),"Recommended for tier","Optional for tier"),"Tier not determined"),"Check question"))</f>
        <v/>
      </c>
      <c r="I343" s="34"/>
      <c r="J343" s="50"/>
      <c r="K343" s="34"/>
      <c r="L343" s="34"/>
      <c r="M343" s="62" t="str">
        <f aca="false">IF(L343="","",SUMPRODUCT(ISNUMBER(SEARCH(","&amp;EV_ID&amp;",",","&amp;SUBSTITUTE(L343," ","")&amp;","))*(EV_ID&lt;&gt;"")))</f>
        <v/>
      </c>
      <c r="N343" s="54" t="str">
        <f aca="false">IF(A343="","",IF(I343&lt;&gt;"Applicable",IF(I343="","Applicability not set","Not in scope ("&amp;I343&amp;")"),IF(OR(J343="",J343="Not answered"),"Awaiting supplier response",IF(J343="Not applicable","Supplier states not applicable - analyst to confirm",IF(L343="","Evidence insufficient - none referenced",IF(M343=0,"Evidence insufficient - referenced ID not found",IF(SUMPRODUCT(ISNUMBER(SEARCH(","&amp;EV_ID&amp;",",","&amp;SUBSTITUTE(L343," ","")&amp;","))*(EV_ID&lt;&gt;"")*(EV_SUFF="Sufficient"))&gt;0,"Evidence reviewed - sufficient",IF(SUMPRODUCT(ISNUMBER(SEARCH(","&amp;EV_ID&amp;",",","&amp;SUBSTITUTE(L343," ","")&amp;","))*(EV_ID&lt;&gt;"")*(EV_SUFF="Partially sufficient"))&gt;0,"Evidence partially sufficient","Evidence insufficient - referenced evidence not sufficient"))))))))</f>
        <v/>
      </c>
      <c r="O343" s="50"/>
      <c r="P343" s="34"/>
      <c r="Q343" s="34"/>
      <c r="R343" s="50"/>
      <c r="S343" s="51"/>
      <c r="T343" s="51"/>
      <c r="U343" s="52" t="str">
        <f aca="false">IF(OR(A343="",Q343=""),"",IF(AND(ISNUMBER(S343),S343&lt;AsOf,O343&lt;&gt;"Reviewed"),"Overdue",""))</f>
        <v/>
      </c>
      <c r="V343" s="54" t="str">
        <f aca="false">IF(A343="","",IF(COUNTIF(QA_ID,A343)&gt;1,"CHECK: duplicate ID",IF(B343="","CHECK: Supplier ID missing",IF(COUNTIF(INV_ID,B343)=0,"CHECK: Supplier ID not in inventory",IF(E343="","CHECK: Question ID missing",IF(COUNTIF(QB_ID,E343)=0,"CHECK: Question ID not in bank","OK"))))))</f>
        <v/>
      </c>
    </row>
    <row r="344" customFormat="false" ht="15" hidden="false" customHeight="false" outlineLevel="0" collapsed="false">
      <c r="A344" s="50"/>
      <c r="B344" s="50"/>
      <c r="C344" s="59" t="str">
        <f aca="false">IF(B344="","",IFERROR(INDEX(INV_NAME,MATCH(B344,INV_ID,0)),"CHECK: Supplier ID not found"))</f>
        <v/>
      </c>
      <c r="D344" s="63" t="str">
        <f aca="false">IF(B344="","",IFERROR(INDEX(INV_TIER,MATCH(B344,INV_ID,0)),""))</f>
        <v/>
      </c>
      <c r="E344" s="50"/>
      <c r="F344" s="59" t="str">
        <f aca="false">IF(E344="","",IFERROR(INDEX(QB_Q,MATCH(E344,QB_ID,0)),"CHECK: Question ID not found"))</f>
        <v/>
      </c>
      <c r="G344" s="59" t="str">
        <f aca="false">IF(E344="","",IFERROR(INDEX(QB_DOMAIN,MATCH(E344,QB_ID,0)),""))</f>
        <v/>
      </c>
      <c r="H344" s="54" t="str">
        <f aca="false">IF(OR(A344="",E344=""),"",IFERROR(IF(ISNUMBER(MATCH(D344,{"Low","Medium","High"},0)),IF(MATCH(D344,{"Low","Medium","High"},0)&gt;=MATCH(INDEX(QB_MINTIER,MATCH(E344,QB_ID,0)),{"Low","Medium","High"},0),"Recommended for tier","Optional for tier"),"Tier not determined"),"Check question"))</f>
        <v/>
      </c>
      <c r="I344" s="34"/>
      <c r="J344" s="50"/>
      <c r="K344" s="34"/>
      <c r="L344" s="34"/>
      <c r="M344" s="62" t="str">
        <f aca="false">IF(L344="","",SUMPRODUCT(ISNUMBER(SEARCH(","&amp;EV_ID&amp;",",","&amp;SUBSTITUTE(L344," ","")&amp;","))*(EV_ID&lt;&gt;"")))</f>
        <v/>
      </c>
      <c r="N344" s="54" t="str">
        <f aca="false">IF(A344="","",IF(I344&lt;&gt;"Applicable",IF(I344="","Applicability not set","Not in scope ("&amp;I344&amp;")"),IF(OR(J344="",J344="Not answered"),"Awaiting supplier response",IF(J344="Not applicable","Supplier states not applicable - analyst to confirm",IF(L344="","Evidence insufficient - none referenced",IF(M344=0,"Evidence insufficient - referenced ID not found",IF(SUMPRODUCT(ISNUMBER(SEARCH(","&amp;EV_ID&amp;",",","&amp;SUBSTITUTE(L344," ","")&amp;","))*(EV_ID&lt;&gt;"")*(EV_SUFF="Sufficient"))&gt;0,"Evidence reviewed - sufficient",IF(SUMPRODUCT(ISNUMBER(SEARCH(","&amp;EV_ID&amp;",",","&amp;SUBSTITUTE(L344," ","")&amp;","))*(EV_ID&lt;&gt;"")*(EV_SUFF="Partially sufficient"))&gt;0,"Evidence partially sufficient","Evidence insufficient - referenced evidence not sufficient"))))))))</f>
        <v/>
      </c>
      <c r="O344" s="50"/>
      <c r="P344" s="34"/>
      <c r="Q344" s="34"/>
      <c r="R344" s="50"/>
      <c r="S344" s="51"/>
      <c r="T344" s="51"/>
      <c r="U344" s="52" t="str">
        <f aca="false">IF(OR(A344="",Q344=""),"",IF(AND(ISNUMBER(S344),S344&lt;AsOf,O344&lt;&gt;"Reviewed"),"Overdue",""))</f>
        <v/>
      </c>
      <c r="V344" s="54" t="str">
        <f aca="false">IF(A344="","",IF(COUNTIF(QA_ID,A344)&gt;1,"CHECK: duplicate ID",IF(B344="","CHECK: Supplier ID missing",IF(COUNTIF(INV_ID,B344)=0,"CHECK: Supplier ID not in inventory",IF(E344="","CHECK: Question ID missing",IF(COUNTIF(QB_ID,E344)=0,"CHECK: Question ID not in bank","OK"))))))</f>
        <v/>
      </c>
    </row>
    <row r="345" customFormat="false" ht="15" hidden="false" customHeight="false" outlineLevel="0" collapsed="false">
      <c r="A345" s="50"/>
      <c r="B345" s="50"/>
      <c r="C345" s="59" t="str">
        <f aca="false">IF(B345="","",IFERROR(INDEX(INV_NAME,MATCH(B345,INV_ID,0)),"CHECK: Supplier ID not found"))</f>
        <v/>
      </c>
      <c r="D345" s="63" t="str">
        <f aca="false">IF(B345="","",IFERROR(INDEX(INV_TIER,MATCH(B345,INV_ID,0)),""))</f>
        <v/>
      </c>
      <c r="E345" s="50"/>
      <c r="F345" s="59" t="str">
        <f aca="false">IF(E345="","",IFERROR(INDEX(QB_Q,MATCH(E345,QB_ID,0)),"CHECK: Question ID not found"))</f>
        <v/>
      </c>
      <c r="G345" s="59" t="str">
        <f aca="false">IF(E345="","",IFERROR(INDEX(QB_DOMAIN,MATCH(E345,QB_ID,0)),""))</f>
        <v/>
      </c>
      <c r="H345" s="54" t="str">
        <f aca="false">IF(OR(A345="",E345=""),"",IFERROR(IF(ISNUMBER(MATCH(D345,{"Low","Medium","High"},0)),IF(MATCH(D345,{"Low","Medium","High"},0)&gt;=MATCH(INDEX(QB_MINTIER,MATCH(E345,QB_ID,0)),{"Low","Medium","High"},0),"Recommended for tier","Optional for tier"),"Tier not determined"),"Check question"))</f>
        <v/>
      </c>
      <c r="I345" s="34"/>
      <c r="J345" s="50"/>
      <c r="K345" s="34"/>
      <c r="L345" s="34"/>
      <c r="M345" s="62" t="str">
        <f aca="false">IF(L345="","",SUMPRODUCT(ISNUMBER(SEARCH(","&amp;EV_ID&amp;",",","&amp;SUBSTITUTE(L345," ","")&amp;","))*(EV_ID&lt;&gt;"")))</f>
        <v/>
      </c>
      <c r="N345" s="54" t="str">
        <f aca="false">IF(A345="","",IF(I345&lt;&gt;"Applicable",IF(I345="","Applicability not set","Not in scope ("&amp;I345&amp;")"),IF(OR(J345="",J345="Not answered"),"Awaiting supplier response",IF(J345="Not applicable","Supplier states not applicable - analyst to confirm",IF(L345="","Evidence insufficient - none referenced",IF(M345=0,"Evidence insufficient - referenced ID not found",IF(SUMPRODUCT(ISNUMBER(SEARCH(","&amp;EV_ID&amp;",",","&amp;SUBSTITUTE(L345," ","")&amp;","))*(EV_ID&lt;&gt;"")*(EV_SUFF="Sufficient"))&gt;0,"Evidence reviewed - sufficient",IF(SUMPRODUCT(ISNUMBER(SEARCH(","&amp;EV_ID&amp;",",","&amp;SUBSTITUTE(L345," ","")&amp;","))*(EV_ID&lt;&gt;"")*(EV_SUFF="Partially sufficient"))&gt;0,"Evidence partially sufficient","Evidence insufficient - referenced evidence not sufficient"))))))))</f>
        <v/>
      </c>
      <c r="O345" s="50"/>
      <c r="P345" s="34"/>
      <c r="Q345" s="34"/>
      <c r="R345" s="50"/>
      <c r="S345" s="51"/>
      <c r="T345" s="51"/>
      <c r="U345" s="52" t="str">
        <f aca="false">IF(OR(A345="",Q345=""),"",IF(AND(ISNUMBER(S345),S345&lt;AsOf,O345&lt;&gt;"Reviewed"),"Overdue",""))</f>
        <v/>
      </c>
      <c r="V345" s="54" t="str">
        <f aca="false">IF(A345="","",IF(COUNTIF(QA_ID,A345)&gt;1,"CHECK: duplicate ID",IF(B345="","CHECK: Supplier ID missing",IF(COUNTIF(INV_ID,B345)=0,"CHECK: Supplier ID not in inventory",IF(E345="","CHECK: Question ID missing",IF(COUNTIF(QB_ID,E345)=0,"CHECK: Question ID not in bank","OK"))))))</f>
        <v/>
      </c>
    </row>
    <row r="346" customFormat="false" ht="15" hidden="false" customHeight="false" outlineLevel="0" collapsed="false">
      <c r="A346" s="50"/>
      <c r="B346" s="50"/>
      <c r="C346" s="59" t="str">
        <f aca="false">IF(B346="","",IFERROR(INDEX(INV_NAME,MATCH(B346,INV_ID,0)),"CHECK: Supplier ID not found"))</f>
        <v/>
      </c>
      <c r="D346" s="63" t="str">
        <f aca="false">IF(B346="","",IFERROR(INDEX(INV_TIER,MATCH(B346,INV_ID,0)),""))</f>
        <v/>
      </c>
      <c r="E346" s="50"/>
      <c r="F346" s="59" t="str">
        <f aca="false">IF(E346="","",IFERROR(INDEX(QB_Q,MATCH(E346,QB_ID,0)),"CHECK: Question ID not found"))</f>
        <v/>
      </c>
      <c r="G346" s="59" t="str">
        <f aca="false">IF(E346="","",IFERROR(INDEX(QB_DOMAIN,MATCH(E346,QB_ID,0)),""))</f>
        <v/>
      </c>
      <c r="H346" s="54" t="str">
        <f aca="false">IF(OR(A346="",E346=""),"",IFERROR(IF(ISNUMBER(MATCH(D346,{"Low","Medium","High"},0)),IF(MATCH(D346,{"Low","Medium","High"},0)&gt;=MATCH(INDEX(QB_MINTIER,MATCH(E346,QB_ID,0)),{"Low","Medium","High"},0),"Recommended for tier","Optional for tier"),"Tier not determined"),"Check question"))</f>
        <v/>
      </c>
      <c r="I346" s="34"/>
      <c r="J346" s="50"/>
      <c r="K346" s="34"/>
      <c r="L346" s="34"/>
      <c r="M346" s="62" t="str">
        <f aca="false">IF(L346="","",SUMPRODUCT(ISNUMBER(SEARCH(","&amp;EV_ID&amp;",",","&amp;SUBSTITUTE(L346," ","")&amp;","))*(EV_ID&lt;&gt;"")))</f>
        <v/>
      </c>
      <c r="N346" s="54" t="str">
        <f aca="false">IF(A346="","",IF(I346&lt;&gt;"Applicable",IF(I346="","Applicability not set","Not in scope ("&amp;I346&amp;")"),IF(OR(J346="",J346="Not answered"),"Awaiting supplier response",IF(J346="Not applicable","Supplier states not applicable - analyst to confirm",IF(L346="","Evidence insufficient - none referenced",IF(M346=0,"Evidence insufficient - referenced ID not found",IF(SUMPRODUCT(ISNUMBER(SEARCH(","&amp;EV_ID&amp;",",","&amp;SUBSTITUTE(L346," ","")&amp;","))*(EV_ID&lt;&gt;"")*(EV_SUFF="Sufficient"))&gt;0,"Evidence reviewed - sufficient",IF(SUMPRODUCT(ISNUMBER(SEARCH(","&amp;EV_ID&amp;",",","&amp;SUBSTITUTE(L346," ","")&amp;","))*(EV_ID&lt;&gt;"")*(EV_SUFF="Partially sufficient"))&gt;0,"Evidence partially sufficient","Evidence insufficient - referenced evidence not sufficient"))))))))</f>
        <v/>
      </c>
      <c r="O346" s="50"/>
      <c r="P346" s="34"/>
      <c r="Q346" s="34"/>
      <c r="R346" s="50"/>
      <c r="S346" s="51"/>
      <c r="T346" s="51"/>
      <c r="U346" s="52" t="str">
        <f aca="false">IF(OR(A346="",Q346=""),"",IF(AND(ISNUMBER(S346),S346&lt;AsOf,O346&lt;&gt;"Reviewed"),"Overdue",""))</f>
        <v/>
      </c>
      <c r="V346" s="54" t="str">
        <f aca="false">IF(A346="","",IF(COUNTIF(QA_ID,A346)&gt;1,"CHECK: duplicate ID",IF(B346="","CHECK: Supplier ID missing",IF(COUNTIF(INV_ID,B346)=0,"CHECK: Supplier ID not in inventory",IF(E346="","CHECK: Question ID missing",IF(COUNTIF(QB_ID,E346)=0,"CHECK: Question ID not in bank","OK"))))))</f>
        <v/>
      </c>
    </row>
    <row r="347" customFormat="false" ht="15" hidden="false" customHeight="false" outlineLevel="0" collapsed="false">
      <c r="A347" s="50"/>
      <c r="B347" s="50"/>
      <c r="C347" s="59" t="str">
        <f aca="false">IF(B347="","",IFERROR(INDEX(INV_NAME,MATCH(B347,INV_ID,0)),"CHECK: Supplier ID not found"))</f>
        <v/>
      </c>
      <c r="D347" s="63" t="str">
        <f aca="false">IF(B347="","",IFERROR(INDEX(INV_TIER,MATCH(B347,INV_ID,0)),""))</f>
        <v/>
      </c>
      <c r="E347" s="50"/>
      <c r="F347" s="59" t="str">
        <f aca="false">IF(E347="","",IFERROR(INDEX(QB_Q,MATCH(E347,QB_ID,0)),"CHECK: Question ID not found"))</f>
        <v/>
      </c>
      <c r="G347" s="59" t="str">
        <f aca="false">IF(E347="","",IFERROR(INDEX(QB_DOMAIN,MATCH(E347,QB_ID,0)),""))</f>
        <v/>
      </c>
      <c r="H347" s="54" t="str">
        <f aca="false">IF(OR(A347="",E347=""),"",IFERROR(IF(ISNUMBER(MATCH(D347,{"Low","Medium","High"},0)),IF(MATCH(D347,{"Low","Medium","High"},0)&gt;=MATCH(INDEX(QB_MINTIER,MATCH(E347,QB_ID,0)),{"Low","Medium","High"},0),"Recommended for tier","Optional for tier"),"Tier not determined"),"Check question"))</f>
        <v/>
      </c>
      <c r="I347" s="34"/>
      <c r="J347" s="50"/>
      <c r="K347" s="34"/>
      <c r="L347" s="34"/>
      <c r="M347" s="62" t="str">
        <f aca="false">IF(L347="","",SUMPRODUCT(ISNUMBER(SEARCH(","&amp;EV_ID&amp;",",","&amp;SUBSTITUTE(L347," ","")&amp;","))*(EV_ID&lt;&gt;"")))</f>
        <v/>
      </c>
      <c r="N347" s="54" t="str">
        <f aca="false">IF(A347="","",IF(I347&lt;&gt;"Applicable",IF(I347="","Applicability not set","Not in scope ("&amp;I347&amp;")"),IF(OR(J347="",J347="Not answered"),"Awaiting supplier response",IF(J347="Not applicable","Supplier states not applicable - analyst to confirm",IF(L347="","Evidence insufficient - none referenced",IF(M347=0,"Evidence insufficient - referenced ID not found",IF(SUMPRODUCT(ISNUMBER(SEARCH(","&amp;EV_ID&amp;",",","&amp;SUBSTITUTE(L347," ","")&amp;","))*(EV_ID&lt;&gt;"")*(EV_SUFF="Sufficient"))&gt;0,"Evidence reviewed - sufficient",IF(SUMPRODUCT(ISNUMBER(SEARCH(","&amp;EV_ID&amp;",",","&amp;SUBSTITUTE(L347," ","")&amp;","))*(EV_ID&lt;&gt;"")*(EV_SUFF="Partially sufficient"))&gt;0,"Evidence partially sufficient","Evidence insufficient - referenced evidence not sufficient"))))))))</f>
        <v/>
      </c>
      <c r="O347" s="50"/>
      <c r="P347" s="34"/>
      <c r="Q347" s="34"/>
      <c r="R347" s="50"/>
      <c r="S347" s="51"/>
      <c r="T347" s="51"/>
      <c r="U347" s="52" t="str">
        <f aca="false">IF(OR(A347="",Q347=""),"",IF(AND(ISNUMBER(S347),S347&lt;AsOf,O347&lt;&gt;"Reviewed"),"Overdue",""))</f>
        <v/>
      </c>
      <c r="V347" s="54" t="str">
        <f aca="false">IF(A347="","",IF(COUNTIF(QA_ID,A347)&gt;1,"CHECK: duplicate ID",IF(B347="","CHECK: Supplier ID missing",IF(COUNTIF(INV_ID,B347)=0,"CHECK: Supplier ID not in inventory",IF(E347="","CHECK: Question ID missing",IF(COUNTIF(QB_ID,E347)=0,"CHECK: Question ID not in bank","OK"))))))</f>
        <v/>
      </c>
    </row>
    <row r="348" customFormat="false" ht="15" hidden="false" customHeight="false" outlineLevel="0" collapsed="false">
      <c r="A348" s="50"/>
      <c r="B348" s="50"/>
      <c r="C348" s="59" t="str">
        <f aca="false">IF(B348="","",IFERROR(INDEX(INV_NAME,MATCH(B348,INV_ID,0)),"CHECK: Supplier ID not found"))</f>
        <v/>
      </c>
      <c r="D348" s="63" t="str">
        <f aca="false">IF(B348="","",IFERROR(INDEX(INV_TIER,MATCH(B348,INV_ID,0)),""))</f>
        <v/>
      </c>
      <c r="E348" s="50"/>
      <c r="F348" s="59" t="str">
        <f aca="false">IF(E348="","",IFERROR(INDEX(QB_Q,MATCH(E348,QB_ID,0)),"CHECK: Question ID not found"))</f>
        <v/>
      </c>
      <c r="G348" s="59" t="str">
        <f aca="false">IF(E348="","",IFERROR(INDEX(QB_DOMAIN,MATCH(E348,QB_ID,0)),""))</f>
        <v/>
      </c>
      <c r="H348" s="54" t="str">
        <f aca="false">IF(OR(A348="",E348=""),"",IFERROR(IF(ISNUMBER(MATCH(D348,{"Low","Medium","High"},0)),IF(MATCH(D348,{"Low","Medium","High"},0)&gt;=MATCH(INDEX(QB_MINTIER,MATCH(E348,QB_ID,0)),{"Low","Medium","High"},0),"Recommended for tier","Optional for tier"),"Tier not determined"),"Check question"))</f>
        <v/>
      </c>
      <c r="I348" s="34"/>
      <c r="J348" s="50"/>
      <c r="K348" s="34"/>
      <c r="L348" s="34"/>
      <c r="M348" s="62" t="str">
        <f aca="false">IF(L348="","",SUMPRODUCT(ISNUMBER(SEARCH(","&amp;EV_ID&amp;",",","&amp;SUBSTITUTE(L348," ","")&amp;","))*(EV_ID&lt;&gt;"")))</f>
        <v/>
      </c>
      <c r="N348" s="54" t="str">
        <f aca="false">IF(A348="","",IF(I348&lt;&gt;"Applicable",IF(I348="","Applicability not set","Not in scope ("&amp;I348&amp;")"),IF(OR(J348="",J348="Not answered"),"Awaiting supplier response",IF(J348="Not applicable","Supplier states not applicable - analyst to confirm",IF(L348="","Evidence insufficient - none referenced",IF(M348=0,"Evidence insufficient - referenced ID not found",IF(SUMPRODUCT(ISNUMBER(SEARCH(","&amp;EV_ID&amp;",",","&amp;SUBSTITUTE(L348," ","")&amp;","))*(EV_ID&lt;&gt;"")*(EV_SUFF="Sufficient"))&gt;0,"Evidence reviewed - sufficient",IF(SUMPRODUCT(ISNUMBER(SEARCH(","&amp;EV_ID&amp;",",","&amp;SUBSTITUTE(L348," ","")&amp;","))*(EV_ID&lt;&gt;"")*(EV_SUFF="Partially sufficient"))&gt;0,"Evidence partially sufficient","Evidence insufficient - referenced evidence not sufficient"))))))))</f>
        <v/>
      </c>
      <c r="O348" s="50"/>
      <c r="P348" s="34"/>
      <c r="Q348" s="34"/>
      <c r="R348" s="50"/>
      <c r="S348" s="51"/>
      <c r="T348" s="51"/>
      <c r="U348" s="52" t="str">
        <f aca="false">IF(OR(A348="",Q348=""),"",IF(AND(ISNUMBER(S348),S348&lt;AsOf,O348&lt;&gt;"Reviewed"),"Overdue",""))</f>
        <v/>
      </c>
      <c r="V348" s="54" t="str">
        <f aca="false">IF(A348="","",IF(COUNTIF(QA_ID,A348)&gt;1,"CHECK: duplicate ID",IF(B348="","CHECK: Supplier ID missing",IF(COUNTIF(INV_ID,B348)=0,"CHECK: Supplier ID not in inventory",IF(E348="","CHECK: Question ID missing",IF(COUNTIF(QB_ID,E348)=0,"CHECK: Question ID not in bank","OK"))))))</f>
        <v/>
      </c>
    </row>
    <row r="349" customFormat="false" ht="15" hidden="false" customHeight="false" outlineLevel="0" collapsed="false">
      <c r="A349" s="50"/>
      <c r="B349" s="50"/>
      <c r="C349" s="59" t="str">
        <f aca="false">IF(B349="","",IFERROR(INDEX(INV_NAME,MATCH(B349,INV_ID,0)),"CHECK: Supplier ID not found"))</f>
        <v/>
      </c>
      <c r="D349" s="63" t="str">
        <f aca="false">IF(B349="","",IFERROR(INDEX(INV_TIER,MATCH(B349,INV_ID,0)),""))</f>
        <v/>
      </c>
      <c r="E349" s="50"/>
      <c r="F349" s="59" t="str">
        <f aca="false">IF(E349="","",IFERROR(INDEX(QB_Q,MATCH(E349,QB_ID,0)),"CHECK: Question ID not found"))</f>
        <v/>
      </c>
      <c r="G349" s="59" t="str">
        <f aca="false">IF(E349="","",IFERROR(INDEX(QB_DOMAIN,MATCH(E349,QB_ID,0)),""))</f>
        <v/>
      </c>
      <c r="H349" s="54" t="str">
        <f aca="false">IF(OR(A349="",E349=""),"",IFERROR(IF(ISNUMBER(MATCH(D349,{"Low","Medium","High"},0)),IF(MATCH(D349,{"Low","Medium","High"},0)&gt;=MATCH(INDEX(QB_MINTIER,MATCH(E349,QB_ID,0)),{"Low","Medium","High"},0),"Recommended for tier","Optional for tier"),"Tier not determined"),"Check question"))</f>
        <v/>
      </c>
      <c r="I349" s="34"/>
      <c r="J349" s="50"/>
      <c r="K349" s="34"/>
      <c r="L349" s="34"/>
      <c r="M349" s="62" t="str">
        <f aca="false">IF(L349="","",SUMPRODUCT(ISNUMBER(SEARCH(","&amp;EV_ID&amp;",",","&amp;SUBSTITUTE(L349," ","")&amp;","))*(EV_ID&lt;&gt;"")))</f>
        <v/>
      </c>
      <c r="N349" s="54" t="str">
        <f aca="false">IF(A349="","",IF(I349&lt;&gt;"Applicable",IF(I349="","Applicability not set","Not in scope ("&amp;I349&amp;")"),IF(OR(J349="",J349="Not answered"),"Awaiting supplier response",IF(J349="Not applicable","Supplier states not applicable - analyst to confirm",IF(L349="","Evidence insufficient - none referenced",IF(M349=0,"Evidence insufficient - referenced ID not found",IF(SUMPRODUCT(ISNUMBER(SEARCH(","&amp;EV_ID&amp;",",","&amp;SUBSTITUTE(L349," ","")&amp;","))*(EV_ID&lt;&gt;"")*(EV_SUFF="Sufficient"))&gt;0,"Evidence reviewed - sufficient",IF(SUMPRODUCT(ISNUMBER(SEARCH(","&amp;EV_ID&amp;",",","&amp;SUBSTITUTE(L349," ","")&amp;","))*(EV_ID&lt;&gt;"")*(EV_SUFF="Partially sufficient"))&gt;0,"Evidence partially sufficient","Evidence insufficient - referenced evidence not sufficient"))))))))</f>
        <v/>
      </c>
      <c r="O349" s="50"/>
      <c r="P349" s="34"/>
      <c r="Q349" s="34"/>
      <c r="R349" s="50"/>
      <c r="S349" s="51"/>
      <c r="T349" s="51"/>
      <c r="U349" s="52" t="str">
        <f aca="false">IF(OR(A349="",Q349=""),"",IF(AND(ISNUMBER(S349),S349&lt;AsOf,O349&lt;&gt;"Reviewed"),"Overdue",""))</f>
        <v/>
      </c>
      <c r="V349" s="54" t="str">
        <f aca="false">IF(A349="","",IF(COUNTIF(QA_ID,A349)&gt;1,"CHECK: duplicate ID",IF(B349="","CHECK: Supplier ID missing",IF(COUNTIF(INV_ID,B349)=0,"CHECK: Supplier ID not in inventory",IF(E349="","CHECK: Question ID missing",IF(COUNTIF(QB_ID,E349)=0,"CHECK: Question ID not in bank","OK"))))))</f>
        <v/>
      </c>
    </row>
    <row r="350" customFormat="false" ht="15" hidden="false" customHeight="false" outlineLevel="0" collapsed="false">
      <c r="A350" s="50"/>
      <c r="B350" s="50"/>
      <c r="C350" s="59" t="str">
        <f aca="false">IF(B350="","",IFERROR(INDEX(INV_NAME,MATCH(B350,INV_ID,0)),"CHECK: Supplier ID not found"))</f>
        <v/>
      </c>
      <c r="D350" s="63" t="str">
        <f aca="false">IF(B350="","",IFERROR(INDEX(INV_TIER,MATCH(B350,INV_ID,0)),""))</f>
        <v/>
      </c>
      <c r="E350" s="50"/>
      <c r="F350" s="59" t="str">
        <f aca="false">IF(E350="","",IFERROR(INDEX(QB_Q,MATCH(E350,QB_ID,0)),"CHECK: Question ID not found"))</f>
        <v/>
      </c>
      <c r="G350" s="59" t="str">
        <f aca="false">IF(E350="","",IFERROR(INDEX(QB_DOMAIN,MATCH(E350,QB_ID,0)),""))</f>
        <v/>
      </c>
      <c r="H350" s="54" t="str">
        <f aca="false">IF(OR(A350="",E350=""),"",IFERROR(IF(ISNUMBER(MATCH(D350,{"Low","Medium","High"},0)),IF(MATCH(D350,{"Low","Medium","High"},0)&gt;=MATCH(INDEX(QB_MINTIER,MATCH(E350,QB_ID,0)),{"Low","Medium","High"},0),"Recommended for tier","Optional for tier"),"Tier not determined"),"Check question"))</f>
        <v/>
      </c>
      <c r="I350" s="34"/>
      <c r="J350" s="50"/>
      <c r="K350" s="34"/>
      <c r="L350" s="34"/>
      <c r="M350" s="62" t="str">
        <f aca="false">IF(L350="","",SUMPRODUCT(ISNUMBER(SEARCH(","&amp;EV_ID&amp;",",","&amp;SUBSTITUTE(L350," ","")&amp;","))*(EV_ID&lt;&gt;"")))</f>
        <v/>
      </c>
      <c r="N350" s="54" t="str">
        <f aca="false">IF(A350="","",IF(I350&lt;&gt;"Applicable",IF(I350="","Applicability not set","Not in scope ("&amp;I350&amp;")"),IF(OR(J350="",J350="Not answered"),"Awaiting supplier response",IF(J350="Not applicable","Supplier states not applicable - analyst to confirm",IF(L350="","Evidence insufficient - none referenced",IF(M350=0,"Evidence insufficient - referenced ID not found",IF(SUMPRODUCT(ISNUMBER(SEARCH(","&amp;EV_ID&amp;",",","&amp;SUBSTITUTE(L350," ","")&amp;","))*(EV_ID&lt;&gt;"")*(EV_SUFF="Sufficient"))&gt;0,"Evidence reviewed - sufficient",IF(SUMPRODUCT(ISNUMBER(SEARCH(","&amp;EV_ID&amp;",",","&amp;SUBSTITUTE(L350," ","")&amp;","))*(EV_ID&lt;&gt;"")*(EV_SUFF="Partially sufficient"))&gt;0,"Evidence partially sufficient","Evidence insufficient - referenced evidence not sufficient"))))))))</f>
        <v/>
      </c>
      <c r="O350" s="50"/>
      <c r="P350" s="34"/>
      <c r="Q350" s="34"/>
      <c r="R350" s="50"/>
      <c r="S350" s="51"/>
      <c r="T350" s="51"/>
      <c r="U350" s="52" t="str">
        <f aca="false">IF(OR(A350="",Q350=""),"",IF(AND(ISNUMBER(S350),S350&lt;AsOf,O350&lt;&gt;"Reviewed"),"Overdue",""))</f>
        <v/>
      </c>
      <c r="V350" s="54" t="str">
        <f aca="false">IF(A350="","",IF(COUNTIF(QA_ID,A350)&gt;1,"CHECK: duplicate ID",IF(B350="","CHECK: Supplier ID missing",IF(COUNTIF(INV_ID,B350)=0,"CHECK: Supplier ID not in inventory",IF(E350="","CHECK: Question ID missing",IF(COUNTIF(QB_ID,E350)=0,"CHECK: Question ID not in bank","OK"))))))</f>
        <v/>
      </c>
    </row>
    <row r="351" customFormat="false" ht="15" hidden="false" customHeight="false" outlineLevel="0" collapsed="false">
      <c r="A351" s="50"/>
      <c r="B351" s="50"/>
      <c r="C351" s="59" t="str">
        <f aca="false">IF(B351="","",IFERROR(INDEX(INV_NAME,MATCH(B351,INV_ID,0)),"CHECK: Supplier ID not found"))</f>
        <v/>
      </c>
      <c r="D351" s="63" t="str">
        <f aca="false">IF(B351="","",IFERROR(INDEX(INV_TIER,MATCH(B351,INV_ID,0)),""))</f>
        <v/>
      </c>
      <c r="E351" s="50"/>
      <c r="F351" s="59" t="str">
        <f aca="false">IF(E351="","",IFERROR(INDEX(QB_Q,MATCH(E351,QB_ID,0)),"CHECK: Question ID not found"))</f>
        <v/>
      </c>
      <c r="G351" s="59" t="str">
        <f aca="false">IF(E351="","",IFERROR(INDEX(QB_DOMAIN,MATCH(E351,QB_ID,0)),""))</f>
        <v/>
      </c>
      <c r="H351" s="54" t="str">
        <f aca="false">IF(OR(A351="",E351=""),"",IFERROR(IF(ISNUMBER(MATCH(D351,{"Low","Medium","High"},0)),IF(MATCH(D351,{"Low","Medium","High"},0)&gt;=MATCH(INDEX(QB_MINTIER,MATCH(E351,QB_ID,0)),{"Low","Medium","High"},0),"Recommended for tier","Optional for tier"),"Tier not determined"),"Check question"))</f>
        <v/>
      </c>
      <c r="I351" s="34"/>
      <c r="J351" s="50"/>
      <c r="K351" s="34"/>
      <c r="L351" s="34"/>
      <c r="M351" s="62" t="str">
        <f aca="false">IF(L351="","",SUMPRODUCT(ISNUMBER(SEARCH(","&amp;EV_ID&amp;",",","&amp;SUBSTITUTE(L351," ","")&amp;","))*(EV_ID&lt;&gt;"")))</f>
        <v/>
      </c>
      <c r="N351" s="54" t="str">
        <f aca="false">IF(A351="","",IF(I351&lt;&gt;"Applicable",IF(I351="","Applicability not set","Not in scope ("&amp;I351&amp;")"),IF(OR(J351="",J351="Not answered"),"Awaiting supplier response",IF(J351="Not applicable","Supplier states not applicable - analyst to confirm",IF(L351="","Evidence insufficient - none referenced",IF(M351=0,"Evidence insufficient - referenced ID not found",IF(SUMPRODUCT(ISNUMBER(SEARCH(","&amp;EV_ID&amp;",",","&amp;SUBSTITUTE(L351," ","")&amp;","))*(EV_ID&lt;&gt;"")*(EV_SUFF="Sufficient"))&gt;0,"Evidence reviewed - sufficient",IF(SUMPRODUCT(ISNUMBER(SEARCH(","&amp;EV_ID&amp;",",","&amp;SUBSTITUTE(L351," ","")&amp;","))*(EV_ID&lt;&gt;"")*(EV_SUFF="Partially sufficient"))&gt;0,"Evidence partially sufficient","Evidence insufficient - referenced evidence not sufficient"))))))))</f>
        <v/>
      </c>
      <c r="O351" s="50"/>
      <c r="P351" s="34"/>
      <c r="Q351" s="34"/>
      <c r="R351" s="50"/>
      <c r="S351" s="51"/>
      <c r="T351" s="51"/>
      <c r="U351" s="52" t="str">
        <f aca="false">IF(OR(A351="",Q351=""),"",IF(AND(ISNUMBER(S351),S351&lt;AsOf,O351&lt;&gt;"Reviewed"),"Overdue",""))</f>
        <v/>
      </c>
      <c r="V351" s="54" t="str">
        <f aca="false">IF(A351="","",IF(COUNTIF(QA_ID,A351)&gt;1,"CHECK: duplicate ID",IF(B351="","CHECK: Supplier ID missing",IF(COUNTIF(INV_ID,B351)=0,"CHECK: Supplier ID not in inventory",IF(E351="","CHECK: Question ID missing",IF(COUNTIF(QB_ID,E351)=0,"CHECK: Question ID not in bank","OK"))))))</f>
        <v/>
      </c>
    </row>
    <row r="352" customFormat="false" ht="15" hidden="false" customHeight="false" outlineLevel="0" collapsed="false">
      <c r="A352" s="50"/>
      <c r="B352" s="50"/>
      <c r="C352" s="59" t="str">
        <f aca="false">IF(B352="","",IFERROR(INDEX(INV_NAME,MATCH(B352,INV_ID,0)),"CHECK: Supplier ID not found"))</f>
        <v/>
      </c>
      <c r="D352" s="63" t="str">
        <f aca="false">IF(B352="","",IFERROR(INDEX(INV_TIER,MATCH(B352,INV_ID,0)),""))</f>
        <v/>
      </c>
      <c r="E352" s="50"/>
      <c r="F352" s="59" t="str">
        <f aca="false">IF(E352="","",IFERROR(INDEX(QB_Q,MATCH(E352,QB_ID,0)),"CHECK: Question ID not found"))</f>
        <v/>
      </c>
      <c r="G352" s="59" t="str">
        <f aca="false">IF(E352="","",IFERROR(INDEX(QB_DOMAIN,MATCH(E352,QB_ID,0)),""))</f>
        <v/>
      </c>
      <c r="H352" s="54" t="str">
        <f aca="false">IF(OR(A352="",E352=""),"",IFERROR(IF(ISNUMBER(MATCH(D352,{"Low","Medium","High"},0)),IF(MATCH(D352,{"Low","Medium","High"},0)&gt;=MATCH(INDEX(QB_MINTIER,MATCH(E352,QB_ID,0)),{"Low","Medium","High"},0),"Recommended for tier","Optional for tier"),"Tier not determined"),"Check question"))</f>
        <v/>
      </c>
      <c r="I352" s="34"/>
      <c r="J352" s="50"/>
      <c r="K352" s="34"/>
      <c r="L352" s="34"/>
      <c r="M352" s="62" t="str">
        <f aca="false">IF(L352="","",SUMPRODUCT(ISNUMBER(SEARCH(","&amp;EV_ID&amp;",",","&amp;SUBSTITUTE(L352," ","")&amp;","))*(EV_ID&lt;&gt;"")))</f>
        <v/>
      </c>
      <c r="N352" s="54" t="str">
        <f aca="false">IF(A352="","",IF(I352&lt;&gt;"Applicable",IF(I352="","Applicability not set","Not in scope ("&amp;I352&amp;")"),IF(OR(J352="",J352="Not answered"),"Awaiting supplier response",IF(J352="Not applicable","Supplier states not applicable - analyst to confirm",IF(L352="","Evidence insufficient - none referenced",IF(M352=0,"Evidence insufficient - referenced ID not found",IF(SUMPRODUCT(ISNUMBER(SEARCH(","&amp;EV_ID&amp;",",","&amp;SUBSTITUTE(L352," ","")&amp;","))*(EV_ID&lt;&gt;"")*(EV_SUFF="Sufficient"))&gt;0,"Evidence reviewed - sufficient",IF(SUMPRODUCT(ISNUMBER(SEARCH(","&amp;EV_ID&amp;",",","&amp;SUBSTITUTE(L352," ","")&amp;","))*(EV_ID&lt;&gt;"")*(EV_SUFF="Partially sufficient"))&gt;0,"Evidence partially sufficient","Evidence insufficient - referenced evidence not sufficient"))))))))</f>
        <v/>
      </c>
      <c r="O352" s="50"/>
      <c r="P352" s="34"/>
      <c r="Q352" s="34"/>
      <c r="R352" s="50"/>
      <c r="S352" s="51"/>
      <c r="T352" s="51"/>
      <c r="U352" s="52" t="str">
        <f aca="false">IF(OR(A352="",Q352=""),"",IF(AND(ISNUMBER(S352),S352&lt;AsOf,O352&lt;&gt;"Reviewed"),"Overdue",""))</f>
        <v/>
      </c>
      <c r="V352" s="54" t="str">
        <f aca="false">IF(A352="","",IF(COUNTIF(QA_ID,A352)&gt;1,"CHECK: duplicate ID",IF(B352="","CHECK: Supplier ID missing",IF(COUNTIF(INV_ID,B352)=0,"CHECK: Supplier ID not in inventory",IF(E352="","CHECK: Question ID missing",IF(COUNTIF(QB_ID,E352)=0,"CHECK: Question ID not in bank","OK"))))))</f>
        <v/>
      </c>
    </row>
    <row r="353" customFormat="false" ht="15" hidden="false" customHeight="false" outlineLevel="0" collapsed="false">
      <c r="A353" s="50"/>
      <c r="B353" s="50"/>
      <c r="C353" s="59" t="str">
        <f aca="false">IF(B353="","",IFERROR(INDEX(INV_NAME,MATCH(B353,INV_ID,0)),"CHECK: Supplier ID not found"))</f>
        <v/>
      </c>
      <c r="D353" s="63" t="str">
        <f aca="false">IF(B353="","",IFERROR(INDEX(INV_TIER,MATCH(B353,INV_ID,0)),""))</f>
        <v/>
      </c>
      <c r="E353" s="50"/>
      <c r="F353" s="59" t="str">
        <f aca="false">IF(E353="","",IFERROR(INDEX(QB_Q,MATCH(E353,QB_ID,0)),"CHECK: Question ID not found"))</f>
        <v/>
      </c>
      <c r="G353" s="59" t="str">
        <f aca="false">IF(E353="","",IFERROR(INDEX(QB_DOMAIN,MATCH(E353,QB_ID,0)),""))</f>
        <v/>
      </c>
      <c r="H353" s="54" t="str">
        <f aca="false">IF(OR(A353="",E353=""),"",IFERROR(IF(ISNUMBER(MATCH(D353,{"Low","Medium","High"},0)),IF(MATCH(D353,{"Low","Medium","High"},0)&gt;=MATCH(INDEX(QB_MINTIER,MATCH(E353,QB_ID,0)),{"Low","Medium","High"},0),"Recommended for tier","Optional for tier"),"Tier not determined"),"Check question"))</f>
        <v/>
      </c>
      <c r="I353" s="34"/>
      <c r="J353" s="50"/>
      <c r="K353" s="34"/>
      <c r="L353" s="34"/>
      <c r="M353" s="62" t="str">
        <f aca="false">IF(L353="","",SUMPRODUCT(ISNUMBER(SEARCH(","&amp;EV_ID&amp;",",","&amp;SUBSTITUTE(L353," ","")&amp;","))*(EV_ID&lt;&gt;"")))</f>
        <v/>
      </c>
      <c r="N353" s="54" t="str">
        <f aca="false">IF(A353="","",IF(I353&lt;&gt;"Applicable",IF(I353="","Applicability not set","Not in scope ("&amp;I353&amp;")"),IF(OR(J353="",J353="Not answered"),"Awaiting supplier response",IF(J353="Not applicable","Supplier states not applicable - analyst to confirm",IF(L353="","Evidence insufficient - none referenced",IF(M353=0,"Evidence insufficient - referenced ID not found",IF(SUMPRODUCT(ISNUMBER(SEARCH(","&amp;EV_ID&amp;",",","&amp;SUBSTITUTE(L353," ","")&amp;","))*(EV_ID&lt;&gt;"")*(EV_SUFF="Sufficient"))&gt;0,"Evidence reviewed - sufficient",IF(SUMPRODUCT(ISNUMBER(SEARCH(","&amp;EV_ID&amp;",",","&amp;SUBSTITUTE(L353," ","")&amp;","))*(EV_ID&lt;&gt;"")*(EV_SUFF="Partially sufficient"))&gt;0,"Evidence partially sufficient","Evidence insufficient - referenced evidence not sufficient"))))))))</f>
        <v/>
      </c>
      <c r="O353" s="50"/>
      <c r="P353" s="34"/>
      <c r="Q353" s="34"/>
      <c r="R353" s="50"/>
      <c r="S353" s="51"/>
      <c r="T353" s="51"/>
      <c r="U353" s="52" t="str">
        <f aca="false">IF(OR(A353="",Q353=""),"",IF(AND(ISNUMBER(S353),S353&lt;AsOf,O353&lt;&gt;"Reviewed"),"Overdue",""))</f>
        <v/>
      </c>
      <c r="V353" s="54" t="str">
        <f aca="false">IF(A353="","",IF(COUNTIF(QA_ID,A353)&gt;1,"CHECK: duplicate ID",IF(B353="","CHECK: Supplier ID missing",IF(COUNTIF(INV_ID,B353)=0,"CHECK: Supplier ID not in inventory",IF(E353="","CHECK: Question ID missing",IF(COUNTIF(QB_ID,E353)=0,"CHECK: Question ID not in bank","OK"))))))</f>
        <v/>
      </c>
    </row>
    <row r="354" customFormat="false" ht="15" hidden="false" customHeight="false" outlineLevel="0" collapsed="false">
      <c r="A354" s="50"/>
      <c r="B354" s="50"/>
      <c r="C354" s="59" t="str">
        <f aca="false">IF(B354="","",IFERROR(INDEX(INV_NAME,MATCH(B354,INV_ID,0)),"CHECK: Supplier ID not found"))</f>
        <v/>
      </c>
      <c r="D354" s="63" t="str">
        <f aca="false">IF(B354="","",IFERROR(INDEX(INV_TIER,MATCH(B354,INV_ID,0)),""))</f>
        <v/>
      </c>
      <c r="E354" s="50"/>
      <c r="F354" s="59" t="str">
        <f aca="false">IF(E354="","",IFERROR(INDEX(QB_Q,MATCH(E354,QB_ID,0)),"CHECK: Question ID not found"))</f>
        <v/>
      </c>
      <c r="G354" s="59" t="str">
        <f aca="false">IF(E354="","",IFERROR(INDEX(QB_DOMAIN,MATCH(E354,QB_ID,0)),""))</f>
        <v/>
      </c>
      <c r="H354" s="54" t="str">
        <f aca="false">IF(OR(A354="",E354=""),"",IFERROR(IF(ISNUMBER(MATCH(D354,{"Low","Medium","High"},0)),IF(MATCH(D354,{"Low","Medium","High"},0)&gt;=MATCH(INDEX(QB_MINTIER,MATCH(E354,QB_ID,0)),{"Low","Medium","High"},0),"Recommended for tier","Optional for tier"),"Tier not determined"),"Check question"))</f>
        <v/>
      </c>
      <c r="I354" s="34"/>
      <c r="J354" s="50"/>
      <c r="K354" s="34"/>
      <c r="L354" s="34"/>
      <c r="M354" s="62" t="str">
        <f aca="false">IF(L354="","",SUMPRODUCT(ISNUMBER(SEARCH(","&amp;EV_ID&amp;",",","&amp;SUBSTITUTE(L354," ","")&amp;","))*(EV_ID&lt;&gt;"")))</f>
        <v/>
      </c>
      <c r="N354" s="54" t="str">
        <f aca="false">IF(A354="","",IF(I354&lt;&gt;"Applicable",IF(I354="","Applicability not set","Not in scope ("&amp;I354&amp;")"),IF(OR(J354="",J354="Not answered"),"Awaiting supplier response",IF(J354="Not applicable","Supplier states not applicable - analyst to confirm",IF(L354="","Evidence insufficient - none referenced",IF(M354=0,"Evidence insufficient - referenced ID not found",IF(SUMPRODUCT(ISNUMBER(SEARCH(","&amp;EV_ID&amp;",",","&amp;SUBSTITUTE(L354," ","")&amp;","))*(EV_ID&lt;&gt;"")*(EV_SUFF="Sufficient"))&gt;0,"Evidence reviewed - sufficient",IF(SUMPRODUCT(ISNUMBER(SEARCH(","&amp;EV_ID&amp;",",","&amp;SUBSTITUTE(L354," ","")&amp;","))*(EV_ID&lt;&gt;"")*(EV_SUFF="Partially sufficient"))&gt;0,"Evidence partially sufficient","Evidence insufficient - referenced evidence not sufficient"))))))))</f>
        <v/>
      </c>
      <c r="O354" s="50"/>
      <c r="P354" s="34"/>
      <c r="Q354" s="34"/>
      <c r="R354" s="50"/>
      <c r="S354" s="51"/>
      <c r="T354" s="51"/>
      <c r="U354" s="52" t="str">
        <f aca="false">IF(OR(A354="",Q354=""),"",IF(AND(ISNUMBER(S354),S354&lt;AsOf,O354&lt;&gt;"Reviewed"),"Overdue",""))</f>
        <v/>
      </c>
      <c r="V354" s="54" t="str">
        <f aca="false">IF(A354="","",IF(COUNTIF(QA_ID,A354)&gt;1,"CHECK: duplicate ID",IF(B354="","CHECK: Supplier ID missing",IF(COUNTIF(INV_ID,B354)=0,"CHECK: Supplier ID not in inventory",IF(E354="","CHECK: Question ID missing",IF(COUNTIF(QB_ID,E354)=0,"CHECK: Question ID not in bank","OK"))))))</f>
        <v/>
      </c>
    </row>
    <row r="355" customFormat="false" ht="15" hidden="false" customHeight="false" outlineLevel="0" collapsed="false">
      <c r="A355" s="50"/>
      <c r="B355" s="50"/>
      <c r="C355" s="59" t="str">
        <f aca="false">IF(B355="","",IFERROR(INDEX(INV_NAME,MATCH(B355,INV_ID,0)),"CHECK: Supplier ID not found"))</f>
        <v/>
      </c>
      <c r="D355" s="63" t="str">
        <f aca="false">IF(B355="","",IFERROR(INDEX(INV_TIER,MATCH(B355,INV_ID,0)),""))</f>
        <v/>
      </c>
      <c r="E355" s="50"/>
      <c r="F355" s="59" t="str">
        <f aca="false">IF(E355="","",IFERROR(INDEX(QB_Q,MATCH(E355,QB_ID,0)),"CHECK: Question ID not found"))</f>
        <v/>
      </c>
      <c r="G355" s="59" t="str">
        <f aca="false">IF(E355="","",IFERROR(INDEX(QB_DOMAIN,MATCH(E355,QB_ID,0)),""))</f>
        <v/>
      </c>
      <c r="H355" s="54" t="str">
        <f aca="false">IF(OR(A355="",E355=""),"",IFERROR(IF(ISNUMBER(MATCH(D355,{"Low","Medium","High"},0)),IF(MATCH(D355,{"Low","Medium","High"},0)&gt;=MATCH(INDEX(QB_MINTIER,MATCH(E355,QB_ID,0)),{"Low","Medium","High"},0),"Recommended for tier","Optional for tier"),"Tier not determined"),"Check question"))</f>
        <v/>
      </c>
      <c r="I355" s="34"/>
      <c r="J355" s="50"/>
      <c r="K355" s="34"/>
      <c r="L355" s="34"/>
      <c r="M355" s="62" t="str">
        <f aca="false">IF(L355="","",SUMPRODUCT(ISNUMBER(SEARCH(","&amp;EV_ID&amp;",",","&amp;SUBSTITUTE(L355," ","")&amp;","))*(EV_ID&lt;&gt;"")))</f>
        <v/>
      </c>
      <c r="N355" s="54" t="str">
        <f aca="false">IF(A355="","",IF(I355&lt;&gt;"Applicable",IF(I355="","Applicability not set","Not in scope ("&amp;I355&amp;")"),IF(OR(J355="",J355="Not answered"),"Awaiting supplier response",IF(J355="Not applicable","Supplier states not applicable - analyst to confirm",IF(L355="","Evidence insufficient - none referenced",IF(M355=0,"Evidence insufficient - referenced ID not found",IF(SUMPRODUCT(ISNUMBER(SEARCH(","&amp;EV_ID&amp;",",","&amp;SUBSTITUTE(L355," ","")&amp;","))*(EV_ID&lt;&gt;"")*(EV_SUFF="Sufficient"))&gt;0,"Evidence reviewed - sufficient",IF(SUMPRODUCT(ISNUMBER(SEARCH(","&amp;EV_ID&amp;",",","&amp;SUBSTITUTE(L355," ","")&amp;","))*(EV_ID&lt;&gt;"")*(EV_SUFF="Partially sufficient"))&gt;0,"Evidence partially sufficient","Evidence insufficient - referenced evidence not sufficient"))))))))</f>
        <v/>
      </c>
      <c r="O355" s="50"/>
      <c r="P355" s="34"/>
      <c r="Q355" s="34"/>
      <c r="R355" s="50"/>
      <c r="S355" s="51"/>
      <c r="T355" s="51"/>
      <c r="U355" s="52" t="str">
        <f aca="false">IF(OR(A355="",Q355=""),"",IF(AND(ISNUMBER(S355),S355&lt;AsOf,O355&lt;&gt;"Reviewed"),"Overdue",""))</f>
        <v/>
      </c>
      <c r="V355" s="54" t="str">
        <f aca="false">IF(A355="","",IF(COUNTIF(QA_ID,A355)&gt;1,"CHECK: duplicate ID",IF(B355="","CHECK: Supplier ID missing",IF(COUNTIF(INV_ID,B355)=0,"CHECK: Supplier ID not in inventory",IF(E355="","CHECK: Question ID missing",IF(COUNTIF(QB_ID,E355)=0,"CHECK: Question ID not in bank","OK"))))))</f>
        <v/>
      </c>
    </row>
    <row r="356" customFormat="false" ht="15" hidden="false" customHeight="false" outlineLevel="0" collapsed="false">
      <c r="A356" s="50"/>
      <c r="B356" s="50"/>
      <c r="C356" s="59" t="str">
        <f aca="false">IF(B356="","",IFERROR(INDEX(INV_NAME,MATCH(B356,INV_ID,0)),"CHECK: Supplier ID not found"))</f>
        <v/>
      </c>
      <c r="D356" s="63" t="str">
        <f aca="false">IF(B356="","",IFERROR(INDEX(INV_TIER,MATCH(B356,INV_ID,0)),""))</f>
        <v/>
      </c>
      <c r="E356" s="50"/>
      <c r="F356" s="59" t="str">
        <f aca="false">IF(E356="","",IFERROR(INDEX(QB_Q,MATCH(E356,QB_ID,0)),"CHECK: Question ID not found"))</f>
        <v/>
      </c>
      <c r="G356" s="59" t="str">
        <f aca="false">IF(E356="","",IFERROR(INDEX(QB_DOMAIN,MATCH(E356,QB_ID,0)),""))</f>
        <v/>
      </c>
      <c r="H356" s="54" t="str">
        <f aca="false">IF(OR(A356="",E356=""),"",IFERROR(IF(ISNUMBER(MATCH(D356,{"Low","Medium","High"},0)),IF(MATCH(D356,{"Low","Medium","High"},0)&gt;=MATCH(INDEX(QB_MINTIER,MATCH(E356,QB_ID,0)),{"Low","Medium","High"},0),"Recommended for tier","Optional for tier"),"Tier not determined"),"Check question"))</f>
        <v/>
      </c>
      <c r="I356" s="34"/>
      <c r="J356" s="50"/>
      <c r="K356" s="34"/>
      <c r="L356" s="34"/>
      <c r="M356" s="62" t="str">
        <f aca="false">IF(L356="","",SUMPRODUCT(ISNUMBER(SEARCH(","&amp;EV_ID&amp;",",","&amp;SUBSTITUTE(L356," ","")&amp;","))*(EV_ID&lt;&gt;"")))</f>
        <v/>
      </c>
      <c r="N356" s="54" t="str">
        <f aca="false">IF(A356="","",IF(I356&lt;&gt;"Applicable",IF(I356="","Applicability not set","Not in scope ("&amp;I356&amp;")"),IF(OR(J356="",J356="Not answered"),"Awaiting supplier response",IF(J356="Not applicable","Supplier states not applicable - analyst to confirm",IF(L356="","Evidence insufficient - none referenced",IF(M356=0,"Evidence insufficient - referenced ID not found",IF(SUMPRODUCT(ISNUMBER(SEARCH(","&amp;EV_ID&amp;",",","&amp;SUBSTITUTE(L356," ","")&amp;","))*(EV_ID&lt;&gt;"")*(EV_SUFF="Sufficient"))&gt;0,"Evidence reviewed - sufficient",IF(SUMPRODUCT(ISNUMBER(SEARCH(","&amp;EV_ID&amp;",",","&amp;SUBSTITUTE(L356," ","")&amp;","))*(EV_ID&lt;&gt;"")*(EV_SUFF="Partially sufficient"))&gt;0,"Evidence partially sufficient","Evidence insufficient - referenced evidence not sufficient"))))))))</f>
        <v/>
      </c>
      <c r="O356" s="50"/>
      <c r="P356" s="34"/>
      <c r="Q356" s="34"/>
      <c r="R356" s="50"/>
      <c r="S356" s="51"/>
      <c r="T356" s="51"/>
      <c r="U356" s="52" t="str">
        <f aca="false">IF(OR(A356="",Q356=""),"",IF(AND(ISNUMBER(S356),S356&lt;AsOf,O356&lt;&gt;"Reviewed"),"Overdue",""))</f>
        <v/>
      </c>
      <c r="V356" s="54" t="str">
        <f aca="false">IF(A356="","",IF(COUNTIF(QA_ID,A356)&gt;1,"CHECK: duplicate ID",IF(B356="","CHECK: Supplier ID missing",IF(COUNTIF(INV_ID,B356)=0,"CHECK: Supplier ID not in inventory",IF(E356="","CHECK: Question ID missing",IF(COUNTIF(QB_ID,E356)=0,"CHECK: Question ID not in bank","OK"))))))</f>
        <v/>
      </c>
    </row>
    <row r="357" customFormat="false" ht="15" hidden="false" customHeight="false" outlineLevel="0" collapsed="false">
      <c r="A357" s="50"/>
      <c r="B357" s="50"/>
      <c r="C357" s="59" t="str">
        <f aca="false">IF(B357="","",IFERROR(INDEX(INV_NAME,MATCH(B357,INV_ID,0)),"CHECK: Supplier ID not found"))</f>
        <v/>
      </c>
      <c r="D357" s="63" t="str">
        <f aca="false">IF(B357="","",IFERROR(INDEX(INV_TIER,MATCH(B357,INV_ID,0)),""))</f>
        <v/>
      </c>
      <c r="E357" s="50"/>
      <c r="F357" s="59" t="str">
        <f aca="false">IF(E357="","",IFERROR(INDEX(QB_Q,MATCH(E357,QB_ID,0)),"CHECK: Question ID not found"))</f>
        <v/>
      </c>
      <c r="G357" s="59" t="str">
        <f aca="false">IF(E357="","",IFERROR(INDEX(QB_DOMAIN,MATCH(E357,QB_ID,0)),""))</f>
        <v/>
      </c>
      <c r="H357" s="54" t="str">
        <f aca="false">IF(OR(A357="",E357=""),"",IFERROR(IF(ISNUMBER(MATCH(D357,{"Low","Medium","High"},0)),IF(MATCH(D357,{"Low","Medium","High"},0)&gt;=MATCH(INDEX(QB_MINTIER,MATCH(E357,QB_ID,0)),{"Low","Medium","High"},0),"Recommended for tier","Optional for tier"),"Tier not determined"),"Check question"))</f>
        <v/>
      </c>
      <c r="I357" s="34"/>
      <c r="J357" s="50"/>
      <c r="K357" s="34"/>
      <c r="L357" s="34"/>
      <c r="M357" s="62" t="str">
        <f aca="false">IF(L357="","",SUMPRODUCT(ISNUMBER(SEARCH(","&amp;EV_ID&amp;",",","&amp;SUBSTITUTE(L357," ","")&amp;","))*(EV_ID&lt;&gt;"")))</f>
        <v/>
      </c>
      <c r="N357" s="54" t="str">
        <f aca="false">IF(A357="","",IF(I357&lt;&gt;"Applicable",IF(I357="","Applicability not set","Not in scope ("&amp;I357&amp;")"),IF(OR(J357="",J357="Not answered"),"Awaiting supplier response",IF(J357="Not applicable","Supplier states not applicable - analyst to confirm",IF(L357="","Evidence insufficient - none referenced",IF(M357=0,"Evidence insufficient - referenced ID not found",IF(SUMPRODUCT(ISNUMBER(SEARCH(","&amp;EV_ID&amp;",",","&amp;SUBSTITUTE(L357," ","")&amp;","))*(EV_ID&lt;&gt;"")*(EV_SUFF="Sufficient"))&gt;0,"Evidence reviewed - sufficient",IF(SUMPRODUCT(ISNUMBER(SEARCH(","&amp;EV_ID&amp;",",","&amp;SUBSTITUTE(L357," ","")&amp;","))*(EV_ID&lt;&gt;"")*(EV_SUFF="Partially sufficient"))&gt;0,"Evidence partially sufficient","Evidence insufficient - referenced evidence not sufficient"))))))))</f>
        <v/>
      </c>
      <c r="O357" s="50"/>
      <c r="P357" s="34"/>
      <c r="Q357" s="34"/>
      <c r="R357" s="50"/>
      <c r="S357" s="51"/>
      <c r="T357" s="51"/>
      <c r="U357" s="52" t="str">
        <f aca="false">IF(OR(A357="",Q357=""),"",IF(AND(ISNUMBER(S357),S357&lt;AsOf,O357&lt;&gt;"Reviewed"),"Overdue",""))</f>
        <v/>
      </c>
      <c r="V357" s="54" t="str">
        <f aca="false">IF(A357="","",IF(COUNTIF(QA_ID,A357)&gt;1,"CHECK: duplicate ID",IF(B357="","CHECK: Supplier ID missing",IF(COUNTIF(INV_ID,B357)=0,"CHECK: Supplier ID not in inventory",IF(E357="","CHECK: Question ID missing",IF(COUNTIF(QB_ID,E357)=0,"CHECK: Question ID not in bank","OK"))))))</f>
        <v/>
      </c>
    </row>
    <row r="358" customFormat="false" ht="15" hidden="false" customHeight="false" outlineLevel="0" collapsed="false">
      <c r="A358" s="50"/>
      <c r="B358" s="50"/>
      <c r="C358" s="59" t="str">
        <f aca="false">IF(B358="","",IFERROR(INDEX(INV_NAME,MATCH(B358,INV_ID,0)),"CHECK: Supplier ID not found"))</f>
        <v/>
      </c>
      <c r="D358" s="63" t="str">
        <f aca="false">IF(B358="","",IFERROR(INDEX(INV_TIER,MATCH(B358,INV_ID,0)),""))</f>
        <v/>
      </c>
      <c r="E358" s="50"/>
      <c r="F358" s="59" t="str">
        <f aca="false">IF(E358="","",IFERROR(INDEX(QB_Q,MATCH(E358,QB_ID,0)),"CHECK: Question ID not found"))</f>
        <v/>
      </c>
      <c r="G358" s="59" t="str">
        <f aca="false">IF(E358="","",IFERROR(INDEX(QB_DOMAIN,MATCH(E358,QB_ID,0)),""))</f>
        <v/>
      </c>
      <c r="H358" s="54" t="str">
        <f aca="false">IF(OR(A358="",E358=""),"",IFERROR(IF(ISNUMBER(MATCH(D358,{"Low","Medium","High"},0)),IF(MATCH(D358,{"Low","Medium","High"},0)&gt;=MATCH(INDEX(QB_MINTIER,MATCH(E358,QB_ID,0)),{"Low","Medium","High"},0),"Recommended for tier","Optional for tier"),"Tier not determined"),"Check question"))</f>
        <v/>
      </c>
      <c r="I358" s="34"/>
      <c r="J358" s="50"/>
      <c r="K358" s="34"/>
      <c r="L358" s="34"/>
      <c r="M358" s="62" t="str">
        <f aca="false">IF(L358="","",SUMPRODUCT(ISNUMBER(SEARCH(","&amp;EV_ID&amp;",",","&amp;SUBSTITUTE(L358," ","")&amp;","))*(EV_ID&lt;&gt;"")))</f>
        <v/>
      </c>
      <c r="N358" s="54" t="str">
        <f aca="false">IF(A358="","",IF(I358&lt;&gt;"Applicable",IF(I358="","Applicability not set","Not in scope ("&amp;I358&amp;")"),IF(OR(J358="",J358="Not answered"),"Awaiting supplier response",IF(J358="Not applicable","Supplier states not applicable - analyst to confirm",IF(L358="","Evidence insufficient - none referenced",IF(M358=0,"Evidence insufficient - referenced ID not found",IF(SUMPRODUCT(ISNUMBER(SEARCH(","&amp;EV_ID&amp;",",","&amp;SUBSTITUTE(L358," ","")&amp;","))*(EV_ID&lt;&gt;"")*(EV_SUFF="Sufficient"))&gt;0,"Evidence reviewed - sufficient",IF(SUMPRODUCT(ISNUMBER(SEARCH(","&amp;EV_ID&amp;",",","&amp;SUBSTITUTE(L358," ","")&amp;","))*(EV_ID&lt;&gt;"")*(EV_SUFF="Partially sufficient"))&gt;0,"Evidence partially sufficient","Evidence insufficient - referenced evidence not sufficient"))))))))</f>
        <v/>
      </c>
      <c r="O358" s="50"/>
      <c r="P358" s="34"/>
      <c r="Q358" s="34"/>
      <c r="R358" s="50"/>
      <c r="S358" s="51"/>
      <c r="T358" s="51"/>
      <c r="U358" s="52" t="str">
        <f aca="false">IF(OR(A358="",Q358=""),"",IF(AND(ISNUMBER(S358),S358&lt;AsOf,O358&lt;&gt;"Reviewed"),"Overdue",""))</f>
        <v/>
      </c>
      <c r="V358" s="54" t="str">
        <f aca="false">IF(A358="","",IF(COUNTIF(QA_ID,A358)&gt;1,"CHECK: duplicate ID",IF(B358="","CHECK: Supplier ID missing",IF(COUNTIF(INV_ID,B358)=0,"CHECK: Supplier ID not in inventory",IF(E358="","CHECK: Question ID missing",IF(COUNTIF(QB_ID,E358)=0,"CHECK: Question ID not in bank","OK"))))))</f>
        <v/>
      </c>
    </row>
    <row r="359" customFormat="false" ht="15" hidden="false" customHeight="false" outlineLevel="0" collapsed="false">
      <c r="A359" s="50"/>
      <c r="B359" s="50"/>
      <c r="C359" s="59" t="str">
        <f aca="false">IF(B359="","",IFERROR(INDEX(INV_NAME,MATCH(B359,INV_ID,0)),"CHECK: Supplier ID not found"))</f>
        <v/>
      </c>
      <c r="D359" s="63" t="str">
        <f aca="false">IF(B359="","",IFERROR(INDEX(INV_TIER,MATCH(B359,INV_ID,0)),""))</f>
        <v/>
      </c>
      <c r="E359" s="50"/>
      <c r="F359" s="59" t="str">
        <f aca="false">IF(E359="","",IFERROR(INDEX(QB_Q,MATCH(E359,QB_ID,0)),"CHECK: Question ID not found"))</f>
        <v/>
      </c>
      <c r="G359" s="59" t="str">
        <f aca="false">IF(E359="","",IFERROR(INDEX(QB_DOMAIN,MATCH(E359,QB_ID,0)),""))</f>
        <v/>
      </c>
      <c r="H359" s="54" t="str">
        <f aca="false">IF(OR(A359="",E359=""),"",IFERROR(IF(ISNUMBER(MATCH(D359,{"Low","Medium","High"},0)),IF(MATCH(D359,{"Low","Medium","High"},0)&gt;=MATCH(INDEX(QB_MINTIER,MATCH(E359,QB_ID,0)),{"Low","Medium","High"},0),"Recommended for tier","Optional for tier"),"Tier not determined"),"Check question"))</f>
        <v/>
      </c>
      <c r="I359" s="34"/>
      <c r="J359" s="50"/>
      <c r="K359" s="34"/>
      <c r="L359" s="34"/>
      <c r="M359" s="62" t="str">
        <f aca="false">IF(L359="","",SUMPRODUCT(ISNUMBER(SEARCH(","&amp;EV_ID&amp;",",","&amp;SUBSTITUTE(L359," ","")&amp;","))*(EV_ID&lt;&gt;"")))</f>
        <v/>
      </c>
      <c r="N359" s="54" t="str">
        <f aca="false">IF(A359="","",IF(I359&lt;&gt;"Applicable",IF(I359="","Applicability not set","Not in scope ("&amp;I359&amp;")"),IF(OR(J359="",J359="Not answered"),"Awaiting supplier response",IF(J359="Not applicable","Supplier states not applicable - analyst to confirm",IF(L359="","Evidence insufficient - none referenced",IF(M359=0,"Evidence insufficient - referenced ID not found",IF(SUMPRODUCT(ISNUMBER(SEARCH(","&amp;EV_ID&amp;",",","&amp;SUBSTITUTE(L359," ","")&amp;","))*(EV_ID&lt;&gt;"")*(EV_SUFF="Sufficient"))&gt;0,"Evidence reviewed - sufficient",IF(SUMPRODUCT(ISNUMBER(SEARCH(","&amp;EV_ID&amp;",",","&amp;SUBSTITUTE(L359," ","")&amp;","))*(EV_ID&lt;&gt;"")*(EV_SUFF="Partially sufficient"))&gt;0,"Evidence partially sufficient","Evidence insufficient - referenced evidence not sufficient"))))))))</f>
        <v/>
      </c>
      <c r="O359" s="50"/>
      <c r="P359" s="34"/>
      <c r="Q359" s="34"/>
      <c r="R359" s="50"/>
      <c r="S359" s="51"/>
      <c r="T359" s="51"/>
      <c r="U359" s="52" t="str">
        <f aca="false">IF(OR(A359="",Q359=""),"",IF(AND(ISNUMBER(S359),S359&lt;AsOf,O359&lt;&gt;"Reviewed"),"Overdue",""))</f>
        <v/>
      </c>
      <c r="V359" s="54" t="str">
        <f aca="false">IF(A359="","",IF(COUNTIF(QA_ID,A359)&gt;1,"CHECK: duplicate ID",IF(B359="","CHECK: Supplier ID missing",IF(COUNTIF(INV_ID,B359)=0,"CHECK: Supplier ID not in inventory",IF(E359="","CHECK: Question ID missing",IF(COUNTIF(QB_ID,E359)=0,"CHECK: Question ID not in bank","OK"))))))</f>
        <v/>
      </c>
    </row>
    <row r="360" customFormat="false" ht="15" hidden="false" customHeight="false" outlineLevel="0" collapsed="false">
      <c r="A360" s="50"/>
      <c r="B360" s="50"/>
      <c r="C360" s="59" t="str">
        <f aca="false">IF(B360="","",IFERROR(INDEX(INV_NAME,MATCH(B360,INV_ID,0)),"CHECK: Supplier ID not found"))</f>
        <v/>
      </c>
      <c r="D360" s="63" t="str">
        <f aca="false">IF(B360="","",IFERROR(INDEX(INV_TIER,MATCH(B360,INV_ID,0)),""))</f>
        <v/>
      </c>
      <c r="E360" s="50"/>
      <c r="F360" s="59" t="str">
        <f aca="false">IF(E360="","",IFERROR(INDEX(QB_Q,MATCH(E360,QB_ID,0)),"CHECK: Question ID not found"))</f>
        <v/>
      </c>
      <c r="G360" s="59" t="str">
        <f aca="false">IF(E360="","",IFERROR(INDEX(QB_DOMAIN,MATCH(E360,QB_ID,0)),""))</f>
        <v/>
      </c>
      <c r="H360" s="54" t="str">
        <f aca="false">IF(OR(A360="",E360=""),"",IFERROR(IF(ISNUMBER(MATCH(D360,{"Low","Medium","High"},0)),IF(MATCH(D360,{"Low","Medium","High"},0)&gt;=MATCH(INDEX(QB_MINTIER,MATCH(E360,QB_ID,0)),{"Low","Medium","High"},0),"Recommended for tier","Optional for tier"),"Tier not determined"),"Check question"))</f>
        <v/>
      </c>
      <c r="I360" s="34"/>
      <c r="J360" s="50"/>
      <c r="K360" s="34"/>
      <c r="L360" s="34"/>
      <c r="M360" s="62" t="str">
        <f aca="false">IF(L360="","",SUMPRODUCT(ISNUMBER(SEARCH(","&amp;EV_ID&amp;",",","&amp;SUBSTITUTE(L360," ","")&amp;","))*(EV_ID&lt;&gt;"")))</f>
        <v/>
      </c>
      <c r="N360" s="54" t="str">
        <f aca="false">IF(A360="","",IF(I360&lt;&gt;"Applicable",IF(I360="","Applicability not set","Not in scope ("&amp;I360&amp;")"),IF(OR(J360="",J360="Not answered"),"Awaiting supplier response",IF(J360="Not applicable","Supplier states not applicable - analyst to confirm",IF(L360="","Evidence insufficient - none referenced",IF(M360=0,"Evidence insufficient - referenced ID not found",IF(SUMPRODUCT(ISNUMBER(SEARCH(","&amp;EV_ID&amp;",",","&amp;SUBSTITUTE(L360," ","")&amp;","))*(EV_ID&lt;&gt;"")*(EV_SUFF="Sufficient"))&gt;0,"Evidence reviewed - sufficient",IF(SUMPRODUCT(ISNUMBER(SEARCH(","&amp;EV_ID&amp;",",","&amp;SUBSTITUTE(L360," ","")&amp;","))*(EV_ID&lt;&gt;"")*(EV_SUFF="Partially sufficient"))&gt;0,"Evidence partially sufficient","Evidence insufficient - referenced evidence not sufficient"))))))))</f>
        <v/>
      </c>
      <c r="O360" s="50"/>
      <c r="P360" s="34"/>
      <c r="Q360" s="34"/>
      <c r="R360" s="50"/>
      <c r="S360" s="51"/>
      <c r="T360" s="51"/>
      <c r="U360" s="52" t="str">
        <f aca="false">IF(OR(A360="",Q360=""),"",IF(AND(ISNUMBER(S360),S360&lt;AsOf,O360&lt;&gt;"Reviewed"),"Overdue",""))</f>
        <v/>
      </c>
      <c r="V360" s="54" t="str">
        <f aca="false">IF(A360="","",IF(COUNTIF(QA_ID,A360)&gt;1,"CHECK: duplicate ID",IF(B360="","CHECK: Supplier ID missing",IF(COUNTIF(INV_ID,B360)=0,"CHECK: Supplier ID not in inventory",IF(E360="","CHECK: Question ID missing",IF(COUNTIF(QB_ID,E360)=0,"CHECK: Question ID not in bank","OK"))))))</f>
        <v/>
      </c>
    </row>
    <row r="361" customFormat="false" ht="15" hidden="false" customHeight="false" outlineLevel="0" collapsed="false">
      <c r="A361" s="50"/>
      <c r="B361" s="50"/>
      <c r="C361" s="59" t="str">
        <f aca="false">IF(B361="","",IFERROR(INDEX(INV_NAME,MATCH(B361,INV_ID,0)),"CHECK: Supplier ID not found"))</f>
        <v/>
      </c>
      <c r="D361" s="63" t="str">
        <f aca="false">IF(B361="","",IFERROR(INDEX(INV_TIER,MATCH(B361,INV_ID,0)),""))</f>
        <v/>
      </c>
      <c r="E361" s="50"/>
      <c r="F361" s="59" t="str">
        <f aca="false">IF(E361="","",IFERROR(INDEX(QB_Q,MATCH(E361,QB_ID,0)),"CHECK: Question ID not found"))</f>
        <v/>
      </c>
      <c r="G361" s="59" t="str">
        <f aca="false">IF(E361="","",IFERROR(INDEX(QB_DOMAIN,MATCH(E361,QB_ID,0)),""))</f>
        <v/>
      </c>
      <c r="H361" s="54" t="str">
        <f aca="false">IF(OR(A361="",E361=""),"",IFERROR(IF(ISNUMBER(MATCH(D361,{"Low","Medium","High"},0)),IF(MATCH(D361,{"Low","Medium","High"},0)&gt;=MATCH(INDEX(QB_MINTIER,MATCH(E361,QB_ID,0)),{"Low","Medium","High"},0),"Recommended for tier","Optional for tier"),"Tier not determined"),"Check question"))</f>
        <v/>
      </c>
      <c r="I361" s="34"/>
      <c r="J361" s="50"/>
      <c r="K361" s="34"/>
      <c r="L361" s="34"/>
      <c r="M361" s="62" t="str">
        <f aca="false">IF(L361="","",SUMPRODUCT(ISNUMBER(SEARCH(","&amp;EV_ID&amp;",",","&amp;SUBSTITUTE(L361," ","")&amp;","))*(EV_ID&lt;&gt;"")))</f>
        <v/>
      </c>
      <c r="N361" s="54" t="str">
        <f aca="false">IF(A361="","",IF(I361&lt;&gt;"Applicable",IF(I361="","Applicability not set","Not in scope ("&amp;I361&amp;")"),IF(OR(J361="",J361="Not answered"),"Awaiting supplier response",IF(J361="Not applicable","Supplier states not applicable - analyst to confirm",IF(L361="","Evidence insufficient - none referenced",IF(M361=0,"Evidence insufficient - referenced ID not found",IF(SUMPRODUCT(ISNUMBER(SEARCH(","&amp;EV_ID&amp;",",","&amp;SUBSTITUTE(L361," ","")&amp;","))*(EV_ID&lt;&gt;"")*(EV_SUFF="Sufficient"))&gt;0,"Evidence reviewed - sufficient",IF(SUMPRODUCT(ISNUMBER(SEARCH(","&amp;EV_ID&amp;",",","&amp;SUBSTITUTE(L361," ","")&amp;","))*(EV_ID&lt;&gt;"")*(EV_SUFF="Partially sufficient"))&gt;0,"Evidence partially sufficient","Evidence insufficient - referenced evidence not sufficient"))))))))</f>
        <v/>
      </c>
      <c r="O361" s="50"/>
      <c r="P361" s="34"/>
      <c r="Q361" s="34"/>
      <c r="R361" s="50"/>
      <c r="S361" s="51"/>
      <c r="T361" s="51"/>
      <c r="U361" s="52" t="str">
        <f aca="false">IF(OR(A361="",Q361=""),"",IF(AND(ISNUMBER(S361),S361&lt;AsOf,O361&lt;&gt;"Reviewed"),"Overdue",""))</f>
        <v/>
      </c>
      <c r="V361" s="54" t="str">
        <f aca="false">IF(A361="","",IF(COUNTIF(QA_ID,A361)&gt;1,"CHECK: duplicate ID",IF(B361="","CHECK: Supplier ID missing",IF(COUNTIF(INV_ID,B361)=0,"CHECK: Supplier ID not in inventory",IF(E361="","CHECK: Question ID missing",IF(COUNTIF(QB_ID,E361)=0,"CHECK: Question ID not in bank","OK"))))))</f>
        <v/>
      </c>
    </row>
    <row r="362" customFormat="false" ht="15" hidden="false" customHeight="false" outlineLevel="0" collapsed="false">
      <c r="A362" s="50"/>
      <c r="B362" s="50"/>
      <c r="C362" s="59" t="str">
        <f aca="false">IF(B362="","",IFERROR(INDEX(INV_NAME,MATCH(B362,INV_ID,0)),"CHECK: Supplier ID not found"))</f>
        <v/>
      </c>
      <c r="D362" s="63" t="str">
        <f aca="false">IF(B362="","",IFERROR(INDEX(INV_TIER,MATCH(B362,INV_ID,0)),""))</f>
        <v/>
      </c>
      <c r="E362" s="50"/>
      <c r="F362" s="59" t="str">
        <f aca="false">IF(E362="","",IFERROR(INDEX(QB_Q,MATCH(E362,QB_ID,0)),"CHECK: Question ID not found"))</f>
        <v/>
      </c>
      <c r="G362" s="59" t="str">
        <f aca="false">IF(E362="","",IFERROR(INDEX(QB_DOMAIN,MATCH(E362,QB_ID,0)),""))</f>
        <v/>
      </c>
      <c r="H362" s="54" t="str">
        <f aca="false">IF(OR(A362="",E362=""),"",IFERROR(IF(ISNUMBER(MATCH(D362,{"Low","Medium","High"},0)),IF(MATCH(D362,{"Low","Medium","High"},0)&gt;=MATCH(INDEX(QB_MINTIER,MATCH(E362,QB_ID,0)),{"Low","Medium","High"},0),"Recommended for tier","Optional for tier"),"Tier not determined"),"Check question"))</f>
        <v/>
      </c>
      <c r="I362" s="34"/>
      <c r="J362" s="50"/>
      <c r="K362" s="34"/>
      <c r="L362" s="34"/>
      <c r="M362" s="62" t="str">
        <f aca="false">IF(L362="","",SUMPRODUCT(ISNUMBER(SEARCH(","&amp;EV_ID&amp;",",","&amp;SUBSTITUTE(L362," ","")&amp;","))*(EV_ID&lt;&gt;"")))</f>
        <v/>
      </c>
      <c r="N362" s="54" t="str">
        <f aca="false">IF(A362="","",IF(I362&lt;&gt;"Applicable",IF(I362="","Applicability not set","Not in scope ("&amp;I362&amp;")"),IF(OR(J362="",J362="Not answered"),"Awaiting supplier response",IF(J362="Not applicable","Supplier states not applicable - analyst to confirm",IF(L362="","Evidence insufficient - none referenced",IF(M362=0,"Evidence insufficient - referenced ID not found",IF(SUMPRODUCT(ISNUMBER(SEARCH(","&amp;EV_ID&amp;",",","&amp;SUBSTITUTE(L362," ","")&amp;","))*(EV_ID&lt;&gt;"")*(EV_SUFF="Sufficient"))&gt;0,"Evidence reviewed - sufficient",IF(SUMPRODUCT(ISNUMBER(SEARCH(","&amp;EV_ID&amp;",",","&amp;SUBSTITUTE(L362," ","")&amp;","))*(EV_ID&lt;&gt;"")*(EV_SUFF="Partially sufficient"))&gt;0,"Evidence partially sufficient","Evidence insufficient - referenced evidence not sufficient"))))))))</f>
        <v/>
      </c>
      <c r="O362" s="50"/>
      <c r="P362" s="34"/>
      <c r="Q362" s="34"/>
      <c r="R362" s="50"/>
      <c r="S362" s="51"/>
      <c r="T362" s="51"/>
      <c r="U362" s="52" t="str">
        <f aca="false">IF(OR(A362="",Q362=""),"",IF(AND(ISNUMBER(S362),S362&lt;AsOf,O362&lt;&gt;"Reviewed"),"Overdue",""))</f>
        <v/>
      </c>
      <c r="V362" s="54" t="str">
        <f aca="false">IF(A362="","",IF(COUNTIF(QA_ID,A362)&gt;1,"CHECK: duplicate ID",IF(B362="","CHECK: Supplier ID missing",IF(COUNTIF(INV_ID,B362)=0,"CHECK: Supplier ID not in inventory",IF(E362="","CHECK: Question ID missing",IF(COUNTIF(QB_ID,E362)=0,"CHECK: Question ID not in bank","OK"))))))</f>
        <v/>
      </c>
    </row>
    <row r="363" customFormat="false" ht="15" hidden="false" customHeight="false" outlineLevel="0" collapsed="false">
      <c r="A363" s="50"/>
      <c r="B363" s="50"/>
      <c r="C363" s="59" t="str">
        <f aca="false">IF(B363="","",IFERROR(INDEX(INV_NAME,MATCH(B363,INV_ID,0)),"CHECK: Supplier ID not found"))</f>
        <v/>
      </c>
      <c r="D363" s="63" t="str">
        <f aca="false">IF(B363="","",IFERROR(INDEX(INV_TIER,MATCH(B363,INV_ID,0)),""))</f>
        <v/>
      </c>
      <c r="E363" s="50"/>
      <c r="F363" s="59" t="str">
        <f aca="false">IF(E363="","",IFERROR(INDEX(QB_Q,MATCH(E363,QB_ID,0)),"CHECK: Question ID not found"))</f>
        <v/>
      </c>
      <c r="G363" s="59" t="str">
        <f aca="false">IF(E363="","",IFERROR(INDEX(QB_DOMAIN,MATCH(E363,QB_ID,0)),""))</f>
        <v/>
      </c>
      <c r="H363" s="54" t="str">
        <f aca="false">IF(OR(A363="",E363=""),"",IFERROR(IF(ISNUMBER(MATCH(D363,{"Low","Medium","High"},0)),IF(MATCH(D363,{"Low","Medium","High"},0)&gt;=MATCH(INDEX(QB_MINTIER,MATCH(E363,QB_ID,0)),{"Low","Medium","High"},0),"Recommended for tier","Optional for tier"),"Tier not determined"),"Check question"))</f>
        <v/>
      </c>
      <c r="I363" s="34"/>
      <c r="J363" s="50"/>
      <c r="K363" s="34"/>
      <c r="L363" s="34"/>
      <c r="M363" s="62" t="str">
        <f aca="false">IF(L363="","",SUMPRODUCT(ISNUMBER(SEARCH(","&amp;EV_ID&amp;",",","&amp;SUBSTITUTE(L363," ","")&amp;","))*(EV_ID&lt;&gt;"")))</f>
        <v/>
      </c>
      <c r="N363" s="54" t="str">
        <f aca="false">IF(A363="","",IF(I363&lt;&gt;"Applicable",IF(I363="","Applicability not set","Not in scope ("&amp;I363&amp;")"),IF(OR(J363="",J363="Not answered"),"Awaiting supplier response",IF(J363="Not applicable","Supplier states not applicable - analyst to confirm",IF(L363="","Evidence insufficient - none referenced",IF(M363=0,"Evidence insufficient - referenced ID not found",IF(SUMPRODUCT(ISNUMBER(SEARCH(","&amp;EV_ID&amp;",",","&amp;SUBSTITUTE(L363," ","")&amp;","))*(EV_ID&lt;&gt;"")*(EV_SUFF="Sufficient"))&gt;0,"Evidence reviewed - sufficient",IF(SUMPRODUCT(ISNUMBER(SEARCH(","&amp;EV_ID&amp;",",","&amp;SUBSTITUTE(L363," ","")&amp;","))*(EV_ID&lt;&gt;"")*(EV_SUFF="Partially sufficient"))&gt;0,"Evidence partially sufficient","Evidence insufficient - referenced evidence not sufficient"))))))))</f>
        <v/>
      </c>
      <c r="O363" s="50"/>
      <c r="P363" s="34"/>
      <c r="Q363" s="34"/>
      <c r="R363" s="50"/>
      <c r="S363" s="51"/>
      <c r="T363" s="51"/>
      <c r="U363" s="52" t="str">
        <f aca="false">IF(OR(A363="",Q363=""),"",IF(AND(ISNUMBER(S363),S363&lt;AsOf,O363&lt;&gt;"Reviewed"),"Overdue",""))</f>
        <v/>
      </c>
      <c r="V363" s="54" t="str">
        <f aca="false">IF(A363="","",IF(COUNTIF(QA_ID,A363)&gt;1,"CHECK: duplicate ID",IF(B363="","CHECK: Supplier ID missing",IF(COUNTIF(INV_ID,B363)=0,"CHECK: Supplier ID not in inventory",IF(E363="","CHECK: Question ID missing",IF(COUNTIF(QB_ID,E363)=0,"CHECK: Question ID not in bank","OK"))))))</f>
        <v/>
      </c>
    </row>
    <row r="364" customFormat="false" ht="15" hidden="false" customHeight="false" outlineLevel="0" collapsed="false">
      <c r="A364" s="50"/>
      <c r="B364" s="50"/>
      <c r="C364" s="59" t="str">
        <f aca="false">IF(B364="","",IFERROR(INDEX(INV_NAME,MATCH(B364,INV_ID,0)),"CHECK: Supplier ID not found"))</f>
        <v/>
      </c>
      <c r="D364" s="63" t="str">
        <f aca="false">IF(B364="","",IFERROR(INDEX(INV_TIER,MATCH(B364,INV_ID,0)),""))</f>
        <v/>
      </c>
      <c r="E364" s="50"/>
      <c r="F364" s="59" t="str">
        <f aca="false">IF(E364="","",IFERROR(INDEX(QB_Q,MATCH(E364,QB_ID,0)),"CHECK: Question ID not found"))</f>
        <v/>
      </c>
      <c r="G364" s="59" t="str">
        <f aca="false">IF(E364="","",IFERROR(INDEX(QB_DOMAIN,MATCH(E364,QB_ID,0)),""))</f>
        <v/>
      </c>
      <c r="H364" s="54" t="str">
        <f aca="false">IF(OR(A364="",E364=""),"",IFERROR(IF(ISNUMBER(MATCH(D364,{"Low","Medium","High"},0)),IF(MATCH(D364,{"Low","Medium","High"},0)&gt;=MATCH(INDEX(QB_MINTIER,MATCH(E364,QB_ID,0)),{"Low","Medium","High"},0),"Recommended for tier","Optional for tier"),"Tier not determined"),"Check question"))</f>
        <v/>
      </c>
      <c r="I364" s="34"/>
      <c r="J364" s="50"/>
      <c r="K364" s="34"/>
      <c r="L364" s="34"/>
      <c r="M364" s="62" t="str">
        <f aca="false">IF(L364="","",SUMPRODUCT(ISNUMBER(SEARCH(","&amp;EV_ID&amp;",",","&amp;SUBSTITUTE(L364," ","")&amp;","))*(EV_ID&lt;&gt;"")))</f>
        <v/>
      </c>
      <c r="N364" s="54" t="str">
        <f aca="false">IF(A364="","",IF(I364&lt;&gt;"Applicable",IF(I364="","Applicability not set","Not in scope ("&amp;I364&amp;")"),IF(OR(J364="",J364="Not answered"),"Awaiting supplier response",IF(J364="Not applicable","Supplier states not applicable - analyst to confirm",IF(L364="","Evidence insufficient - none referenced",IF(M364=0,"Evidence insufficient - referenced ID not found",IF(SUMPRODUCT(ISNUMBER(SEARCH(","&amp;EV_ID&amp;",",","&amp;SUBSTITUTE(L364," ","")&amp;","))*(EV_ID&lt;&gt;"")*(EV_SUFF="Sufficient"))&gt;0,"Evidence reviewed - sufficient",IF(SUMPRODUCT(ISNUMBER(SEARCH(","&amp;EV_ID&amp;",",","&amp;SUBSTITUTE(L364," ","")&amp;","))*(EV_ID&lt;&gt;"")*(EV_SUFF="Partially sufficient"))&gt;0,"Evidence partially sufficient","Evidence insufficient - referenced evidence not sufficient"))))))))</f>
        <v/>
      </c>
      <c r="O364" s="50"/>
      <c r="P364" s="34"/>
      <c r="Q364" s="34"/>
      <c r="R364" s="50"/>
      <c r="S364" s="51"/>
      <c r="T364" s="51"/>
      <c r="U364" s="52" t="str">
        <f aca="false">IF(OR(A364="",Q364=""),"",IF(AND(ISNUMBER(S364),S364&lt;AsOf,O364&lt;&gt;"Reviewed"),"Overdue",""))</f>
        <v/>
      </c>
      <c r="V364" s="54" t="str">
        <f aca="false">IF(A364="","",IF(COUNTIF(QA_ID,A364)&gt;1,"CHECK: duplicate ID",IF(B364="","CHECK: Supplier ID missing",IF(COUNTIF(INV_ID,B364)=0,"CHECK: Supplier ID not in inventory",IF(E364="","CHECK: Question ID missing",IF(COUNTIF(QB_ID,E364)=0,"CHECK: Question ID not in bank","OK"))))))</f>
        <v/>
      </c>
    </row>
    <row r="365" customFormat="false" ht="15" hidden="false" customHeight="false" outlineLevel="0" collapsed="false">
      <c r="A365" s="50"/>
      <c r="B365" s="50"/>
      <c r="C365" s="59" t="str">
        <f aca="false">IF(B365="","",IFERROR(INDEX(INV_NAME,MATCH(B365,INV_ID,0)),"CHECK: Supplier ID not found"))</f>
        <v/>
      </c>
      <c r="D365" s="63" t="str">
        <f aca="false">IF(B365="","",IFERROR(INDEX(INV_TIER,MATCH(B365,INV_ID,0)),""))</f>
        <v/>
      </c>
      <c r="E365" s="50"/>
      <c r="F365" s="59" t="str">
        <f aca="false">IF(E365="","",IFERROR(INDEX(QB_Q,MATCH(E365,QB_ID,0)),"CHECK: Question ID not found"))</f>
        <v/>
      </c>
      <c r="G365" s="59" t="str">
        <f aca="false">IF(E365="","",IFERROR(INDEX(QB_DOMAIN,MATCH(E365,QB_ID,0)),""))</f>
        <v/>
      </c>
      <c r="H365" s="54" t="str">
        <f aca="false">IF(OR(A365="",E365=""),"",IFERROR(IF(ISNUMBER(MATCH(D365,{"Low","Medium","High"},0)),IF(MATCH(D365,{"Low","Medium","High"},0)&gt;=MATCH(INDEX(QB_MINTIER,MATCH(E365,QB_ID,0)),{"Low","Medium","High"},0),"Recommended for tier","Optional for tier"),"Tier not determined"),"Check question"))</f>
        <v/>
      </c>
      <c r="I365" s="34"/>
      <c r="J365" s="50"/>
      <c r="K365" s="34"/>
      <c r="L365" s="34"/>
      <c r="M365" s="62" t="str">
        <f aca="false">IF(L365="","",SUMPRODUCT(ISNUMBER(SEARCH(","&amp;EV_ID&amp;",",","&amp;SUBSTITUTE(L365," ","")&amp;","))*(EV_ID&lt;&gt;"")))</f>
        <v/>
      </c>
      <c r="N365" s="54" t="str">
        <f aca="false">IF(A365="","",IF(I365&lt;&gt;"Applicable",IF(I365="","Applicability not set","Not in scope ("&amp;I365&amp;")"),IF(OR(J365="",J365="Not answered"),"Awaiting supplier response",IF(J365="Not applicable","Supplier states not applicable - analyst to confirm",IF(L365="","Evidence insufficient - none referenced",IF(M365=0,"Evidence insufficient - referenced ID not found",IF(SUMPRODUCT(ISNUMBER(SEARCH(","&amp;EV_ID&amp;",",","&amp;SUBSTITUTE(L365," ","")&amp;","))*(EV_ID&lt;&gt;"")*(EV_SUFF="Sufficient"))&gt;0,"Evidence reviewed - sufficient",IF(SUMPRODUCT(ISNUMBER(SEARCH(","&amp;EV_ID&amp;",",","&amp;SUBSTITUTE(L365," ","")&amp;","))*(EV_ID&lt;&gt;"")*(EV_SUFF="Partially sufficient"))&gt;0,"Evidence partially sufficient","Evidence insufficient - referenced evidence not sufficient"))))))))</f>
        <v/>
      </c>
      <c r="O365" s="50"/>
      <c r="P365" s="34"/>
      <c r="Q365" s="34"/>
      <c r="R365" s="50"/>
      <c r="S365" s="51"/>
      <c r="T365" s="51"/>
      <c r="U365" s="52" t="str">
        <f aca="false">IF(OR(A365="",Q365=""),"",IF(AND(ISNUMBER(S365),S365&lt;AsOf,O365&lt;&gt;"Reviewed"),"Overdue",""))</f>
        <v/>
      </c>
      <c r="V365" s="54" t="str">
        <f aca="false">IF(A365="","",IF(COUNTIF(QA_ID,A365)&gt;1,"CHECK: duplicate ID",IF(B365="","CHECK: Supplier ID missing",IF(COUNTIF(INV_ID,B365)=0,"CHECK: Supplier ID not in inventory",IF(E365="","CHECK: Question ID missing",IF(COUNTIF(QB_ID,E365)=0,"CHECK: Question ID not in bank","OK"))))))</f>
        <v/>
      </c>
    </row>
    <row r="366" customFormat="false" ht="15" hidden="false" customHeight="false" outlineLevel="0" collapsed="false">
      <c r="A366" s="50"/>
      <c r="B366" s="50"/>
      <c r="C366" s="59" t="str">
        <f aca="false">IF(B366="","",IFERROR(INDEX(INV_NAME,MATCH(B366,INV_ID,0)),"CHECK: Supplier ID not found"))</f>
        <v/>
      </c>
      <c r="D366" s="63" t="str">
        <f aca="false">IF(B366="","",IFERROR(INDEX(INV_TIER,MATCH(B366,INV_ID,0)),""))</f>
        <v/>
      </c>
      <c r="E366" s="50"/>
      <c r="F366" s="59" t="str">
        <f aca="false">IF(E366="","",IFERROR(INDEX(QB_Q,MATCH(E366,QB_ID,0)),"CHECK: Question ID not found"))</f>
        <v/>
      </c>
      <c r="G366" s="59" t="str">
        <f aca="false">IF(E366="","",IFERROR(INDEX(QB_DOMAIN,MATCH(E366,QB_ID,0)),""))</f>
        <v/>
      </c>
      <c r="H366" s="54" t="str">
        <f aca="false">IF(OR(A366="",E366=""),"",IFERROR(IF(ISNUMBER(MATCH(D366,{"Low","Medium","High"},0)),IF(MATCH(D366,{"Low","Medium","High"},0)&gt;=MATCH(INDEX(QB_MINTIER,MATCH(E366,QB_ID,0)),{"Low","Medium","High"},0),"Recommended for tier","Optional for tier"),"Tier not determined"),"Check question"))</f>
        <v/>
      </c>
      <c r="I366" s="34"/>
      <c r="J366" s="50"/>
      <c r="K366" s="34"/>
      <c r="L366" s="34"/>
      <c r="M366" s="62" t="str">
        <f aca="false">IF(L366="","",SUMPRODUCT(ISNUMBER(SEARCH(","&amp;EV_ID&amp;",",","&amp;SUBSTITUTE(L366," ","")&amp;","))*(EV_ID&lt;&gt;"")))</f>
        <v/>
      </c>
      <c r="N366" s="54" t="str">
        <f aca="false">IF(A366="","",IF(I366&lt;&gt;"Applicable",IF(I366="","Applicability not set","Not in scope ("&amp;I366&amp;")"),IF(OR(J366="",J366="Not answered"),"Awaiting supplier response",IF(J366="Not applicable","Supplier states not applicable - analyst to confirm",IF(L366="","Evidence insufficient - none referenced",IF(M366=0,"Evidence insufficient - referenced ID not found",IF(SUMPRODUCT(ISNUMBER(SEARCH(","&amp;EV_ID&amp;",",","&amp;SUBSTITUTE(L366," ","")&amp;","))*(EV_ID&lt;&gt;"")*(EV_SUFF="Sufficient"))&gt;0,"Evidence reviewed - sufficient",IF(SUMPRODUCT(ISNUMBER(SEARCH(","&amp;EV_ID&amp;",",","&amp;SUBSTITUTE(L366," ","")&amp;","))*(EV_ID&lt;&gt;"")*(EV_SUFF="Partially sufficient"))&gt;0,"Evidence partially sufficient","Evidence insufficient - referenced evidence not sufficient"))))))))</f>
        <v/>
      </c>
      <c r="O366" s="50"/>
      <c r="P366" s="34"/>
      <c r="Q366" s="34"/>
      <c r="R366" s="50"/>
      <c r="S366" s="51"/>
      <c r="T366" s="51"/>
      <c r="U366" s="52" t="str">
        <f aca="false">IF(OR(A366="",Q366=""),"",IF(AND(ISNUMBER(S366),S366&lt;AsOf,O366&lt;&gt;"Reviewed"),"Overdue",""))</f>
        <v/>
      </c>
      <c r="V366" s="54" t="str">
        <f aca="false">IF(A366="","",IF(COUNTIF(QA_ID,A366)&gt;1,"CHECK: duplicate ID",IF(B366="","CHECK: Supplier ID missing",IF(COUNTIF(INV_ID,B366)=0,"CHECK: Supplier ID not in inventory",IF(E366="","CHECK: Question ID missing",IF(COUNTIF(QB_ID,E366)=0,"CHECK: Question ID not in bank","OK"))))))</f>
        <v/>
      </c>
    </row>
    <row r="367" customFormat="false" ht="15" hidden="false" customHeight="false" outlineLevel="0" collapsed="false">
      <c r="A367" s="50"/>
      <c r="B367" s="50"/>
      <c r="C367" s="59" t="str">
        <f aca="false">IF(B367="","",IFERROR(INDEX(INV_NAME,MATCH(B367,INV_ID,0)),"CHECK: Supplier ID not found"))</f>
        <v/>
      </c>
      <c r="D367" s="63" t="str">
        <f aca="false">IF(B367="","",IFERROR(INDEX(INV_TIER,MATCH(B367,INV_ID,0)),""))</f>
        <v/>
      </c>
      <c r="E367" s="50"/>
      <c r="F367" s="59" t="str">
        <f aca="false">IF(E367="","",IFERROR(INDEX(QB_Q,MATCH(E367,QB_ID,0)),"CHECK: Question ID not found"))</f>
        <v/>
      </c>
      <c r="G367" s="59" t="str">
        <f aca="false">IF(E367="","",IFERROR(INDEX(QB_DOMAIN,MATCH(E367,QB_ID,0)),""))</f>
        <v/>
      </c>
      <c r="H367" s="54" t="str">
        <f aca="false">IF(OR(A367="",E367=""),"",IFERROR(IF(ISNUMBER(MATCH(D367,{"Low","Medium","High"},0)),IF(MATCH(D367,{"Low","Medium","High"},0)&gt;=MATCH(INDEX(QB_MINTIER,MATCH(E367,QB_ID,0)),{"Low","Medium","High"},0),"Recommended for tier","Optional for tier"),"Tier not determined"),"Check question"))</f>
        <v/>
      </c>
      <c r="I367" s="34"/>
      <c r="J367" s="50"/>
      <c r="K367" s="34"/>
      <c r="L367" s="34"/>
      <c r="M367" s="62" t="str">
        <f aca="false">IF(L367="","",SUMPRODUCT(ISNUMBER(SEARCH(","&amp;EV_ID&amp;",",","&amp;SUBSTITUTE(L367," ","")&amp;","))*(EV_ID&lt;&gt;"")))</f>
        <v/>
      </c>
      <c r="N367" s="54" t="str">
        <f aca="false">IF(A367="","",IF(I367&lt;&gt;"Applicable",IF(I367="","Applicability not set","Not in scope ("&amp;I367&amp;")"),IF(OR(J367="",J367="Not answered"),"Awaiting supplier response",IF(J367="Not applicable","Supplier states not applicable - analyst to confirm",IF(L367="","Evidence insufficient - none referenced",IF(M367=0,"Evidence insufficient - referenced ID not found",IF(SUMPRODUCT(ISNUMBER(SEARCH(","&amp;EV_ID&amp;",",","&amp;SUBSTITUTE(L367," ","")&amp;","))*(EV_ID&lt;&gt;"")*(EV_SUFF="Sufficient"))&gt;0,"Evidence reviewed - sufficient",IF(SUMPRODUCT(ISNUMBER(SEARCH(","&amp;EV_ID&amp;",",","&amp;SUBSTITUTE(L367," ","")&amp;","))*(EV_ID&lt;&gt;"")*(EV_SUFF="Partially sufficient"))&gt;0,"Evidence partially sufficient","Evidence insufficient - referenced evidence not sufficient"))))))))</f>
        <v/>
      </c>
      <c r="O367" s="50"/>
      <c r="P367" s="34"/>
      <c r="Q367" s="34"/>
      <c r="R367" s="50"/>
      <c r="S367" s="51"/>
      <c r="T367" s="51"/>
      <c r="U367" s="52" t="str">
        <f aca="false">IF(OR(A367="",Q367=""),"",IF(AND(ISNUMBER(S367),S367&lt;AsOf,O367&lt;&gt;"Reviewed"),"Overdue",""))</f>
        <v/>
      </c>
      <c r="V367" s="54" t="str">
        <f aca="false">IF(A367="","",IF(COUNTIF(QA_ID,A367)&gt;1,"CHECK: duplicate ID",IF(B367="","CHECK: Supplier ID missing",IF(COUNTIF(INV_ID,B367)=0,"CHECK: Supplier ID not in inventory",IF(E367="","CHECK: Question ID missing",IF(COUNTIF(QB_ID,E367)=0,"CHECK: Question ID not in bank","OK"))))))</f>
        <v/>
      </c>
    </row>
    <row r="368" customFormat="false" ht="15" hidden="false" customHeight="false" outlineLevel="0" collapsed="false">
      <c r="A368" s="50"/>
      <c r="B368" s="50"/>
      <c r="C368" s="59" t="str">
        <f aca="false">IF(B368="","",IFERROR(INDEX(INV_NAME,MATCH(B368,INV_ID,0)),"CHECK: Supplier ID not found"))</f>
        <v/>
      </c>
      <c r="D368" s="63" t="str">
        <f aca="false">IF(B368="","",IFERROR(INDEX(INV_TIER,MATCH(B368,INV_ID,0)),""))</f>
        <v/>
      </c>
      <c r="E368" s="50"/>
      <c r="F368" s="59" t="str">
        <f aca="false">IF(E368="","",IFERROR(INDEX(QB_Q,MATCH(E368,QB_ID,0)),"CHECK: Question ID not found"))</f>
        <v/>
      </c>
      <c r="G368" s="59" t="str">
        <f aca="false">IF(E368="","",IFERROR(INDEX(QB_DOMAIN,MATCH(E368,QB_ID,0)),""))</f>
        <v/>
      </c>
      <c r="H368" s="54" t="str">
        <f aca="false">IF(OR(A368="",E368=""),"",IFERROR(IF(ISNUMBER(MATCH(D368,{"Low","Medium","High"},0)),IF(MATCH(D368,{"Low","Medium","High"},0)&gt;=MATCH(INDEX(QB_MINTIER,MATCH(E368,QB_ID,0)),{"Low","Medium","High"},0),"Recommended for tier","Optional for tier"),"Tier not determined"),"Check question"))</f>
        <v/>
      </c>
      <c r="I368" s="34"/>
      <c r="J368" s="50"/>
      <c r="K368" s="34"/>
      <c r="L368" s="34"/>
      <c r="M368" s="62" t="str">
        <f aca="false">IF(L368="","",SUMPRODUCT(ISNUMBER(SEARCH(","&amp;EV_ID&amp;",",","&amp;SUBSTITUTE(L368," ","")&amp;","))*(EV_ID&lt;&gt;"")))</f>
        <v/>
      </c>
      <c r="N368" s="54" t="str">
        <f aca="false">IF(A368="","",IF(I368&lt;&gt;"Applicable",IF(I368="","Applicability not set","Not in scope ("&amp;I368&amp;")"),IF(OR(J368="",J368="Not answered"),"Awaiting supplier response",IF(J368="Not applicable","Supplier states not applicable - analyst to confirm",IF(L368="","Evidence insufficient - none referenced",IF(M368=0,"Evidence insufficient - referenced ID not found",IF(SUMPRODUCT(ISNUMBER(SEARCH(","&amp;EV_ID&amp;",",","&amp;SUBSTITUTE(L368," ","")&amp;","))*(EV_ID&lt;&gt;"")*(EV_SUFF="Sufficient"))&gt;0,"Evidence reviewed - sufficient",IF(SUMPRODUCT(ISNUMBER(SEARCH(","&amp;EV_ID&amp;",",","&amp;SUBSTITUTE(L368," ","")&amp;","))*(EV_ID&lt;&gt;"")*(EV_SUFF="Partially sufficient"))&gt;0,"Evidence partially sufficient","Evidence insufficient - referenced evidence not sufficient"))))))))</f>
        <v/>
      </c>
      <c r="O368" s="50"/>
      <c r="P368" s="34"/>
      <c r="Q368" s="34"/>
      <c r="R368" s="50"/>
      <c r="S368" s="51"/>
      <c r="T368" s="51"/>
      <c r="U368" s="52" t="str">
        <f aca="false">IF(OR(A368="",Q368=""),"",IF(AND(ISNUMBER(S368),S368&lt;AsOf,O368&lt;&gt;"Reviewed"),"Overdue",""))</f>
        <v/>
      </c>
      <c r="V368" s="54" t="str">
        <f aca="false">IF(A368="","",IF(COUNTIF(QA_ID,A368)&gt;1,"CHECK: duplicate ID",IF(B368="","CHECK: Supplier ID missing",IF(COUNTIF(INV_ID,B368)=0,"CHECK: Supplier ID not in inventory",IF(E368="","CHECK: Question ID missing",IF(COUNTIF(QB_ID,E368)=0,"CHECK: Question ID not in bank","OK"))))))</f>
        <v/>
      </c>
    </row>
    <row r="369" customFormat="false" ht="15" hidden="false" customHeight="false" outlineLevel="0" collapsed="false">
      <c r="A369" s="50"/>
      <c r="B369" s="50"/>
      <c r="C369" s="59" t="str">
        <f aca="false">IF(B369="","",IFERROR(INDEX(INV_NAME,MATCH(B369,INV_ID,0)),"CHECK: Supplier ID not found"))</f>
        <v/>
      </c>
      <c r="D369" s="63" t="str">
        <f aca="false">IF(B369="","",IFERROR(INDEX(INV_TIER,MATCH(B369,INV_ID,0)),""))</f>
        <v/>
      </c>
      <c r="E369" s="50"/>
      <c r="F369" s="59" t="str">
        <f aca="false">IF(E369="","",IFERROR(INDEX(QB_Q,MATCH(E369,QB_ID,0)),"CHECK: Question ID not found"))</f>
        <v/>
      </c>
      <c r="G369" s="59" t="str">
        <f aca="false">IF(E369="","",IFERROR(INDEX(QB_DOMAIN,MATCH(E369,QB_ID,0)),""))</f>
        <v/>
      </c>
      <c r="H369" s="54" t="str">
        <f aca="false">IF(OR(A369="",E369=""),"",IFERROR(IF(ISNUMBER(MATCH(D369,{"Low","Medium","High"},0)),IF(MATCH(D369,{"Low","Medium","High"},0)&gt;=MATCH(INDEX(QB_MINTIER,MATCH(E369,QB_ID,0)),{"Low","Medium","High"},0),"Recommended for tier","Optional for tier"),"Tier not determined"),"Check question"))</f>
        <v/>
      </c>
      <c r="I369" s="34"/>
      <c r="J369" s="50"/>
      <c r="K369" s="34"/>
      <c r="L369" s="34"/>
      <c r="M369" s="62" t="str">
        <f aca="false">IF(L369="","",SUMPRODUCT(ISNUMBER(SEARCH(","&amp;EV_ID&amp;",",","&amp;SUBSTITUTE(L369," ","")&amp;","))*(EV_ID&lt;&gt;"")))</f>
        <v/>
      </c>
      <c r="N369" s="54" t="str">
        <f aca="false">IF(A369="","",IF(I369&lt;&gt;"Applicable",IF(I369="","Applicability not set","Not in scope ("&amp;I369&amp;")"),IF(OR(J369="",J369="Not answered"),"Awaiting supplier response",IF(J369="Not applicable","Supplier states not applicable - analyst to confirm",IF(L369="","Evidence insufficient - none referenced",IF(M369=0,"Evidence insufficient - referenced ID not found",IF(SUMPRODUCT(ISNUMBER(SEARCH(","&amp;EV_ID&amp;",",","&amp;SUBSTITUTE(L369," ","")&amp;","))*(EV_ID&lt;&gt;"")*(EV_SUFF="Sufficient"))&gt;0,"Evidence reviewed - sufficient",IF(SUMPRODUCT(ISNUMBER(SEARCH(","&amp;EV_ID&amp;",",","&amp;SUBSTITUTE(L369," ","")&amp;","))*(EV_ID&lt;&gt;"")*(EV_SUFF="Partially sufficient"))&gt;0,"Evidence partially sufficient","Evidence insufficient - referenced evidence not sufficient"))))))))</f>
        <v/>
      </c>
      <c r="O369" s="50"/>
      <c r="P369" s="34"/>
      <c r="Q369" s="34"/>
      <c r="R369" s="50"/>
      <c r="S369" s="51"/>
      <c r="T369" s="51"/>
      <c r="U369" s="52" t="str">
        <f aca="false">IF(OR(A369="",Q369=""),"",IF(AND(ISNUMBER(S369),S369&lt;AsOf,O369&lt;&gt;"Reviewed"),"Overdue",""))</f>
        <v/>
      </c>
      <c r="V369" s="54" t="str">
        <f aca="false">IF(A369="","",IF(COUNTIF(QA_ID,A369)&gt;1,"CHECK: duplicate ID",IF(B369="","CHECK: Supplier ID missing",IF(COUNTIF(INV_ID,B369)=0,"CHECK: Supplier ID not in inventory",IF(E369="","CHECK: Question ID missing",IF(COUNTIF(QB_ID,E369)=0,"CHECK: Question ID not in bank","OK"))))))</f>
        <v/>
      </c>
    </row>
    <row r="370" customFormat="false" ht="15" hidden="false" customHeight="false" outlineLevel="0" collapsed="false">
      <c r="A370" s="50"/>
      <c r="B370" s="50"/>
      <c r="C370" s="59" t="str">
        <f aca="false">IF(B370="","",IFERROR(INDEX(INV_NAME,MATCH(B370,INV_ID,0)),"CHECK: Supplier ID not found"))</f>
        <v/>
      </c>
      <c r="D370" s="63" t="str">
        <f aca="false">IF(B370="","",IFERROR(INDEX(INV_TIER,MATCH(B370,INV_ID,0)),""))</f>
        <v/>
      </c>
      <c r="E370" s="50"/>
      <c r="F370" s="59" t="str">
        <f aca="false">IF(E370="","",IFERROR(INDEX(QB_Q,MATCH(E370,QB_ID,0)),"CHECK: Question ID not found"))</f>
        <v/>
      </c>
      <c r="G370" s="59" t="str">
        <f aca="false">IF(E370="","",IFERROR(INDEX(QB_DOMAIN,MATCH(E370,QB_ID,0)),""))</f>
        <v/>
      </c>
      <c r="H370" s="54" t="str">
        <f aca="false">IF(OR(A370="",E370=""),"",IFERROR(IF(ISNUMBER(MATCH(D370,{"Low","Medium","High"},0)),IF(MATCH(D370,{"Low","Medium","High"},0)&gt;=MATCH(INDEX(QB_MINTIER,MATCH(E370,QB_ID,0)),{"Low","Medium","High"},0),"Recommended for tier","Optional for tier"),"Tier not determined"),"Check question"))</f>
        <v/>
      </c>
      <c r="I370" s="34"/>
      <c r="J370" s="50"/>
      <c r="K370" s="34"/>
      <c r="L370" s="34"/>
      <c r="M370" s="62" t="str">
        <f aca="false">IF(L370="","",SUMPRODUCT(ISNUMBER(SEARCH(","&amp;EV_ID&amp;",",","&amp;SUBSTITUTE(L370," ","")&amp;","))*(EV_ID&lt;&gt;"")))</f>
        <v/>
      </c>
      <c r="N370" s="54" t="str">
        <f aca="false">IF(A370="","",IF(I370&lt;&gt;"Applicable",IF(I370="","Applicability not set","Not in scope ("&amp;I370&amp;")"),IF(OR(J370="",J370="Not answered"),"Awaiting supplier response",IF(J370="Not applicable","Supplier states not applicable - analyst to confirm",IF(L370="","Evidence insufficient - none referenced",IF(M370=0,"Evidence insufficient - referenced ID not found",IF(SUMPRODUCT(ISNUMBER(SEARCH(","&amp;EV_ID&amp;",",","&amp;SUBSTITUTE(L370," ","")&amp;","))*(EV_ID&lt;&gt;"")*(EV_SUFF="Sufficient"))&gt;0,"Evidence reviewed - sufficient",IF(SUMPRODUCT(ISNUMBER(SEARCH(","&amp;EV_ID&amp;",",","&amp;SUBSTITUTE(L370," ","")&amp;","))*(EV_ID&lt;&gt;"")*(EV_SUFF="Partially sufficient"))&gt;0,"Evidence partially sufficient","Evidence insufficient - referenced evidence not sufficient"))))))))</f>
        <v/>
      </c>
      <c r="O370" s="50"/>
      <c r="P370" s="34"/>
      <c r="Q370" s="34"/>
      <c r="R370" s="50"/>
      <c r="S370" s="51"/>
      <c r="T370" s="51"/>
      <c r="U370" s="52" t="str">
        <f aca="false">IF(OR(A370="",Q370=""),"",IF(AND(ISNUMBER(S370),S370&lt;AsOf,O370&lt;&gt;"Reviewed"),"Overdue",""))</f>
        <v/>
      </c>
      <c r="V370" s="54" t="str">
        <f aca="false">IF(A370="","",IF(COUNTIF(QA_ID,A370)&gt;1,"CHECK: duplicate ID",IF(B370="","CHECK: Supplier ID missing",IF(COUNTIF(INV_ID,B370)=0,"CHECK: Supplier ID not in inventory",IF(E370="","CHECK: Question ID missing",IF(COUNTIF(QB_ID,E370)=0,"CHECK: Question ID not in bank","OK"))))))</f>
        <v/>
      </c>
    </row>
    <row r="371" customFormat="false" ht="15" hidden="false" customHeight="false" outlineLevel="0" collapsed="false">
      <c r="A371" s="50"/>
      <c r="B371" s="50"/>
      <c r="C371" s="59" t="str">
        <f aca="false">IF(B371="","",IFERROR(INDEX(INV_NAME,MATCH(B371,INV_ID,0)),"CHECK: Supplier ID not found"))</f>
        <v/>
      </c>
      <c r="D371" s="63" t="str">
        <f aca="false">IF(B371="","",IFERROR(INDEX(INV_TIER,MATCH(B371,INV_ID,0)),""))</f>
        <v/>
      </c>
      <c r="E371" s="50"/>
      <c r="F371" s="59" t="str">
        <f aca="false">IF(E371="","",IFERROR(INDEX(QB_Q,MATCH(E371,QB_ID,0)),"CHECK: Question ID not found"))</f>
        <v/>
      </c>
      <c r="G371" s="59" t="str">
        <f aca="false">IF(E371="","",IFERROR(INDEX(QB_DOMAIN,MATCH(E371,QB_ID,0)),""))</f>
        <v/>
      </c>
      <c r="H371" s="54" t="str">
        <f aca="false">IF(OR(A371="",E371=""),"",IFERROR(IF(ISNUMBER(MATCH(D371,{"Low","Medium","High"},0)),IF(MATCH(D371,{"Low","Medium","High"},0)&gt;=MATCH(INDEX(QB_MINTIER,MATCH(E371,QB_ID,0)),{"Low","Medium","High"},0),"Recommended for tier","Optional for tier"),"Tier not determined"),"Check question"))</f>
        <v/>
      </c>
      <c r="I371" s="34"/>
      <c r="J371" s="50"/>
      <c r="K371" s="34"/>
      <c r="L371" s="34"/>
      <c r="M371" s="62" t="str">
        <f aca="false">IF(L371="","",SUMPRODUCT(ISNUMBER(SEARCH(","&amp;EV_ID&amp;",",","&amp;SUBSTITUTE(L371," ","")&amp;","))*(EV_ID&lt;&gt;"")))</f>
        <v/>
      </c>
      <c r="N371" s="54" t="str">
        <f aca="false">IF(A371="","",IF(I371&lt;&gt;"Applicable",IF(I371="","Applicability not set","Not in scope ("&amp;I371&amp;")"),IF(OR(J371="",J371="Not answered"),"Awaiting supplier response",IF(J371="Not applicable","Supplier states not applicable - analyst to confirm",IF(L371="","Evidence insufficient - none referenced",IF(M371=0,"Evidence insufficient - referenced ID not found",IF(SUMPRODUCT(ISNUMBER(SEARCH(","&amp;EV_ID&amp;",",","&amp;SUBSTITUTE(L371," ","")&amp;","))*(EV_ID&lt;&gt;"")*(EV_SUFF="Sufficient"))&gt;0,"Evidence reviewed - sufficient",IF(SUMPRODUCT(ISNUMBER(SEARCH(","&amp;EV_ID&amp;",",","&amp;SUBSTITUTE(L371," ","")&amp;","))*(EV_ID&lt;&gt;"")*(EV_SUFF="Partially sufficient"))&gt;0,"Evidence partially sufficient","Evidence insufficient - referenced evidence not sufficient"))))))))</f>
        <v/>
      </c>
      <c r="O371" s="50"/>
      <c r="P371" s="34"/>
      <c r="Q371" s="34"/>
      <c r="R371" s="50"/>
      <c r="S371" s="51"/>
      <c r="T371" s="51"/>
      <c r="U371" s="52" t="str">
        <f aca="false">IF(OR(A371="",Q371=""),"",IF(AND(ISNUMBER(S371),S371&lt;AsOf,O371&lt;&gt;"Reviewed"),"Overdue",""))</f>
        <v/>
      </c>
      <c r="V371" s="54" t="str">
        <f aca="false">IF(A371="","",IF(COUNTIF(QA_ID,A371)&gt;1,"CHECK: duplicate ID",IF(B371="","CHECK: Supplier ID missing",IF(COUNTIF(INV_ID,B371)=0,"CHECK: Supplier ID not in inventory",IF(E371="","CHECK: Question ID missing",IF(COUNTIF(QB_ID,E371)=0,"CHECK: Question ID not in bank","OK"))))))</f>
        <v/>
      </c>
    </row>
    <row r="372" customFormat="false" ht="15" hidden="false" customHeight="false" outlineLevel="0" collapsed="false">
      <c r="A372" s="50"/>
      <c r="B372" s="50"/>
      <c r="C372" s="59" t="str">
        <f aca="false">IF(B372="","",IFERROR(INDEX(INV_NAME,MATCH(B372,INV_ID,0)),"CHECK: Supplier ID not found"))</f>
        <v/>
      </c>
      <c r="D372" s="63" t="str">
        <f aca="false">IF(B372="","",IFERROR(INDEX(INV_TIER,MATCH(B372,INV_ID,0)),""))</f>
        <v/>
      </c>
      <c r="E372" s="50"/>
      <c r="F372" s="59" t="str">
        <f aca="false">IF(E372="","",IFERROR(INDEX(QB_Q,MATCH(E372,QB_ID,0)),"CHECK: Question ID not found"))</f>
        <v/>
      </c>
      <c r="G372" s="59" t="str">
        <f aca="false">IF(E372="","",IFERROR(INDEX(QB_DOMAIN,MATCH(E372,QB_ID,0)),""))</f>
        <v/>
      </c>
      <c r="H372" s="54" t="str">
        <f aca="false">IF(OR(A372="",E372=""),"",IFERROR(IF(ISNUMBER(MATCH(D372,{"Low","Medium","High"},0)),IF(MATCH(D372,{"Low","Medium","High"},0)&gt;=MATCH(INDEX(QB_MINTIER,MATCH(E372,QB_ID,0)),{"Low","Medium","High"},0),"Recommended for tier","Optional for tier"),"Tier not determined"),"Check question"))</f>
        <v/>
      </c>
      <c r="I372" s="34"/>
      <c r="J372" s="50"/>
      <c r="K372" s="34"/>
      <c r="L372" s="34"/>
      <c r="M372" s="62" t="str">
        <f aca="false">IF(L372="","",SUMPRODUCT(ISNUMBER(SEARCH(","&amp;EV_ID&amp;",",","&amp;SUBSTITUTE(L372," ","")&amp;","))*(EV_ID&lt;&gt;"")))</f>
        <v/>
      </c>
      <c r="N372" s="54" t="str">
        <f aca="false">IF(A372="","",IF(I372&lt;&gt;"Applicable",IF(I372="","Applicability not set","Not in scope ("&amp;I372&amp;")"),IF(OR(J372="",J372="Not answered"),"Awaiting supplier response",IF(J372="Not applicable","Supplier states not applicable - analyst to confirm",IF(L372="","Evidence insufficient - none referenced",IF(M372=0,"Evidence insufficient - referenced ID not found",IF(SUMPRODUCT(ISNUMBER(SEARCH(","&amp;EV_ID&amp;",",","&amp;SUBSTITUTE(L372," ","")&amp;","))*(EV_ID&lt;&gt;"")*(EV_SUFF="Sufficient"))&gt;0,"Evidence reviewed - sufficient",IF(SUMPRODUCT(ISNUMBER(SEARCH(","&amp;EV_ID&amp;",",","&amp;SUBSTITUTE(L372," ","")&amp;","))*(EV_ID&lt;&gt;"")*(EV_SUFF="Partially sufficient"))&gt;0,"Evidence partially sufficient","Evidence insufficient - referenced evidence not sufficient"))))))))</f>
        <v/>
      </c>
      <c r="O372" s="50"/>
      <c r="P372" s="34"/>
      <c r="Q372" s="34"/>
      <c r="R372" s="50"/>
      <c r="S372" s="51"/>
      <c r="T372" s="51"/>
      <c r="U372" s="52" t="str">
        <f aca="false">IF(OR(A372="",Q372=""),"",IF(AND(ISNUMBER(S372),S372&lt;AsOf,O372&lt;&gt;"Reviewed"),"Overdue",""))</f>
        <v/>
      </c>
      <c r="V372" s="54" t="str">
        <f aca="false">IF(A372="","",IF(COUNTIF(QA_ID,A372)&gt;1,"CHECK: duplicate ID",IF(B372="","CHECK: Supplier ID missing",IF(COUNTIF(INV_ID,B372)=0,"CHECK: Supplier ID not in inventory",IF(E372="","CHECK: Question ID missing",IF(COUNTIF(QB_ID,E372)=0,"CHECK: Question ID not in bank","OK"))))))</f>
        <v/>
      </c>
    </row>
    <row r="373" customFormat="false" ht="15" hidden="false" customHeight="false" outlineLevel="0" collapsed="false">
      <c r="A373" s="50"/>
      <c r="B373" s="50"/>
      <c r="C373" s="59" t="str">
        <f aca="false">IF(B373="","",IFERROR(INDEX(INV_NAME,MATCH(B373,INV_ID,0)),"CHECK: Supplier ID not found"))</f>
        <v/>
      </c>
      <c r="D373" s="63" t="str">
        <f aca="false">IF(B373="","",IFERROR(INDEX(INV_TIER,MATCH(B373,INV_ID,0)),""))</f>
        <v/>
      </c>
      <c r="E373" s="50"/>
      <c r="F373" s="59" t="str">
        <f aca="false">IF(E373="","",IFERROR(INDEX(QB_Q,MATCH(E373,QB_ID,0)),"CHECK: Question ID not found"))</f>
        <v/>
      </c>
      <c r="G373" s="59" t="str">
        <f aca="false">IF(E373="","",IFERROR(INDEX(QB_DOMAIN,MATCH(E373,QB_ID,0)),""))</f>
        <v/>
      </c>
      <c r="H373" s="54" t="str">
        <f aca="false">IF(OR(A373="",E373=""),"",IFERROR(IF(ISNUMBER(MATCH(D373,{"Low","Medium","High"},0)),IF(MATCH(D373,{"Low","Medium","High"},0)&gt;=MATCH(INDEX(QB_MINTIER,MATCH(E373,QB_ID,0)),{"Low","Medium","High"},0),"Recommended for tier","Optional for tier"),"Tier not determined"),"Check question"))</f>
        <v/>
      </c>
      <c r="I373" s="34"/>
      <c r="J373" s="50"/>
      <c r="K373" s="34"/>
      <c r="L373" s="34"/>
      <c r="M373" s="62" t="str">
        <f aca="false">IF(L373="","",SUMPRODUCT(ISNUMBER(SEARCH(","&amp;EV_ID&amp;",",","&amp;SUBSTITUTE(L373," ","")&amp;","))*(EV_ID&lt;&gt;"")))</f>
        <v/>
      </c>
      <c r="N373" s="54" t="str">
        <f aca="false">IF(A373="","",IF(I373&lt;&gt;"Applicable",IF(I373="","Applicability not set","Not in scope ("&amp;I373&amp;")"),IF(OR(J373="",J373="Not answered"),"Awaiting supplier response",IF(J373="Not applicable","Supplier states not applicable - analyst to confirm",IF(L373="","Evidence insufficient - none referenced",IF(M373=0,"Evidence insufficient - referenced ID not found",IF(SUMPRODUCT(ISNUMBER(SEARCH(","&amp;EV_ID&amp;",",","&amp;SUBSTITUTE(L373," ","")&amp;","))*(EV_ID&lt;&gt;"")*(EV_SUFF="Sufficient"))&gt;0,"Evidence reviewed - sufficient",IF(SUMPRODUCT(ISNUMBER(SEARCH(","&amp;EV_ID&amp;",",","&amp;SUBSTITUTE(L373," ","")&amp;","))*(EV_ID&lt;&gt;"")*(EV_SUFF="Partially sufficient"))&gt;0,"Evidence partially sufficient","Evidence insufficient - referenced evidence not sufficient"))))))))</f>
        <v/>
      </c>
      <c r="O373" s="50"/>
      <c r="P373" s="34"/>
      <c r="Q373" s="34"/>
      <c r="R373" s="50"/>
      <c r="S373" s="51"/>
      <c r="T373" s="51"/>
      <c r="U373" s="52" t="str">
        <f aca="false">IF(OR(A373="",Q373=""),"",IF(AND(ISNUMBER(S373),S373&lt;AsOf,O373&lt;&gt;"Reviewed"),"Overdue",""))</f>
        <v/>
      </c>
      <c r="V373" s="54" t="str">
        <f aca="false">IF(A373="","",IF(COUNTIF(QA_ID,A373)&gt;1,"CHECK: duplicate ID",IF(B373="","CHECK: Supplier ID missing",IF(COUNTIF(INV_ID,B373)=0,"CHECK: Supplier ID not in inventory",IF(E373="","CHECK: Question ID missing",IF(COUNTIF(QB_ID,E373)=0,"CHECK: Question ID not in bank","OK"))))))</f>
        <v/>
      </c>
    </row>
    <row r="374" customFormat="false" ht="15" hidden="false" customHeight="false" outlineLevel="0" collapsed="false">
      <c r="A374" s="50"/>
      <c r="B374" s="50"/>
      <c r="C374" s="59" t="str">
        <f aca="false">IF(B374="","",IFERROR(INDEX(INV_NAME,MATCH(B374,INV_ID,0)),"CHECK: Supplier ID not found"))</f>
        <v/>
      </c>
      <c r="D374" s="63" t="str">
        <f aca="false">IF(B374="","",IFERROR(INDEX(INV_TIER,MATCH(B374,INV_ID,0)),""))</f>
        <v/>
      </c>
      <c r="E374" s="50"/>
      <c r="F374" s="59" t="str">
        <f aca="false">IF(E374="","",IFERROR(INDEX(QB_Q,MATCH(E374,QB_ID,0)),"CHECK: Question ID not found"))</f>
        <v/>
      </c>
      <c r="G374" s="59" t="str">
        <f aca="false">IF(E374="","",IFERROR(INDEX(QB_DOMAIN,MATCH(E374,QB_ID,0)),""))</f>
        <v/>
      </c>
      <c r="H374" s="54" t="str">
        <f aca="false">IF(OR(A374="",E374=""),"",IFERROR(IF(ISNUMBER(MATCH(D374,{"Low","Medium","High"},0)),IF(MATCH(D374,{"Low","Medium","High"},0)&gt;=MATCH(INDEX(QB_MINTIER,MATCH(E374,QB_ID,0)),{"Low","Medium","High"},0),"Recommended for tier","Optional for tier"),"Tier not determined"),"Check question"))</f>
        <v/>
      </c>
      <c r="I374" s="34"/>
      <c r="J374" s="50"/>
      <c r="K374" s="34"/>
      <c r="L374" s="34"/>
      <c r="M374" s="62" t="str">
        <f aca="false">IF(L374="","",SUMPRODUCT(ISNUMBER(SEARCH(","&amp;EV_ID&amp;",",","&amp;SUBSTITUTE(L374," ","")&amp;","))*(EV_ID&lt;&gt;"")))</f>
        <v/>
      </c>
      <c r="N374" s="54" t="str">
        <f aca="false">IF(A374="","",IF(I374&lt;&gt;"Applicable",IF(I374="","Applicability not set","Not in scope ("&amp;I374&amp;")"),IF(OR(J374="",J374="Not answered"),"Awaiting supplier response",IF(J374="Not applicable","Supplier states not applicable - analyst to confirm",IF(L374="","Evidence insufficient - none referenced",IF(M374=0,"Evidence insufficient - referenced ID not found",IF(SUMPRODUCT(ISNUMBER(SEARCH(","&amp;EV_ID&amp;",",","&amp;SUBSTITUTE(L374," ","")&amp;","))*(EV_ID&lt;&gt;"")*(EV_SUFF="Sufficient"))&gt;0,"Evidence reviewed - sufficient",IF(SUMPRODUCT(ISNUMBER(SEARCH(","&amp;EV_ID&amp;",",","&amp;SUBSTITUTE(L374," ","")&amp;","))*(EV_ID&lt;&gt;"")*(EV_SUFF="Partially sufficient"))&gt;0,"Evidence partially sufficient","Evidence insufficient - referenced evidence not sufficient"))))))))</f>
        <v/>
      </c>
      <c r="O374" s="50"/>
      <c r="P374" s="34"/>
      <c r="Q374" s="34"/>
      <c r="R374" s="50"/>
      <c r="S374" s="51"/>
      <c r="T374" s="51"/>
      <c r="U374" s="52" t="str">
        <f aca="false">IF(OR(A374="",Q374=""),"",IF(AND(ISNUMBER(S374),S374&lt;AsOf,O374&lt;&gt;"Reviewed"),"Overdue",""))</f>
        <v/>
      </c>
      <c r="V374" s="54" t="str">
        <f aca="false">IF(A374="","",IF(COUNTIF(QA_ID,A374)&gt;1,"CHECK: duplicate ID",IF(B374="","CHECK: Supplier ID missing",IF(COUNTIF(INV_ID,B374)=0,"CHECK: Supplier ID not in inventory",IF(E374="","CHECK: Question ID missing",IF(COUNTIF(QB_ID,E374)=0,"CHECK: Question ID not in bank","OK"))))))</f>
        <v/>
      </c>
    </row>
    <row r="375" customFormat="false" ht="15" hidden="false" customHeight="false" outlineLevel="0" collapsed="false">
      <c r="A375" s="50"/>
      <c r="B375" s="50"/>
      <c r="C375" s="59" t="str">
        <f aca="false">IF(B375="","",IFERROR(INDEX(INV_NAME,MATCH(B375,INV_ID,0)),"CHECK: Supplier ID not found"))</f>
        <v/>
      </c>
      <c r="D375" s="63" t="str">
        <f aca="false">IF(B375="","",IFERROR(INDEX(INV_TIER,MATCH(B375,INV_ID,0)),""))</f>
        <v/>
      </c>
      <c r="E375" s="50"/>
      <c r="F375" s="59" t="str">
        <f aca="false">IF(E375="","",IFERROR(INDEX(QB_Q,MATCH(E375,QB_ID,0)),"CHECK: Question ID not found"))</f>
        <v/>
      </c>
      <c r="G375" s="59" t="str">
        <f aca="false">IF(E375="","",IFERROR(INDEX(QB_DOMAIN,MATCH(E375,QB_ID,0)),""))</f>
        <v/>
      </c>
      <c r="H375" s="54" t="str">
        <f aca="false">IF(OR(A375="",E375=""),"",IFERROR(IF(ISNUMBER(MATCH(D375,{"Low","Medium","High"},0)),IF(MATCH(D375,{"Low","Medium","High"},0)&gt;=MATCH(INDEX(QB_MINTIER,MATCH(E375,QB_ID,0)),{"Low","Medium","High"},0),"Recommended for tier","Optional for tier"),"Tier not determined"),"Check question"))</f>
        <v/>
      </c>
      <c r="I375" s="34"/>
      <c r="J375" s="50"/>
      <c r="K375" s="34"/>
      <c r="L375" s="34"/>
      <c r="M375" s="62" t="str">
        <f aca="false">IF(L375="","",SUMPRODUCT(ISNUMBER(SEARCH(","&amp;EV_ID&amp;",",","&amp;SUBSTITUTE(L375," ","")&amp;","))*(EV_ID&lt;&gt;"")))</f>
        <v/>
      </c>
      <c r="N375" s="54" t="str">
        <f aca="false">IF(A375="","",IF(I375&lt;&gt;"Applicable",IF(I375="","Applicability not set","Not in scope ("&amp;I375&amp;")"),IF(OR(J375="",J375="Not answered"),"Awaiting supplier response",IF(J375="Not applicable","Supplier states not applicable - analyst to confirm",IF(L375="","Evidence insufficient - none referenced",IF(M375=0,"Evidence insufficient - referenced ID not found",IF(SUMPRODUCT(ISNUMBER(SEARCH(","&amp;EV_ID&amp;",",","&amp;SUBSTITUTE(L375," ","")&amp;","))*(EV_ID&lt;&gt;"")*(EV_SUFF="Sufficient"))&gt;0,"Evidence reviewed - sufficient",IF(SUMPRODUCT(ISNUMBER(SEARCH(","&amp;EV_ID&amp;",",","&amp;SUBSTITUTE(L375," ","")&amp;","))*(EV_ID&lt;&gt;"")*(EV_SUFF="Partially sufficient"))&gt;0,"Evidence partially sufficient","Evidence insufficient - referenced evidence not sufficient"))))))))</f>
        <v/>
      </c>
      <c r="O375" s="50"/>
      <c r="P375" s="34"/>
      <c r="Q375" s="34"/>
      <c r="R375" s="50"/>
      <c r="S375" s="51"/>
      <c r="T375" s="51"/>
      <c r="U375" s="52" t="str">
        <f aca="false">IF(OR(A375="",Q375=""),"",IF(AND(ISNUMBER(S375),S375&lt;AsOf,O375&lt;&gt;"Reviewed"),"Overdue",""))</f>
        <v/>
      </c>
      <c r="V375" s="54" t="str">
        <f aca="false">IF(A375="","",IF(COUNTIF(QA_ID,A375)&gt;1,"CHECK: duplicate ID",IF(B375="","CHECK: Supplier ID missing",IF(COUNTIF(INV_ID,B375)=0,"CHECK: Supplier ID not in inventory",IF(E375="","CHECK: Question ID missing",IF(COUNTIF(QB_ID,E375)=0,"CHECK: Question ID not in bank","OK"))))))</f>
        <v/>
      </c>
    </row>
    <row r="376" customFormat="false" ht="15" hidden="false" customHeight="false" outlineLevel="0" collapsed="false">
      <c r="A376" s="50"/>
      <c r="B376" s="50"/>
      <c r="C376" s="59" t="str">
        <f aca="false">IF(B376="","",IFERROR(INDEX(INV_NAME,MATCH(B376,INV_ID,0)),"CHECK: Supplier ID not found"))</f>
        <v/>
      </c>
      <c r="D376" s="63" t="str">
        <f aca="false">IF(B376="","",IFERROR(INDEX(INV_TIER,MATCH(B376,INV_ID,0)),""))</f>
        <v/>
      </c>
      <c r="E376" s="50"/>
      <c r="F376" s="59" t="str">
        <f aca="false">IF(E376="","",IFERROR(INDEX(QB_Q,MATCH(E376,QB_ID,0)),"CHECK: Question ID not found"))</f>
        <v/>
      </c>
      <c r="G376" s="59" t="str">
        <f aca="false">IF(E376="","",IFERROR(INDEX(QB_DOMAIN,MATCH(E376,QB_ID,0)),""))</f>
        <v/>
      </c>
      <c r="H376" s="54" t="str">
        <f aca="false">IF(OR(A376="",E376=""),"",IFERROR(IF(ISNUMBER(MATCH(D376,{"Low","Medium","High"},0)),IF(MATCH(D376,{"Low","Medium","High"},0)&gt;=MATCH(INDEX(QB_MINTIER,MATCH(E376,QB_ID,0)),{"Low","Medium","High"},0),"Recommended for tier","Optional for tier"),"Tier not determined"),"Check question"))</f>
        <v/>
      </c>
      <c r="I376" s="34"/>
      <c r="J376" s="50"/>
      <c r="K376" s="34"/>
      <c r="L376" s="34"/>
      <c r="M376" s="62" t="str">
        <f aca="false">IF(L376="","",SUMPRODUCT(ISNUMBER(SEARCH(","&amp;EV_ID&amp;",",","&amp;SUBSTITUTE(L376," ","")&amp;","))*(EV_ID&lt;&gt;"")))</f>
        <v/>
      </c>
      <c r="N376" s="54" t="str">
        <f aca="false">IF(A376="","",IF(I376&lt;&gt;"Applicable",IF(I376="","Applicability not set","Not in scope ("&amp;I376&amp;")"),IF(OR(J376="",J376="Not answered"),"Awaiting supplier response",IF(J376="Not applicable","Supplier states not applicable - analyst to confirm",IF(L376="","Evidence insufficient - none referenced",IF(M376=0,"Evidence insufficient - referenced ID not found",IF(SUMPRODUCT(ISNUMBER(SEARCH(","&amp;EV_ID&amp;",",","&amp;SUBSTITUTE(L376," ","")&amp;","))*(EV_ID&lt;&gt;"")*(EV_SUFF="Sufficient"))&gt;0,"Evidence reviewed - sufficient",IF(SUMPRODUCT(ISNUMBER(SEARCH(","&amp;EV_ID&amp;",",","&amp;SUBSTITUTE(L376," ","")&amp;","))*(EV_ID&lt;&gt;"")*(EV_SUFF="Partially sufficient"))&gt;0,"Evidence partially sufficient","Evidence insufficient - referenced evidence not sufficient"))))))))</f>
        <v/>
      </c>
      <c r="O376" s="50"/>
      <c r="P376" s="34"/>
      <c r="Q376" s="34"/>
      <c r="R376" s="50"/>
      <c r="S376" s="51"/>
      <c r="T376" s="51"/>
      <c r="U376" s="52" t="str">
        <f aca="false">IF(OR(A376="",Q376=""),"",IF(AND(ISNUMBER(S376),S376&lt;AsOf,O376&lt;&gt;"Reviewed"),"Overdue",""))</f>
        <v/>
      </c>
      <c r="V376" s="54" t="str">
        <f aca="false">IF(A376="","",IF(COUNTIF(QA_ID,A376)&gt;1,"CHECK: duplicate ID",IF(B376="","CHECK: Supplier ID missing",IF(COUNTIF(INV_ID,B376)=0,"CHECK: Supplier ID not in inventory",IF(E376="","CHECK: Question ID missing",IF(COUNTIF(QB_ID,E376)=0,"CHECK: Question ID not in bank","OK"))))))</f>
        <v/>
      </c>
    </row>
    <row r="377" customFormat="false" ht="15" hidden="false" customHeight="false" outlineLevel="0" collapsed="false">
      <c r="A377" s="50"/>
      <c r="B377" s="50"/>
      <c r="C377" s="59" t="str">
        <f aca="false">IF(B377="","",IFERROR(INDEX(INV_NAME,MATCH(B377,INV_ID,0)),"CHECK: Supplier ID not found"))</f>
        <v/>
      </c>
      <c r="D377" s="63" t="str">
        <f aca="false">IF(B377="","",IFERROR(INDEX(INV_TIER,MATCH(B377,INV_ID,0)),""))</f>
        <v/>
      </c>
      <c r="E377" s="50"/>
      <c r="F377" s="59" t="str">
        <f aca="false">IF(E377="","",IFERROR(INDEX(QB_Q,MATCH(E377,QB_ID,0)),"CHECK: Question ID not found"))</f>
        <v/>
      </c>
      <c r="G377" s="59" t="str">
        <f aca="false">IF(E377="","",IFERROR(INDEX(QB_DOMAIN,MATCH(E377,QB_ID,0)),""))</f>
        <v/>
      </c>
      <c r="H377" s="54" t="str">
        <f aca="false">IF(OR(A377="",E377=""),"",IFERROR(IF(ISNUMBER(MATCH(D377,{"Low","Medium","High"},0)),IF(MATCH(D377,{"Low","Medium","High"},0)&gt;=MATCH(INDEX(QB_MINTIER,MATCH(E377,QB_ID,0)),{"Low","Medium","High"},0),"Recommended for tier","Optional for tier"),"Tier not determined"),"Check question"))</f>
        <v/>
      </c>
      <c r="I377" s="34"/>
      <c r="J377" s="50"/>
      <c r="K377" s="34"/>
      <c r="L377" s="34"/>
      <c r="M377" s="62" t="str">
        <f aca="false">IF(L377="","",SUMPRODUCT(ISNUMBER(SEARCH(","&amp;EV_ID&amp;",",","&amp;SUBSTITUTE(L377," ","")&amp;","))*(EV_ID&lt;&gt;"")))</f>
        <v/>
      </c>
      <c r="N377" s="54" t="str">
        <f aca="false">IF(A377="","",IF(I377&lt;&gt;"Applicable",IF(I377="","Applicability not set","Not in scope ("&amp;I377&amp;")"),IF(OR(J377="",J377="Not answered"),"Awaiting supplier response",IF(J377="Not applicable","Supplier states not applicable - analyst to confirm",IF(L377="","Evidence insufficient - none referenced",IF(M377=0,"Evidence insufficient - referenced ID not found",IF(SUMPRODUCT(ISNUMBER(SEARCH(","&amp;EV_ID&amp;",",","&amp;SUBSTITUTE(L377," ","")&amp;","))*(EV_ID&lt;&gt;"")*(EV_SUFF="Sufficient"))&gt;0,"Evidence reviewed - sufficient",IF(SUMPRODUCT(ISNUMBER(SEARCH(","&amp;EV_ID&amp;",",","&amp;SUBSTITUTE(L377," ","")&amp;","))*(EV_ID&lt;&gt;"")*(EV_SUFF="Partially sufficient"))&gt;0,"Evidence partially sufficient","Evidence insufficient - referenced evidence not sufficient"))))))))</f>
        <v/>
      </c>
      <c r="O377" s="50"/>
      <c r="P377" s="34"/>
      <c r="Q377" s="34"/>
      <c r="R377" s="50"/>
      <c r="S377" s="51"/>
      <c r="T377" s="51"/>
      <c r="U377" s="52" t="str">
        <f aca="false">IF(OR(A377="",Q377=""),"",IF(AND(ISNUMBER(S377),S377&lt;AsOf,O377&lt;&gt;"Reviewed"),"Overdue",""))</f>
        <v/>
      </c>
      <c r="V377" s="54" t="str">
        <f aca="false">IF(A377="","",IF(COUNTIF(QA_ID,A377)&gt;1,"CHECK: duplicate ID",IF(B377="","CHECK: Supplier ID missing",IF(COUNTIF(INV_ID,B377)=0,"CHECK: Supplier ID not in inventory",IF(E377="","CHECK: Question ID missing",IF(COUNTIF(QB_ID,E377)=0,"CHECK: Question ID not in bank","OK"))))))</f>
        <v/>
      </c>
    </row>
    <row r="378" customFormat="false" ht="15" hidden="false" customHeight="false" outlineLevel="0" collapsed="false">
      <c r="A378" s="50"/>
      <c r="B378" s="50"/>
      <c r="C378" s="59" t="str">
        <f aca="false">IF(B378="","",IFERROR(INDEX(INV_NAME,MATCH(B378,INV_ID,0)),"CHECK: Supplier ID not found"))</f>
        <v/>
      </c>
      <c r="D378" s="63" t="str">
        <f aca="false">IF(B378="","",IFERROR(INDEX(INV_TIER,MATCH(B378,INV_ID,0)),""))</f>
        <v/>
      </c>
      <c r="E378" s="50"/>
      <c r="F378" s="59" t="str">
        <f aca="false">IF(E378="","",IFERROR(INDEX(QB_Q,MATCH(E378,QB_ID,0)),"CHECK: Question ID not found"))</f>
        <v/>
      </c>
      <c r="G378" s="59" t="str">
        <f aca="false">IF(E378="","",IFERROR(INDEX(QB_DOMAIN,MATCH(E378,QB_ID,0)),""))</f>
        <v/>
      </c>
      <c r="H378" s="54" t="str">
        <f aca="false">IF(OR(A378="",E378=""),"",IFERROR(IF(ISNUMBER(MATCH(D378,{"Low","Medium","High"},0)),IF(MATCH(D378,{"Low","Medium","High"},0)&gt;=MATCH(INDEX(QB_MINTIER,MATCH(E378,QB_ID,0)),{"Low","Medium","High"},0),"Recommended for tier","Optional for tier"),"Tier not determined"),"Check question"))</f>
        <v/>
      </c>
      <c r="I378" s="34"/>
      <c r="J378" s="50"/>
      <c r="K378" s="34"/>
      <c r="L378" s="34"/>
      <c r="M378" s="62" t="str">
        <f aca="false">IF(L378="","",SUMPRODUCT(ISNUMBER(SEARCH(","&amp;EV_ID&amp;",",","&amp;SUBSTITUTE(L378," ","")&amp;","))*(EV_ID&lt;&gt;"")))</f>
        <v/>
      </c>
      <c r="N378" s="54" t="str">
        <f aca="false">IF(A378="","",IF(I378&lt;&gt;"Applicable",IF(I378="","Applicability not set","Not in scope ("&amp;I378&amp;")"),IF(OR(J378="",J378="Not answered"),"Awaiting supplier response",IF(J378="Not applicable","Supplier states not applicable - analyst to confirm",IF(L378="","Evidence insufficient - none referenced",IF(M378=0,"Evidence insufficient - referenced ID not found",IF(SUMPRODUCT(ISNUMBER(SEARCH(","&amp;EV_ID&amp;",",","&amp;SUBSTITUTE(L378," ","")&amp;","))*(EV_ID&lt;&gt;"")*(EV_SUFF="Sufficient"))&gt;0,"Evidence reviewed - sufficient",IF(SUMPRODUCT(ISNUMBER(SEARCH(","&amp;EV_ID&amp;",",","&amp;SUBSTITUTE(L378," ","")&amp;","))*(EV_ID&lt;&gt;"")*(EV_SUFF="Partially sufficient"))&gt;0,"Evidence partially sufficient","Evidence insufficient - referenced evidence not sufficient"))))))))</f>
        <v/>
      </c>
      <c r="O378" s="50"/>
      <c r="P378" s="34"/>
      <c r="Q378" s="34"/>
      <c r="R378" s="50"/>
      <c r="S378" s="51"/>
      <c r="T378" s="51"/>
      <c r="U378" s="52" t="str">
        <f aca="false">IF(OR(A378="",Q378=""),"",IF(AND(ISNUMBER(S378),S378&lt;AsOf,O378&lt;&gt;"Reviewed"),"Overdue",""))</f>
        <v/>
      </c>
      <c r="V378" s="54" t="str">
        <f aca="false">IF(A378="","",IF(COUNTIF(QA_ID,A378)&gt;1,"CHECK: duplicate ID",IF(B378="","CHECK: Supplier ID missing",IF(COUNTIF(INV_ID,B378)=0,"CHECK: Supplier ID not in inventory",IF(E378="","CHECK: Question ID missing",IF(COUNTIF(QB_ID,E378)=0,"CHECK: Question ID not in bank","OK"))))))</f>
        <v/>
      </c>
    </row>
    <row r="379" customFormat="false" ht="15" hidden="false" customHeight="false" outlineLevel="0" collapsed="false">
      <c r="A379" s="50"/>
      <c r="B379" s="50"/>
      <c r="C379" s="59" t="str">
        <f aca="false">IF(B379="","",IFERROR(INDEX(INV_NAME,MATCH(B379,INV_ID,0)),"CHECK: Supplier ID not found"))</f>
        <v/>
      </c>
      <c r="D379" s="63" t="str">
        <f aca="false">IF(B379="","",IFERROR(INDEX(INV_TIER,MATCH(B379,INV_ID,0)),""))</f>
        <v/>
      </c>
      <c r="E379" s="50"/>
      <c r="F379" s="59" t="str">
        <f aca="false">IF(E379="","",IFERROR(INDEX(QB_Q,MATCH(E379,QB_ID,0)),"CHECK: Question ID not found"))</f>
        <v/>
      </c>
      <c r="G379" s="59" t="str">
        <f aca="false">IF(E379="","",IFERROR(INDEX(QB_DOMAIN,MATCH(E379,QB_ID,0)),""))</f>
        <v/>
      </c>
      <c r="H379" s="54" t="str">
        <f aca="false">IF(OR(A379="",E379=""),"",IFERROR(IF(ISNUMBER(MATCH(D379,{"Low","Medium","High"},0)),IF(MATCH(D379,{"Low","Medium","High"},0)&gt;=MATCH(INDEX(QB_MINTIER,MATCH(E379,QB_ID,0)),{"Low","Medium","High"},0),"Recommended for tier","Optional for tier"),"Tier not determined"),"Check question"))</f>
        <v/>
      </c>
      <c r="I379" s="34"/>
      <c r="J379" s="50"/>
      <c r="K379" s="34"/>
      <c r="L379" s="34"/>
      <c r="M379" s="62" t="str">
        <f aca="false">IF(L379="","",SUMPRODUCT(ISNUMBER(SEARCH(","&amp;EV_ID&amp;",",","&amp;SUBSTITUTE(L379," ","")&amp;","))*(EV_ID&lt;&gt;"")))</f>
        <v/>
      </c>
      <c r="N379" s="54" t="str">
        <f aca="false">IF(A379="","",IF(I379&lt;&gt;"Applicable",IF(I379="","Applicability not set","Not in scope ("&amp;I379&amp;")"),IF(OR(J379="",J379="Not answered"),"Awaiting supplier response",IF(J379="Not applicable","Supplier states not applicable - analyst to confirm",IF(L379="","Evidence insufficient - none referenced",IF(M379=0,"Evidence insufficient - referenced ID not found",IF(SUMPRODUCT(ISNUMBER(SEARCH(","&amp;EV_ID&amp;",",","&amp;SUBSTITUTE(L379," ","")&amp;","))*(EV_ID&lt;&gt;"")*(EV_SUFF="Sufficient"))&gt;0,"Evidence reviewed - sufficient",IF(SUMPRODUCT(ISNUMBER(SEARCH(","&amp;EV_ID&amp;",",","&amp;SUBSTITUTE(L379," ","")&amp;","))*(EV_ID&lt;&gt;"")*(EV_SUFF="Partially sufficient"))&gt;0,"Evidence partially sufficient","Evidence insufficient - referenced evidence not sufficient"))))))))</f>
        <v/>
      </c>
      <c r="O379" s="50"/>
      <c r="P379" s="34"/>
      <c r="Q379" s="34"/>
      <c r="R379" s="50"/>
      <c r="S379" s="51"/>
      <c r="T379" s="51"/>
      <c r="U379" s="52" t="str">
        <f aca="false">IF(OR(A379="",Q379=""),"",IF(AND(ISNUMBER(S379),S379&lt;AsOf,O379&lt;&gt;"Reviewed"),"Overdue",""))</f>
        <v/>
      </c>
      <c r="V379" s="54" t="str">
        <f aca="false">IF(A379="","",IF(COUNTIF(QA_ID,A379)&gt;1,"CHECK: duplicate ID",IF(B379="","CHECK: Supplier ID missing",IF(COUNTIF(INV_ID,B379)=0,"CHECK: Supplier ID not in inventory",IF(E379="","CHECK: Question ID missing",IF(COUNTIF(QB_ID,E379)=0,"CHECK: Question ID not in bank","OK"))))))</f>
        <v/>
      </c>
    </row>
    <row r="380" customFormat="false" ht="15" hidden="false" customHeight="false" outlineLevel="0" collapsed="false">
      <c r="A380" s="50"/>
      <c r="B380" s="50"/>
      <c r="C380" s="59" t="str">
        <f aca="false">IF(B380="","",IFERROR(INDEX(INV_NAME,MATCH(B380,INV_ID,0)),"CHECK: Supplier ID not found"))</f>
        <v/>
      </c>
      <c r="D380" s="63" t="str">
        <f aca="false">IF(B380="","",IFERROR(INDEX(INV_TIER,MATCH(B380,INV_ID,0)),""))</f>
        <v/>
      </c>
      <c r="E380" s="50"/>
      <c r="F380" s="59" t="str">
        <f aca="false">IF(E380="","",IFERROR(INDEX(QB_Q,MATCH(E380,QB_ID,0)),"CHECK: Question ID not found"))</f>
        <v/>
      </c>
      <c r="G380" s="59" t="str">
        <f aca="false">IF(E380="","",IFERROR(INDEX(QB_DOMAIN,MATCH(E380,QB_ID,0)),""))</f>
        <v/>
      </c>
      <c r="H380" s="54" t="str">
        <f aca="false">IF(OR(A380="",E380=""),"",IFERROR(IF(ISNUMBER(MATCH(D380,{"Low","Medium","High"},0)),IF(MATCH(D380,{"Low","Medium","High"},0)&gt;=MATCH(INDEX(QB_MINTIER,MATCH(E380,QB_ID,0)),{"Low","Medium","High"},0),"Recommended for tier","Optional for tier"),"Tier not determined"),"Check question"))</f>
        <v/>
      </c>
      <c r="I380" s="34"/>
      <c r="J380" s="50"/>
      <c r="K380" s="34"/>
      <c r="L380" s="34"/>
      <c r="M380" s="62" t="str">
        <f aca="false">IF(L380="","",SUMPRODUCT(ISNUMBER(SEARCH(","&amp;EV_ID&amp;",",","&amp;SUBSTITUTE(L380," ","")&amp;","))*(EV_ID&lt;&gt;"")))</f>
        <v/>
      </c>
      <c r="N380" s="54" t="str">
        <f aca="false">IF(A380="","",IF(I380&lt;&gt;"Applicable",IF(I380="","Applicability not set","Not in scope ("&amp;I380&amp;")"),IF(OR(J380="",J380="Not answered"),"Awaiting supplier response",IF(J380="Not applicable","Supplier states not applicable - analyst to confirm",IF(L380="","Evidence insufficient - none referenced",IF(M380=0,"Evidence insufficient - referenced ID not found",IF(SUMPRODUCT(ISNUMBER(SEARCH(","&amp;EV_ID&amp;",",","&amp;SUBSTITUTE(L380," ","")&amp;","))*(EV_ID&lt;&gt;"")*(EV_SUFF="Sufficient"))&gt;0,"Evidence reviewed - sufficient",IF(SUMPRODUCT(ISNUMBER(SEARCH(","&amp;EV_ID&amp;",",","&amp;SUBSTITUTE(L380," ","")&amp;","))*(EV_ID&lt;&gt;"")*(EV_SUFF="Partially sufficient"))&gt;0,"Evidence partially sufficient","Evidence insufficient - referenced evidence not sufficient"))))))))</f>
        <v/>
      </c>
      <c r="O380" s="50"/>
      <c r="P380" s="34"/>
      <c r="Q380" s="34"/>
      <c r="R380" s="50"/>
      <c r="S380" s="51"/>
      <c r="T380" s="51"/>
      <c r="U380" s="52" t="str">
        <f aca="false">IF(OR(A380="",Q380=""),"",IF(AND(ISNUMBER(S380),S380&lt;AsOf,O380&lt;&gt;"Reviewed"),"Overdue",""))</f>
        <v/>
      </c>
      <c r="V380" s="54" t="str">
        <f aca="false">IF(A380="","",IF(COUNTIF(QA_ID,A380)&gt;1,"CHECK: duplicate ID",IF(B380="","CHECK: Supplier ID missing",IF(COUNTIF(INV_ID,B380)=0,"CHECK: Supplier ID not in inventory",IF(E380="","CHECK: Question ID missing",IF(COUNTIF(QB_ID,E380)=0,"CHECK: Question ID not in bank","OK"))))))</f>
        <v/>
      </c>
    </row>
    <row r="381" customFormat="false" ht="15" hidden="false" customHeight="false" outlineLevel="0" collapsed="false">
      <c r="A381" s="50"/>
      <c r="B381" s="50"/>
      <c r="C381" s="59" t="str">
        <f aca="false">IF(B381="","",IFERROR(INDEX(INV_NAME,MATCH(B381,INV_ID,0)),"CHECK: Supplier ID not found"))</f>
        <v/>
      </c>
      <c r="D381" s="63" t="str">
        <f aca="false">IF(B381="","",IFERROR(INDEX(INV_TIER,MATCH(B381,INV_ID,0)),""))</f>
        <v/>
      </c>
      <c r="E381" s="50"/>
      <c r="F381" s="59" t="str">
        <f aca="false">IF(E381="","",IFERROR(INDEX(QB_Q,MATCH(E381,QB_ID,0)),"CHECK: Question ID not found"))</f>
        <v/>
      </c>
      <c r="G381" s="59" t="str">
        <f aca="false">IF(E381="","",IFERROR(INDEX(QB_DOMAIN,MATCH(E381,QB_ID,0)),""))</f>
        <v/>
      </c>
      <c r="H381" s="54" t="str">
        <f aca="false">IF(OR(A381="",E381=""),"",IFERROR(IF(ISNUMBER(MATCH(D381,{"Low","Medium","High"},0)),IF(MATCH(D381,{"Low","Medium","High"},0)&gt;=MATCH(INDEX(QB_MINTIER,MATCH(E381,QB_ID,0)),{"Low","Medium","High"},0),"Recommended for tier","Optional for tier"),"Tier not determined"),"Check question"))</f>
        <v/>
      </c>
      <c r="I381" s="34"/>
      <c r="J381" s="50"/>
      <c r="K381" s="34"/>
      <c r="L381" s="34"/>
      <c r="M381" s="62" t="str">
        <f aca="false">IF(L381="","",SUMPRODUCT(ISNUMBER(SEARCH(","&amp;EV_ID&amp;",",","&amp;SUBSTITUTE(L381," ","")&amp;","))*(EV_ID&lt;&gt;"")))</f>
        <v/>
      </c>
      <c r="N381" s="54" t="str">
        <f aca="false">IF(A381="","",IF(I381&lt;&gt;"Applicable",IF(I381="","Applicability not set","Not in scope ("&amp;I381&amp;")"),IF(OR(J381="",J381="Not answered"),"Awaiting supplier response",IF(J381="Not applicable","Supplier states not applicable - analyst to confirm",IF(L381="","Evidence insufficient - none referenced",IF(M381=0,"Evidence insufficient - referenced ID not found",IF(SUMPRODUCT(ISNUMBER(SEARCH(","&amp;EV_ID&amp;",",","&amp;SUBSTITUTE(L381," ","")&amp;","))*(EV_ID&lt;&gt;"")*(EV_SUFF="Sufficient"))&gt;0,"Evidence reviewed - sufficient",IF(SUMPRODUCT(ISNUMBER(SEARCH(","&amp;EV_ID&amp;",",","&amp;SUBSTITUTE(L381," ","")&amp;","))*(EV_ID&lt;&gt;"")*(EV_SUFF="Partially sufficient"))&gt;0,"Evidence partially sufficient","Evidence insufficient - referenced evidence not sufficient"))))))))</f>
        <v/>
      </c>
      <c r="O381" s="50"/>
      <c r="P381" s="34"/>
      <c r="Q381" s="34"/>
      <c r="R381" s="50"/>
      <c r="S381" s="51"/>
      <c r="T381" s="51"/>
      <c r="U381" s="52" t="str">
        <f aca="false">IF(OR(A381="",Q381=""),"",IF(AND(ISNUMBER(S381),S381&lt;AsOf,O381&lt;&gt;"Reviewed"),"Overdue",""))</f>
        <v/>
      </c>
      <c r="V381" s="54" t="str">
        <f aca="false">IF(A381="","",IF(COUNTIF(QA_ID,A381)&gt;1,"CHECK: duplicate ID",IF(B381="","CHECK: Supplier ID missing",IF(COUNTIF(INV_ID,B381)=0,"CHECK: Supplier ID not in inventory",IF(E381="","CHECK: Question ID missing",IF(COUNTIF(QB_ID,E381)=0,"CHECK: Question ID not in bank","OK"))))))</f>
        <v/>
      </c>
    </row>
    <row r="382" customFormat="false" ht="15" hidden="false" customHeight="false" outlineLevel="0" collapsed="false">
      <c r="A382" s="50"/>
      <c r="B382" s="50"/>
      <c r="C382" s="59" t="str">
        <f aca="false">IF(B382="","",IFERROR(INDEX(INV_NAME,MATCH(B382,INV_ID,0)),"CHECK: Supplier ID not found"))</f>
        <v/>
      </c>
      <c r="D382" s="63" t="str">
        <f aca="false">IF(B382="","",IFERROR(INDEX(INV_TIER,MATCH(B382,INV_ID,0)),""))</f>
        <v/>
      </c>
      <c r="E382" s="50"/>
      <c r="F382" s="59" t="str">
        <f aca="false">IF(E382="","",IFERROR(INDEX(QB_Q,MATCH(E382,QB_ID,0)),"CHECK: Question ID not found"))</f>
        <v/>
      </c>
      <c r="G382" s="59" t="str">
        <f aca="false">IF(E382="","",IFERROR(INDEX(QB_DOMAIN,MATCH(E382,QB_ID,0)),""))</f>
        <v/>
      </c>
      <c r="H382" s="54" t="str">
        <f aca="false">IF(OR(A382="",E382=""),"",IFERROR(IF(ISNUMBER(MATCH(D382,{"Low","Medium","High"},0)),IF(MATCH(D382,{"Low","Medium","High"},0)&gt;=MATCH(INDEX(QB_MINTIER,MATCH(E382,QB_ID,0)),{"Low","Medium","High"},0),"Recommended for tier","Optional for tier"),"Tier not determined"),"Check question"))</f>
        <v/>
      </c>
      <c r="I382" s="34"/>
      <c r="J382" s="50"/>
      <c r="K382" s="34"/>
      <c r="L382" s="34"/>
      <c r="M382" s="62" t="str">
        <f aca="false">IF(L382="","",SUMPRODUCT(ISNUMBER(SEARCH(","&amp;EV_ID&amp;",",","&amp;SUBSTITUTE(L382," ","")&amp;","))*(EV_ID&lt;&gt;"")))</f>
        <v/>
      </c>
      <c r="N382" s="54" t="str">
        <f aca="false">IF(A382="","",IF(I382&lt;&gt;"Applicable",IF(I382="","Applicability not set","Not in scope ("&amp;I382&amp;")"),IF(OR(J382="",J382="Not answered"),"Awaiting supplier response",IF(J382="Not applicable","Supplier states not applicable - analyst to confirm",IF(L382="","Evidence insufficient - none referenced",IF(M382=0,"Evidence insufficient - referenced ID not found",IF(SUMPRODUCT(ISNUMBER(SEARCH(","&amp;EV_ID&amp;",",","&amp;SUBSTITUTE(L382," ","")&amp;","))*(EV_ID&lt;&gt;"")*(EV_SUFF="Sufficient"))&gt;0,"Evidence reviewed - sufficient",IF(SUMPRODUCT(ISNUMBER(SEARCH(","&amp;EV_ID&amp;",",","&amp;SUBSTITUTE(L382," ","")&amp;","))*(EV_ID&lt;&gt;"")*(EV_SUFF="Partially sufficient"))&gt;0,"Evidence partially sufficient","Evidence insufficient - referenced evidence not sufficient"))))))))</f>
        <v/>
      </c>
      <c r="O382" s="50"/>
      <c r="P382" s="34"/>
      <c r="Q382" s="34"/>
      <c r="R382" s="50"/>
      <c r="S382" s="51"/>
      <c r="T382" s="51"/>
      <c r="U382" s="52" t="str">
        <f aca="false">IF(OR(A382="",Q382=""),"",IF(AND(ISNUMBER(S382),S382&lt;AsOf,O382&lt;&gt;"Reviewed"),"Overdue",""))</f>
        <v/>
      </c>
      <c r="V382" s="54" t="str">
        <f aca="false">IF(A382="","",IF(COUNTIF(QA_ID,A382)&gt;1,"CHECK: duplicate ID",IF(B382="","CHECK: Supplier ID missing",IF(COUNTIF(INV_ID,B382)=0,"CHECK: Supplier ID not in inventory",IF(E382="","CHECK: Question ID missing",IF(COUNTIF(QB_ID,E382)=0,"CHECK: Question ID not in bank","OK"))))))</f>
        <v/>
      </c>
    </row>
    <row r="383" customFormat="false" ht="15" hidden="false" customHeight="false" outlineLevel="0" collapsed="false">
      <c r="A383" s="50"/>
      <c r="B383" s="50"/>
      <c r="C383" s="59" t="str">
        <f aca="false">IF(B383="","",IFERROR(INDEX(INV_NAME,MATCH(B383,INV_ID,0)),"CHECK: Supplier ID not found"))</f>
        <v/>
      </c>
      <c r="D383" s="63" t="str">
        <f aca="false">IF(B383="","",IFERROR(INDEX(INV_TIER,MATCH(B383,INV_ID,0)),""))</f>
        <v/>
      </c>
      <c r="E383" s="50"/>
      <c r="F383" s="59" t="str">
        <f aca="false">IF(E383="","",IFERROR(INDEX(QB_Q,MATCH(E383,QB_ID,0)),"CHECK: Question ID not found"))</f>
        <v/>
      </c>
      <c r="G383" s="59" t="str">
        <f aca="false">IF(E383="","",IFERROR(INDEX(QB_DOMAIN,MATCH(E383,QB_ID,0)),""))</f>
        <v/>
      </c>
      <c r="H383" s="54" t="str">
        <f aca="false">IF(OR(A383="",E383=""),"",IFERROR(IF(ISNUMBER(MATCH(D383,{"Low","Medium","High"},0)),IF(MATCH(D383,{"Low","Medium","High"},0)&gt;=MATCH(INDEX(QB_MINTIER,MATCH(E383,QB_ID,0)),{"Low","Medium","High"},0),"Recommended for tier","Optional for tier"),"Tier not determined"),"Check question"))</f>
        <v/>
      </c>
      <c r="I383" s="34"/>
      <c r="J383" s="50"/>
      <c r="K383" s="34"/>
      <c r="L383" s="34"/>
      <c r="M383" s="62" t="str">
        <f aca="false">IF(L383="","",SUMPRODUCT(ISNUMBER(SEARCH(","&amp;EV_ID&amp;",",","&amp;SUBSTITUTE(L383," ","")&amp;","))*(EV_ID&lt;&gt;"")))</f>
        <v/>
      </c>
      <c r="N383" s="54" t="str">
        <f aca="false">IF(A383="","",IF(I383&lt;&gt;"Applicable",IF(I383="","Applicability not set","Not in scope ("&amp;I383&amp;")"),IF(OR(J383="",J383="Not answered"),"Awaiting supplier response",IF(J383="Not applicable","Supplier states not applicable - analyst to confirm",IF(L383="","Evidence insufficient - none referenced",IF(M383=0,"Evidence insufficient - referenced ID not found",IF(SUMPRODUCT(ISNUMBER(SEARCH(","&amp;EV_ID&amp;",",","&amp;SUBSTITUTE(L383," ","")&amp;","))*(EV_ID&lt;&gt;"")*(EV_SUFF="Sufficient"))&gt;0,"Evidence reviewed - sufficient",IF(SUMPRODUCT(ISNUMBER(SEARCH(","&amp;EV_ID&amp;",",","&amp;SUBSTITUTE(L383," ","")&amp;","))*(EV_ID&lt;&gt;"")*(EV_SUFF="Partially sufficient"))&gt;0,"Evidence partially sufficient","Evidence insufficient - referenced evidence not sufficient"))))))))</f>
        <v/>
      </c>
      <c r="O383" s="50"/>
      <c r="P383" s="34"/>
      <c r="Q383" s="34"/>
      <c r="R383" s="50"/>
      <c r="S383" s="51"/>
      <c r="T383" s="51"/>
      <c r="U383" s="52" t="str">
        <f aca="false">IF(OR(A383="",Q383=""),"",IF(AND(ISNUMBER(S383),S383&lt;AsOf,O383&lt;&gt;"Reviewed"),"Overdue",""))</f>
        <v/>
      </c>
      <c r="V383" s="54" t="str">
        <f aca="false">IF(A383="","",IF(COUNTIF(QA_ID,A383)&gt;1,"CHECK: duplicate ID",IF(B383="","CHECK: Supplier ID missing",IF(COUNTIF(INV_ID,B383)=0,"CHECK: Supplier ID not in inventory",IF(E383="","CHECK: Question ID missing",IF(COUNTIF(QB_ID,E383)=0,"CHECK: Question ID not in bank","OK"))))))</f>
        <v/>
      </c>
    </row>
    <row r="384" customFormat="false" ht="15" hidden="false" customHeight="false" outlineLevel="0" collapsed="false">
      <c r="A384" s="50"/>
      <c r="B384" s="50"/>
      <c r="C384" s="59" t="str">
        <f aca="false">IF(B384="","",IFERROR(INDEX(INV_NAME,MATCH(B384,INV_ID,0)),"CHECK: Supplier ID not found"))</f>
        <v/>
      </c>
      <c r="D384" s="63" t="str">
        <f aca="false">IF(B384="","",IFERROR(INDEX(INV_TIER,MATCH(B384,INV_ID,0)),""))</f>
        <v/>
      </c>
      <c r="E384" s="50"/>
      <c r="F384" s="59" t="str">
        <f aca="false">IF(E384="","",IFERROR(INDEX(QB_Q,MATCH(E384,QB_ID,0)),"CHECK: Question ID not found"))</f>
        <v/>
      </c>
      <c r="G384" s="59" t="str">
        <f aca="false">IF(E384="","",IFERROR(INDEX(QB_DOMAIN,MATCH(E384,QB_ID,0)),""))</f>
        <v/>
      </c>
      <c r="H384" s="54" t="str">
        <f aca="false">IF(OR(A384="",E384=""),"",IFERROR(IF(ISNUMBER(MATCH(D384,{"Low","Medium","High"},0)),IF(MATCH(D384,{"Low","Medium","High"},0)&gt;=MATCH(INDEX(QB_MINTIER,MATCH(E384,QB_ID,0)),{"Low","Medium","High"},0),"Recommended for tier","Optional for tier"),"Tier not determined"),"Check question"))</f>
        <v/>
      </c>
      <c r="I384" s="34"/>
      <c r="J384" s="50"/>
      <c r="K384" s="34"/>
      <c r="L384" s="34"/>
      <c r="M384" s="62" t="str">
        <f aca="false">IF(L384="","",SUMPRODUCT(ISNUMBER(SEARCH(","&amp;EV_ID&amp;",",","&amp;SUBSTITUTE(L384," ","")&amp;","))*(EV_ID&lt;&gt;"")))</f>
        <v/>
      </c>
      <c r="N384" s="54" t="str">
        <f aca="false">IF(A384="","",IF(I384&lt;&gt;"Applicable",IF(I384="","Applicability not set","Not in scope ("&amp;I384&amp;")"),IF(OR(J384="",J384="Not answered"),"Awaiting supplier response",IF(J384="Not applicable","Supplier states not applicable - analyst to confirm",IF(L384="","Evidence insufficient - none referenced",IF(M384=0,"Evidence insufficient - referenced ID not found",IF(SUMPRODUCT(ISNUMBER(SEARCH(","&amp;EV_ID&amp;",",","&amp;SUBSTITUTE(L384," ","")&amp;","))*(EV_ID&lt;&gt;"")*(EV_SUFF="Sufficient"))&gt;0,"Evidence reviewed - sufficient",IF(SUMPRODUCT(ISNUMBER(SEARCH(","&amp;EV_ID&amp;",",","&amp;SUBSTITUTE(L384," ","")&amp;","))*(EV_ID&lt;&gt;"")*(EV_SUFF="Partially sufficient"))&gt;0,"Evidence partially sufficient","Evidence insufficient - referenced evidence not sufficient"))))))))</f>
        <v/>
      </c>
      <c r="O384" s="50"/>
      <c r="P384" s="34"/>
      <c r="Q384" s="34"/>
      <c r="R384" s="50"/>
      <c r="S384" s="51"/>
      <c r="T384" s="51"/>
      <c r="U384" s="52" t="str">
        <f aca="false">IF(OR(A384="",Q384=""),"",IF(AND(ISNUMBER(S384),S384&lt;AsOf,O384&lt;&gt;"Reviewed"),"Overdue",""))</f>
        <v/>
      </c>
      <c r="V384" s="54" t="str">
        <f aca="false">IF(A384="","",IF(COUNTIF(QA_ID,A384)&gt;1,"CHECK: duplicate ID",IF(B384="","CHECK: Supplier ID missing",IF(COUNTIF(INV_ID,B384)=0,"CHECK: Supplier ID not in inventory",IF(E384="","CHECK: Question ID missing",IF(COUNTIF(QB_ID,E384)=0,"CHECK: Question ID not in bank","OK"))))))</f>
        <v/>
      </c>
    </row>
    <row r="385" customFormat="false" ht="15" hidden="false" customHeight="false" outlineLevel="0" collapsed="false">
      <c r="A385" s="50"/>
      <c r="B385" s="50"/>
      <c r="C385" s="59" t="str">
        <f aca="false">IF(B385="","",IFERROR(INDEX(INV_NAME,MATCH(B385,INV_ID,0)),"CHECK: Supplier ID not found"))</f>
        <v/>
      </c>
      <c r="D385" s="63" t="str">
        <f aca="false">IF(B385="","",IFERROR(INDEX(INV_TIER,MATCH(B385,INV_ID,0)),""))</f>
        <v/>
      </c>
      <c r="E385" s="50"/>
      <c r="F385" s="59" t="str">
        <f aca="false">IF(E385="","",IFERROR(INDEX(QB_Q,MATCH(E385,QB_ID,0)),"CHECK: Question ID not found"))</f>
        <v/>
      </c>
      <c r="G385" s="59" t="str">
        <f aca="false">IF(E385="","",IFERROR(INDEX(QB_DOMAIN,MATCH(E385,QB_ID,0)),""))</f>
        <v/>
      </c>
      <c r="H385" s="54" t="str">
        <f aca="false">IF(OR(A385="",E385=""),"",IFERROR(IF(ISNUMBER(MATCH(D385,{"Low","Medium","High"},0)),IF(MATCH(D385,{"Low","Medium","High"},0)&gt;=MATCH(INDEX(QB_MINTIER,MATCH(E385,QB_ID,0)),{"Low","Medium","High"},0),"Recommended for tier","Optional for tier"),"Tier not determined"),"Check question"))</f>
        <v/>
      </c>
      <c r="I385" s="34"/>
      <c r="J385" s="50"/>
      <c r="K385" s="34"/>
      <c r="L385" s="34"/>
      <c r="M385" s="62" t="str">
        <f aca="false">IF(L385="","",SUMPRODUCT(ISNUMBER(SEARCH(","&amp;EV_ID&amp;",",","&amp;SUBSTITUTE(L385," ","")&amp;","))*(EV_ID&lt;&gt;"")))</f>
        <v/>
      </c>
      <c r="N385" s="54" t="str">
        <f aca="false">IF(A385="","",IF(I385&lt;&gt;"Applicable",IF(I385="","Applicability not set","Not in scope ("&amp;I385&amp;")"),IF(OR(J385="",J385="Not answered"),"Awaiting supplier response",IF(J385="Not applicable","Supplier states not applicable - analyst to confirm",IF(L385="","Evidence insufficient - none referenced",IF(M385=0,"Evidence insufficient - referenced ID not found",IF(SUMPRODUCT(ISNUMBER(SEARCH(","&amp;EV_ID&amp;",",","&amp;SUBSTITUTE(L385," ","")&amp;","))*(EV_ID&lt;&gt;"")*(EV_SUFF="Sufficient"))&gt;0,"Evidence reviewed - sufficient",IF(SUMPRODUCT(ISNUMBER(SEARCH(","&amp;EV_ID&amp;",",","&amp;SUBSTITUTE(L385," ","")&amp;","))*(EV_ID&lt;&gt;"")*(EV_SUFF="Partially sufficient"))&gt;0,"Evidence partially sufficient","Evidence insufficient - referenced evidence not sufficient"))))))))</f>
        <v/>
      </c>
      <c r="O385" s="50"/>
      <c r="P385" s="34"/>
      <c r="Q385" s="34"/>
      <c r="R385" s="50"/>
      <c r="S385" s="51"/>
      <c r="T385" s="51"/>
      <c r="U385" s="52" t="str">
        <f aca="false">IF(OR(A385="",Q385=""),"",IF(AND(ISNUMBER(S385),S385&lt;AsOf,O385&lt;&gt;"Reviewed"),"Overdue",""))</f>
        <v/>
      </c>
      <c r="V385" s="54" t="str">
        <f aca="false">IF(A385="","",IF(COUNTIF(QA_ID,A385)&gt;1,"CHECK: duplicate ID",IF(B385="","CHECK: Supplier ID missing",IF(COUNTIF(INV_ID,B385)=0,"CHECK: Supplier ID not in inventory",IF(E385="","CHECK: Question ID missing",IF(COUNTIF(QB_ID,E385)=0,"CHECK: Question ID not in bank","OK"))))))</f>
        <v/>
      </c>
    </row>
    <row r="386" customFormat="false" ht="15" hidden="false" customHeight="false" outlineLevel="0" collapsed="false">
      <c r="A386" s="50"/>
      <c r="B386" s="50"/>
      <c r="C386" s="59" t="str">
        <f aca="false">IF(B386="","",IFERROR(INDEX(INV_NAME,MATCH(B386,INV_ID,0)),"CHECK: Supplier ID not found"))</f>
        <v/>
      </c>
      <c r="D386" s="63" t="str">
        <f aca="false">IF(B386="","",IFERROR(INDEX(INV_TIER,MATCH(B386,INV_ID,0)),""))</f>
        <v/>
      </c>
      <c r="E386" s="50"/>
      <c r="F386" s="59" t="str">
        <f aca="false">IF(E386="","",IFERROR(INDEX(QB_Q,MATCH(E386,QB_ID,0)),"CHECK: Question ID not found"))</f>
        <v/>
      </c>
      <c r="G386" s="59" t="str">
        <f aca="false">IF(E386="","",IFERROR(INDEX(QB_DOMAIN,MATCH(E386,QB_ID,0)),""))</f>
        <v/>
      </c>
      <c r="H386" s="54" t="str">
        <f aca="false">IF(OR(A386="",E386=""),"",IFERROR(IF(ISNUMBER(MATCH(D386,{"Low","Medium","High"},0)),IF(MATCH(D386,{"Low","Medium","High"},0)&gt;=MATCH(INDEX(QB_MINTIER,MATCH(E386,QB_ID,0)),{"Low","Medium","High"},0),"Recommended for tier","Optional for tier"),"Tier not determined"),"Check question"))</f>
        <v/>
      </c>
      <c r="I386" s="34"/>
      <c r="J386" s="50"/>
      <c r="K386" s="34"/>
      <c r="L386" s="34"/>
      <c r="M386" s="62" t="str">
        <f aca="false">IF(L386="","",SUMPRODUCT(ISNUMBER(SEARCH(","&amp;EV_ID&amp;",",","&amp;SUBSTITUTE(L386," ","")&amp;","))*(EV_ID&lt;&gt;"")))</f>
        <v/>
      </c>
      <c r="N386" s="54" t="str">
        <f aca="false">IF(A386="","",IF(I386&lt;&gt;"Applicable",IF(I386="","Applicability not set","Not in scope ("&amp;I386&amp;")"),IF(OR(J386="",J386="Not answered"),"Awaiting supplier response",IF(J386="Not applicable","Supplier states not applicable - analyst to confirm",IF(L386="","Evidence insufficient - none referenced",IF(M386=0,"Evidence insufficient - referenced ID not found",IF(SUMPRODUCT(ISNUMBER(SEARCH(","&amp;EV_ID&amp;",",","&amp;SUBSTITUTE(L386," ","")&amp;","))*(EV_ID&lt;&gt;"")*(EV_SUFF="Sufficient"))&gt;0,"Evidence reviewed - sufficient",IF(SUMPRODUCT(ISNUMBER(SEARCH(","&amp;EV_ID&amp;",",","&amp;SUBSTITUTE(L386," ","")&amp;","))*(EV_ID&lt;&gt;"")*(EV_SUFF="Partially sufficient"))&gt;0,"Evidence partially sufficient","Evidence insufficient - referenced evidence not sufficient"))))))))</f>
        <v/>
      </c>
      <c r="O386" s="50"/>
      <c r="P386" s="34"/>
      <c r="Q386" s="34"/>
      <c r="R386" s="50"/>
      <c r="S386" s="51"/>
      <c r="T386" s="51"/>
      <c r="U386" s="52" t="str">
        <f aca="false">IF(OR(A386="",Q386=""),"",IF(AND(ISNUMBER(S386),S386&lt;AsOf,O386&lt;&gt;"Reviewed"),"Overdue",""))</f>
        <v/>
      </c>
      <c r="V386" s="54" t="str">
        <f aca="false">IF(A386="","",IF(COUNTIF(QA_ID,A386)&gt;1,"CHECK: duplicate ID",IF(B386="","CHECK: Supplier ID missing",IF(COUNTIF(INV_ID,B386)=0,"CHECK: Supplier ID not in inventory",IF(E386="","CHECK: Question ID missing",IF(COUNTIF(QB_ID,E386)=0,"CHECK: Question ID not in bank","OK"))))))</f>
        <v/>
      </c>
    </row>
    <row r="387" customFormat="false" ht="15" hidden="false" customHeight="false" outlineLevel="0" collapsed="false">
      <c r="A387" s="50"/>
      <c r="B387" s="50"/>
      <c r="C387" s="59" t="str">
        <f aca="false">IF(B387="","",IFERROR(INDEX(INV_NAME,MATCH(B387,INV_ID,0)),"CHECK: Supplier ID not found"))</f>
        <v/>
      </c>
      <c r="D387" s="63" t="str">
        <f aca="false">IF(B387="","",IFERROR(INDEX(INV_TIER,MATCH(B387,INV_ID,0)),""))</f>
        <v/>
      </c>
      <c r="E387" s="50"/>
      <c r="F387" s="59" t="str">
        <f aca="false">IF(E387="","",IFERROR(INDEX(QB_Q,MATCH(E387,QB_ID,0)),"CHECK: Question ID not found"))</f>
        <v/>
      </c>
      <c r="G387" s="59" t="str">
        <f aca="false">IF(E387="","",IFERROR(INDEX(QB_DOMAIN,MATCH(E387,QB_ID,0)),""))</f>
        <v/>
      </c>
      <c r="H387" s="54" t="str">
        <f aca="false">IF(OR(A387="",E387=""),"",IFERROR(IF(ISNUMBER(MATCH(D387,{"Low","Medium","High"},0)),IF(MATCH(D387,{"Low","Medium","High"},0)&gt;=MATCH(INDEX(QB_MINTIER,MATCH(E387,QB_ID,0)),{"Low","Medium","High"},0),"Recommended for tier","Optional for tier"),"Tier not determined"),"Check question"))</f>
        <v/>
      </c>
      <c r="I387" s="34"/>
      <c r="J387" s="50"/>
      <c r="K387" s="34"/>
      <c r="L387" s="34"/>
      <c r="M387" s="62" t="str">
        <f aca="false">IF(L387="","",SUMPRODUCT(ISNUMBER(SEARCH(","&amp;EV_ID&amp;",",","&amp;SUBSTITUTE(L387," ","")&amp;","))*(EV_ID&lt;&gt;"")))</f>
        <v/>
      </c>
      <c r="N387" s="54" t="str">
        <f aca="false">IF(A387="","",IF(I387&lt;&gt;"Applicable",IF(I387="","Applicability not set","Not in scope ("&amp;I387&amp;")"),IF(OR(J387="",J387="Not answered"),"Awaiting supplier response",IF(J387="Not applicable","Supplier states not applicable - analyst to confirm",IF(L387="","Evidence insufficient - none referenced",IF(M387=0,"Evidence insufficient - referenced ID not found",IF(SUMPRODUCT(ISNUMBER(SEARCH(","&amp;EV_ID&amp;",",","&amp;SUBSTITUTE(L387," ","")&amp;","))*(EV_ID&lt;&gt;"")*(EV_SUFF="Sufficient"))&gt;0,"Evidence reviewed - sufficient",IF(SUMPRODUCT(ISNUMBER(SEARCH(","&amp;EV_ID&amp;",",","&amp;SUBSTITUTE(L387," ","")&amp;","))*(EV_ID&lt;&gt;"")*(EV_SUFF="Partially sufficient"))&gt;0,"Evidence partially sufficient","Evidence insufficient - referenced evidence not sufficient"))))))))</f>
        <v/>
      </c>
      <c r="O387" s="50"/>
      <c r="P387" s="34"/>
      <c r="Q387" s="34"/>
      <c r="R387" s="50"/>
      <c r="S387" s="51"/>
      <c r="T387" s="51"/>
      <c r="U387" s="52" t="str">
        <f aca="false">IF(OR(A387="",Q387=""),"",IF(AND(ISNUMBER(S387),S387&lt;AsOf,O387&lt;&gt;"Reviewed"),"Overdue",""))</f>
        <v/>
      </c>
      <c r="V387" s="54" t="str">
        <f aca="false">IF(A387="","",IF(COUNTIF(QA_ID,A387)&gt;1,"CHECK: duplicate ID",IF(B387="","CHECK: Supplier ID missing",IF(COUNTIF(INV_ID,B387)=0,"CHECK: Supplier ID not in inventory",IF(E387="","CHECK: Question ID missing",IF(COUNTIF(QB_ID,E387)=0,"CHECK: Question ID not in bank","OK"))))))</f>
        <v/>
      </c>
    </row>
    <row r="388" customFormat="false" ht="15" hidden="false" customHeight="false" outlineLevel="0" collapsed="false">
      <c r="A388" s="50"/>
      <c r="B388" s="50"/>
      <c r="C388" s="59" t="str">
        <f aca="false">IF(B388="","",IFERROR(INDEX(INV_NAME,MATCH(B388,INV_ID,0)),"CHECK: Supplier ID not found"))</f>
        <v/>
      </c>
      <c r="D388" s="63" t="str">
        <f aca="false">IF(B388="","",IFERROR(INDEX(INV_TIER,MATCH(B388,INV_ID,0)),""))</f>
        <v/>
      </c>
      <c r="E388" s="50"/>
      <c r="F388" s="59" t="str">
        <f aca="false">IF(E388="","",IFERROR(INDEX(QB_Q,MATCH(E388,QB_ID,0)),"CHECK: Question ID not found"))</f>
        <v/>
      </c>
      <c r="G388" s="59" t="str">
        <f aca="false">IF(E388="","",IFERROR(INDEX(QB_DOMAIN,MATCH(E388,QB_ID,0)),""))</f>
        <v/>
      </c>
      <c r="H388" s="54" t="str">
        <f aca="false">IF(OR(A388="",E388=""),"",IFERROR(IF(ISNUMBER(MATCH(D388,{"Low","Medium","High"},0)),IF(MATCH(D388,{"Low","Medium","High"},0)&gt;=MATCH(INDEX(QB_MINTIER,MATCH(E388,QB_ID,0)),{"Low","Medium","High"},0),"Recommended for tier","Optional for tier"),"Tier not determined"),"Check question"))</f>
        <v/>
      </c>
      <c r="I388" s="34"/>
      <c r="J388" s="50"/>
      <c r="K388" s="34"/>
      <c r="L388" s="34"/>
      <c r="M388" s="62" t="str">
        <f aca="false">IF(L388="","",SUMPRODUCT(ISNUMBER(SEARCH(","&amp;EV_ID&amp;",",","&amp;SUBSTITUTE(L388," ","")&amp;","))*(EV_ID&lt;&gt;"")))</f>
        <v/>
      </c>
      <c r="N388" s="54" t="str">
        <f aca="false">IF(A388="","",IF(I388&lt;&gt;"Applicable",IF(I388="","Applicability not set","Not in scope ("&amp;I388&amp;")"),IF(OR(J388="",J388="Not answered"),"Awaiting supplier response",IF(J388="Not applicable","Supplier states not applicable - analyst to confirm",IF(L388="","Evidence insufficient - none referenced",IF(M388=0,"Evidence insufficient - referenced ID not found",IF(SUMPRODUCT(ISNUMBER(SEARCH(","&amp;EV_ID&amp;",",","&amp;SUBSTITUTE(L388," ","")&amp;","))*(EV_ID&lt;&gt;"")*(EV_SUFF="Sufficient"))&gt;0,"Evidence reviewed - sufficient",IF(SUMPRODUCT(ISNUMBER(SEARCH(","&amp;EV_ID&amp;",",","&amp;SUBSTITUTE(L388," ","")&amp;","))*(EV_ID&lt;&gt;"")*(EV_SUFF="Partially sufficient"))&gt;0,"Evidence partially sufficient","Evidence insufficient - referenced evidence not sufficient"))))))))</f>
        <v/>
      </c>
      <c r="O388" s="50"/>
      <c r="P388" s="34"/>
      <c r="Q388" s="34"/>
      <c r="R388" s="50"/>
      <c r="S388" s="51"/>
      <c r="T388" s="51"/>
      <c r="U388" s="52" t="str">
        <f aca="false">IF(OR(A388="",Q388=""),"",IF(AND(ISNUMBER(S388),S388&lt;AsOf,O388&lt;&gt;"Reviewed"),"Overdue",""))</f>
        <v/>
      </c>
      <c r="V388" s="54" t="str">
        <f aca="false">IF(A388="","",IF(COUNTIF(QA_ID,A388)&gt;1,"CHECK: duplicate ID",IF(B388="","CHECK: Supplier ID missing",IF(COUNTIF(INV_ID,B388)=0,"CHECK: Supplier ID not in inventory",IF(E388="","CHECK: Question ID missing",IF(COUNTIF(QB_ID,E388)=0,"CHECK: Question ID not in bank","OK"))))))</f>
        <v/>
      </c>
    </row>
    <row r="389" customFormat="false" ht="15" hidden="false" customHeight="false" outlineLevel="0" collapsed="false">
      <c r="A389" s="50"/>
      <c r="B389" s="50"/>
      <c r="C389" s="59" t="str">
        <f aca="false">IF(B389="","",IFERROR(INDEX(INV_NAME,MATCH(B389,INV_ID,0)),"CHECK: Supplier ID not found"))</f>
        <v/>
      </c>
      <c r="D389" s="63" t="str">
        <f aca="false">IF(B389="","",IFERROR(INDEX(INV_TIER,MATCH(B389,INV_ID,0)),""))</f>
        <v/>
      </c>
      <c r="E389" s="50"/>
      <c r="F389" s="59" t="str">
        <f aca="false">IF(E389="","",IFERROR(INDEX(QB_Q,MATCH(E389,QB_ID,0)),"CHECK: Question ID not found"))</f>
        <v/>
      </c>
      <c r="G389" s="59" t="str">
        <f aca="false">IF(E389="","",IFERROR(INDEX(QB_DOMAIN,MATCH(E389,QB_ID,0)),""))</f>
        <v/>
      </c>
      <c r="H389" s="54" t="str">
        <f aca="false">IF(OR(A389="",E389=""),"",IFERROR(IF(ISNUMBER(MATCH(D389,{"Low","Medium","High"},0)),IF(MATCH(D389,{"Low","Medium","High"},0)&gt;=MATCH(INDEX(QB_MINTIER,MATCH(E389,QB_ID,0)),{"Low","Medium","High"},0),"Recommended for tier","Optional for tier"),"Tier not determined"),"Check question"))</f>
        <v/>
      </c>
      <c r="I389" s="34"/>
      <c r="J389" s="50"/>
      <c r="K389" s="34"/>
      <c r="L389" s="34"/>
      <c r="M389" s="62" t="str">
        <f aca="false">IF(L389="","",SUMPRODUCT(ISNUMBER(SEARCH(","&amp;EV_ID&amp;",",","&amp;SUBSTITUTE(L389," ","")&amp;","))*(EV_ID&lt;&gt;"")))</f>
        <v/>
      </c>
      <c r="N389" s="54" t="str">
        <f aca="false">IF(A389="","",IF(I389&lt;&gt;"Applicable",IF(I389="","Applicability not set","Not in scope ("&amp;I389&amp;")"),IF(OR(J389="",J389="Not answered"),"Awaiting supplier response",IF(J389="Not applicable","Supplier states not applicable - analyst to confirm",IF(L389="","Evidence insufficient - none referenced",IF(M389=0,"Evidence insufficient - referenced ID not found",IF(SUMPRODUCT(ISNUMBER(SEARCH(","&amp;EV_ID&amp;",",","&amp;SUBSTITUTE(L389," ","")&amp;","))*(EV_ID&lt;&gt;"")*(EV_SUFF="Sufficient"))&gt;0,"Evidence reviewed - sufficient",IF(SUMPRODUCT(ISNUMBER(SEARCH(","&amp;EV_ID&amp;",",","&amp;SUBSTITUTE(L389," ","")&amp;","))*(EV_ID&lt;&gt;"")*(EV_SUFF="Partially sufficient"))&gt;0,"Evidence partially sufficient","Evidence insufficient - referenced evidence not sufficient"))))))))</f>
        <v/>
      </c>
      <c r="O389" s="50"/>
      <c r="P389" s="34"/>
      <c r="Q389" s="34"/>
      <c r="R389" s="50"/>
      <c r="S389" s="51"/>
      <c r="T389" s="51"/>
      <c r="U389" s="52" t="str">
        <f aca="false">IF(OR(A389="",Q389=""),"",IF(AND(ISNUMBER(S389),S389&lt;AsOf,O389&lt;&gt;"Reviewed"),"Overdue",""))</f>
        <v/>
      </c>
      <c r="V389" s="54" t="str">
        <f aca="false">IF(A389="","",IF(COUNTIF(QA_ID,A389)&gt;1,"CHECK: duplicate ID",IF(B389="","CHECK: Supplier ID missing",IF(COUNTIF(INV_ID,B389)=0,"CHECK: Supplier ID not in inventory",IF(E389="","CHECK: Question ID missing",IF(COUNTIF(QB_ID,E389)=0,"CHECK: Question ID not in bank","OK"))))))</f>
        <v/>
      </c>
    </row>
    <row r="390" customFormat="false" ht="15" hidden="false" customHeight="false" outlineLevel="0" collapsed="false">
      <c r="A390" s="50"/>
      <c r="B390" s="50"/>
      <c r="C390" s="59" t="str">
        <f aca="false">IF(B390="","",IFERROR(INDEX(INV_NAME,MATCH(B390,INV_ID,0)),"CHECK: Supplier ID not found"))</f>
        <v/>
      </c>
      <c r="D390" s="63" t="str">
        <f aca="false">IF(B390="","",IFERROR(INDEX(INV_TIER,MATCH(B390,INV_ID,0)),""))</f>
        <v/>
      </c>
      <c r="E390" s="50"/>
      <c r="F390" s="59" t="str">
        <f aca="false">IF(E390="","",IFERROR(INDEX(QB_Q,MATCH(E390,QB_ID,0)),"CHECK: Question ID not found"))</f>
        <v/>
      </c>
      <c r="G390" s="59" t="str">
        <f aca="false">IF(E390="","",IFERROR(INDEX(QB_DOMAIN,MATCH(E390,QB_ID,0)),""))</f>
        <v/>
      </c>
      <c r="H390" s="54" t="str">
        <f aca="false">IF(OR(A390="",E390=""),"",IFERROR(IF(ISNUMBER(MATCH(D390,{"Low","Medium","High"},0)),IF(MATCH(D390,{"Low","Medium","High"},0)&gt;=MATCH(INDEX(QB_MINTIER,MATCH(E390,QB_ID,0)),{"Low","Medium","High"},0),"Recommended for tier","Optional for tier"),"Tier not determined"),"Check question"))</f>
        <v/>
      </c>
      <c r="I390" s="34"/>
      <c r="J390" s="50"/>
      <c r="K390" s="34"/>
      <c r="L390" s="34"/>
      <c r="M390" s="62" t="str">
        <f aca="false">IF(L390="","",SUMPRODUCT(ISNUMBER(SEARCH(","&amp;EV_ID&amp;",",","&amp;SUBSTITUTE(L390," ","")&amp;","))*(EV_ID&lt;&gt;"")))</f>
        <v/>
      </c>
      <c r="N390" s="54" t="str">
        <f aca="false">IF(A390="","",IF(I390&lt;&gt;"Applicable",IF(I390="","Applicability not set","Not in scope ("&amp;I390&amp;")"),IF(OR(J390="",J390="Not answered"),"Awaiting supplier response",IF(J390="Not applicable","Supplier states not applicable - analyst to confirm",IF(L390="","Evidence insufficient - none referenced",IF(M390=0,"Evidence insufficient - referenced ID not found",IF(SUMPRODUCT(ISNUMBER(SEARCH(","&amp;EV_ID&amp;",",","&amp;SUBSTITUTE(L390," ","")&amp;","))*(EV_ID&lt;&gt;"")*(EV_SUFF="Sufficient"))&gt;0,"Evidence reviewed - sufficient",IF(SUMPRODUCT(ISNUMBER(SEARCH(","&amp;EV_ID&amp;",",","&amp;SUBSTITUTE(L390," ","")&amp;","))*(EV_ID&lt;&gt;"")*(EV_SUFF="Partially sufficient"))&gt;0,"Evidence partially sufficient","Evidence insufficient - referenced evidence not sufficient"))))))))</f>
        <v/>
      </c>
      <c r="O390" s="50"/>
      <c r="P390" s="34"/>
      <c r="Q390" s="34"/>
      <c r="R390" s="50"/>
      <c r="S390" s="51"/>
      <c r="T390" s="51"/>
      <c r="U390" s="52" t="str">
        <f aca="false">IF(OR(A390="",Q390=""),"",IF(AND(ISNUMBER(S390),S390&lt;AsOf,O390&lt;&gt;"Reviewed"),"Overdue",""))</f>
        <v/>
      </c>
      <c r="V390" s="54" t="str">
        <f aca="false">IF(A390="","",IF(COUNTIF(QA_ID,A390)&gt;1,"CHECK: duplicate ID",IF(B390="","CHECK: Supplier ID missing",IF(COUNTIF(INV_ID,B390)=0,"CHECK: Supplier ID not in inventory",IF(E390="","CHECK: Question ID missing",IF(COUNTIF(QB_ID,E390)=0,"CHECK: Question ID not in bank","OK"))))))</f>
        <v/>
      </c>
    </row>
    <row r="391" customFormat="false" ht="15" hidden="false" customHeight="false" outlineLevel="0" collapsed="false">
      <c r="A391" s="50"/>
      <c r="B391" s="50"/>
      <c r="C391" s="59" t="str">
        <f aca="false">IF(B391="","",IFERROR(INDEX(INV_NAME,MATCH(B391,INV_ID,0)),"CHECK: Supplier ID not found"))</f>
        <v/>
      </c>
      <c r="D391" s="63" t="str">
        <f aca="false">IF(B391="","",IFERROR(INDEX(INV_TIER,MATCH(B391,INV_ID,0)),""))</f>
        <v/>
      </c>
      <c r="E391" s="50"/>
      <c r="F391" s="59" t="str">
        <f aca="false">IF(E391="","",IFERROR(INDEX(QB_Q,MATCH(E391,QB_ID,0)),"CHECK: Question ID not found"))</f>
        <v/>
      </c>
      <c r="G391" s="59" t="str">
        <f aca="false">IF(E391="","",IFERROR(INDEX(QB_DOMAIN,MATCH(E391,QB_ID,0)),""))</f>
        <v/>
      </c>
      <c r="H391" s="54" t="str">
        <f aca="false">IF(OR(A391="",E391=""),"",IFERROR(IF(ISNUMBER(MATCH(D391,{"Low","Medium","High"},0)),IF(MATCH(D391,{"Low","Medium","High"},0)&gt;=MATCH(INDEX(QB_MINTIER,MATCH(E391,QB_ID,0)),{"Low","Medium","High"},0),"Recommended for tier","Optional for tier"),"Tier not determined"),"Check question"))</f>
        <v/>
      </c>
      <c r="I391" s="34"/>
      <c r="J391" s="50"/>
      <c r="K391" s="34"/>
      <c r="L391" s="34"/>
      <c r="M391" s="62" t="str">
        <f aca="false">IF(L391="","",SUMPRODUCT(ISNUMBER(SEARCH(","&amp;EV_ID&amp;",",","&amp;SUBSTITUTE(L391," ","")&amp;","))*(EV_ID&lt;&gt;"")))</f>
        <v/>
      </c>
      <c r="N391" s="54" t="str">
        <f aca="false">IF(A391="","",IF(I391&lt;&gt;"Applicable",IF(I391="","Applicability not set","Not in scope ("&amp;I391&amp;")"),IF(OR(J391="",J391="Not answered"),"Awaiting supplier response",IF(J391="Not applicable","Supplier states not applicable - analyst to confirm",IF(L391="","Evidence insufficient - none referenced",IF(M391=0,"Evidence insufficient - referenced ID not found",IF(SUMPRODUCT(ISNUMBER(SEARCH(","&amp;EV_ID&amp;",",","&amp;SUBSTITUTE(L391," ","")&amp;","))*(EV_ID&lt;&gt;"")*(EV_SUFF="Sufficient"))&gt;0,"Evidence reviewed - sufficient",IF(SUMPRODUCT(ISNUMBER(SEARCH(","&amp;EV_ID&amp;",",","&amp;SUBSTITUTE(L391," ","")&amp;","))*(EV_ID&lt;&gt;"")*(EV_SUFF="Partially sufficient"))&gt;0,"Evidence partially sufficient","Evidence insufficient - referenced evidence not sufficient"))))))))</f>
        <v/>
      </c>
      <c r="O391" s="50"/>
      <c r="P391" s="34"/>
      <c r="Q391" s="34"/>
      <c r="R391" s="50"/>
      <c r="S391" s="51"/>
      <c r="T391" s="51"/>
      <c r="U391" s="52" t="str">
        <f aca="false">IF(OR(A391="",Q391=""),"",IF(AND(ISNUMBER(S391),S391&lt;AsOf,O391&lt;&gt;"Reviewed"),"Overdue",""))</f>
        <v/>
      </c>
      <c r="V391" s="54" t="str">
        <f aca="false">IF(A391="","",IF(COUNTIF(QA_ID,A391)&gt;1,"CHECK: duplicate ID",IF(B391="","CHECK: Supplier ID missing",IF(COUNTIF(INV_ID,B391)=0,"CHECK: Supplier ID not in inventory",IF(E391="","CHECK: Question ID missing",IF(COUNTIF(QB_ID,E391)=0,"CHECK: Question ID not in bank","OK"))))))</f>
        <v/>
      </c>
    </row>
    <row r="392" customFormat="false" ht="15" hidden="false" customHeight="false" outlineLevel="0" collapsed="false">
      <c r="A392" s="50"/>
      <c r="B392" s="50"/>
      <c r="C392" s="59" t="str">
        <f aca="false">IF(B392="","",IFERROR(INDEX(INV_NAME,MATCH(B392,INV_ID,0)),"CHECK: Supplier ID not found"))</f>
        <v/>
      </c>
      <c r="D392" s="63" t="str">
        <f aca="false">IF(B392="","",IFERROR(INDEX(INV_TIER,MATCH(B392,INV_ID,0)),""))</f>
        <v/>
      </c>
      <c r="E392" s="50"/>
      <c r="F392" s="59" t="str">
        <f aca="false">IF(E392="","",IFERROR(INDEX(QB_Q,MATCH(E392,QB_ID,0)),"CHECK: Question ID not found"))</f>
        <v/>
      </c>
      <c r="G392" s="59" t="str">
        <f aca="false">IF(E392="","",IFERROR(INDEX(QB_DOMAIN,MATCH(E392,QB_ID,0)),""))</f>
        <v/>
      </c>
      <c r="H392" s="54" t="str">
        <f aca="false">IF(OR(A392="",E392=""),"",IFERROR(IF(ISNUMBER(MATCH(D392,{"Low","Medium","High"},0)),IF(MATCH(D392,{"Low","Medium","High"},0)&gt;=MATCH(INDEX(QB_MINTIER,MATCH(E392,QB_ID,0)),{"Low","Medium","High"},0),"Recommended for tier","Optional for tier"),"Tier not determined"),"Check question"))</f>
        <v/>
      </c>
      <c r="I392" s="34"/>
      <c r="J392" s="50"/>
      <c r="K392" s="34"/>
      <c r="L392" s="34"/>
      <c r="M392" s="62" t="str">
        <f aca="false">IF(L392="","",SUMPRODUCT(ISNUMBER(SEARCH(","&amp;EV_ID&amp;",",","&amp;SUBSTITUTE(L392," ","")&amp;","))*(EV_ID&lt;&gt;"")))</f>
        <v/>
      </c>
      <c r="N392" s="54" t="str">
        <f aca="false">IF(A392="","",IF(I392&lt;&gt;"Applicable",IF(I392="","Applicability not set","Not in scope ("&amp;I392&amp;")"),IF(OR(J392="",J392="Not answered"),"Awaiting supplier response",IF(J392="Not applicable","Supplier states not applicable - analyst to confirm",IF(L392="","Evidence insufficient - none referenced",IF(M392=0,"Evidence insufficient - referenced ID not found",IF(SUMPRODUCT(ISNUMBER(SEARCH(","&amp;EV_ID&amp;",",","&amp;SUBSTITUTE(L392," ","")&amp;","))*(EV_ID&lt;&gt;"")*(EV_SUFF="Sufficient"))&gt;0,"Evidence reviewed - sufficient",IF(SUMPRODUCT(ISNUMBER(SEARCH(","&amp;EV_ID&amp;",",","&amp;SUBSTITUTE(L392," ","")&amp;","))*(EV_ID&lt;&gt;"")*(EV_SUFF="Partially sufficient"))&gt;0,"Evidence partially sufficient","Evidence insufficient - referenced evidence not sufficient"))))))))</f>
        <v/>
      </c>
      <c r="O392" s="50"/>
      <c r="P392" s="34"/>
      <c r="Q392" s="34"/>
      <c r="R392" s="50"/>
      <c r="S392" s="51"/>
      <c r="T392" s="51"/>
      <c r="U392" s="52" t="str">
        <f aca="false">IF(OR(A392="",Q392=""),"",IF(AND(ISNUMBER(S392),S392&lt;AsOf,O392&lt;&gt;"Reviewed"),"Overdue",""))</f>
        <v/>
      </c>
      <c r="V392" s="54" t="str">
        <f aca="false">IF(A392="","",IF(COUNTIF(QA_ID,A392)&gt;1,"CHECK: duplicate ID",IF(B392="","CHECK: Supplier ID missing",IF(COUNTIF(INV_ID,B392)=0,"CHECK: Supplier ID not in inventory",IF(E392="","CHECK: Question ID missing",IF(COUNTIF(QB_ID,E392)=0,"CHECK: Question ID not in bank","OK"))))))</f>
        <v/>
      </c>
    </row>
    <row r="393" customFormat="false" ht="15" hidden="false" customHeight="false" outlineLevel="0" collapsed="false">
      <c r="A393" s="50"/>
      <c r="B393" s="50"/>
      <c r="C393" s="59" t="str">
        <f aca="false">IF(B393="","",IFERROR(INDEX(INV_NAME,MATCH(B393,INV_ID,0)),"CHECK: Supplier ID not found"))</f>
        <v/>
      </c>
      <c r="D393" s="63" t="str">
        <f aca="false">IF(B393="","",IFERROR(INDEX(INV_TIER,MATCH(B393,INV_ID,0)),""))</f>
        <v/>
      </c>
      <c r="E393" s="50"/>
      <c r="F393" s="59" t="str">
        <f aca="false">IF(E393="","",IFERROR(INDEX(QB_Q,MATCH(E393,QB_ID,0)),"CHECK: Question ID not found"))</f>
        <v/>
      </c>
      <c r="G393" s="59" t="str">
        <f aca="false">IF(E393="","",IFERROR(INDEX(QB_DOMAIN,MATCH(E393,QB_ID,0)),""))</f>
        <v/>
      </c>
      <c r="H393" s="54" t="str">
        <f aca="false">IF(OR(A393="",E393=""),"",IFERROR(IF(ISNUMBER(MATCH(D393,{"Low","Medium","High"},0)),IF(MATCH(D393,{"Low","Medium","High"},0)&gt;=MATCH(INDEX(QB_MINTIER,MATCH(E393,QB_ID,0)),{"Low","Medium","High"},0),"Recommended for tier","Optional for tier"),"Tier not determined"),"Check question"))</f>
        <v/>
      </c>
      <c r="I393" s="34"/>
      <c r="J393" s="50"/>
      <c r="K393" s="34"/>
      <c r="L393" s="34"/>
      <c r="M393" s="62" t="str">
        <f aca="false">IF(L393="","",SUMPRODUCT(ISNUMBER(SEARCH(","&amp;EV_ID&amp;",",","&amp;SUBSTITUTE(L393," ","")&amp;","))*(EV_ID&lt;&gt;"")))</f>
        <v/>
      </c>
      <c r="N393" s="54" t="str">
        <f aca="false">IF(A393="","",IF(I393&lt;&gt;"Applicable",IF(I393="","Applicability not set","Not in scope ("&amp;I393&amp;")"),IF(OR(J393="",J393="Not answered"),"Awaiting supplier response",IF(J393="Not applicable","Supplier states not applicable - analyst to confirm",IF(L393="","Evidence insufficient - none referenced",IF(M393=0,"Evidence insufficient - referenced ID not found",IF(SUMPRODUCT(ISNUMBER(SEARCH(","&amp;EV_ID&amp;",",","&amp;SUBSTITUTE(L393," ","")&amp;","))*(EV_ID&lt;&gt;"")*(EV_SUFF="Sufficient"))&gt;0,"Evidence reviewed - sufficient",IF(SUMPRODUCT(ISNUMBER(SEARCH(","&amp;EV_ID&amp;",",","&amp;SUBSTITUTE(L393," ","")&amp;","))*(EV_ID&lt;&gt;"")*(EV_SUFF="Partially sufficient"))&gt;0,"Evidence partially sufficient","Evidence insufficient - referenced evidence not sufficient"))))))))</f>
        <v/>
      </c>
      <c r="O393" s="50"/>
      <c r="P393" s="34"/>
      <c r="Q393" s="34"/>
      <c r="R393" s="50"/>
      <c r="S393" s="51"/>
      <c r="T393" s="51"/>
      <c r="U393" s="52" t="str">
        <f aca="false">IF(OR(A393="",Q393=""),"",IF(AND(ISNUMBER(S393),S393&lt;AsOf,O393&lt;&gt;"Reviewed"),"Overdue",""))</f>
        <v/>
      </c>
      <c r="V393" s="54" t="str">
        <f aca="false">IF(A393="","",IF(COUNTIF(QA_ID,A393)&gt;1,"CHECK: duplicate ID",IF(B393="","CHECK: Supplier ID missing",IF(COUNTIF(INV_ID,B393)=0,"CHECK: Supplier ID not in inventory",IF(E393="","CHECK: Question ID missing",IF(COUNTIF(QB_ID,E393)=0,"CHECK: Question ID not in bank","OK"))))))</f>
        <v/>
      </c>
    </row>
    <row r="394" customFormat="false" ht="15" hidden="false" customHeight="false" outlineLevel="0" collapsed="false">
      <c r="A394" s="50"/>
      <c r="B394" s="50"/>
      <c r="C394" s="59" t="str">
        <f aca="false">IF(B394="","",IFERROR(INDEX(INV_NAME,MATCH(B394,INV_ID,0)),"CHECK: Supplier ID not found"))</f>
        <v/>
      </c>
      <c r="D394" s="63" t="str">
        <f aca="false">IF(B394="","",IFERROR(INDEX(INV_TIER,MATCH(B394,INV_ID,0)),""))</f>
        <v/>
      </c>
      <c r="E394" s="50"/>
      <c r="F394" s="59" t="str">
        <f aca="false">IF(E394="","",IFERROR(INDEX(QB_Q,MATCH(E394,QB_ID,0)),"CHECK: Question ID not found"))</f>
        <v/>
      </c>
      <c r="G394" s="59" t="str">
        <f aca="false">IF(E394="","",IFERROR(INDEX(QB_DOMAIN,MATCH(E394,QB_ID,0)),""))</f>
        <v/>
      </c>
      <c r="H394" s="54" t="str">
        <f aca="false">IF(OR(A394="",E394=""),"",IFERROR(IF(ISNUMBER(MATCH(D394,{"Low","Medium","High"},0)),IF(MATCH(D394,{"Low","Medium","High"},0)&gt;=MATCH(INDEX(QB_MINTIER,MATCH(E394,QB_ID,0)),{"Low","Medium","High"},0),"Recommended for tier","Optional for tier"),"Tier not determined"),"Check question"))</f>
        <v/>
      </c>
      <c r="I394" s="34"/>
      <c r="J394" s="50"/>
      <c r="K394" s="34"/>
      <c r="L394" s="34"/>
      <c r="M394" s="62" t="str">
        <f aca="false">IF(L394="","",SUMPRODUCT(ISNUMBER(SEARCH(","&amp;EV_ID&amp;",",","&amp;SUBSTITUTE(L394," ","")&amp;","))*(EV_ID&lt;&gt;"")))</f>
        <v/>
      </c>
      <c r="N394" s="54" t="str">
        <f aca="false">IF(A394="","",IF(I394&lt;&gt;"Applicable",IF(I394="","Applicability not set","Not in scope ("&amp;I394&amp;")"),IF(OR(J394="",J394="Not answered"),"Awaiting supplier response",IF(J394="Not applicable","Supplier states not applicable - analyst to confirm",IF(L394="","Evidence insufficient - none referenced",IF(M394=0,"Evidence insufficient - referenced ID not found",IF(SUMPRODUCT(ISNUMBER(SEARCH(","&amp;EV_ID&amp;",",","&amp;SUBSTITUTE(L394," ","")&amp;","))*(EV_ID&lt;&gt;"")*(EV_SUFF="Sufficient"))&gt;0,"Evidence reviewed - sufficient",IF(SUMPRODUCT(ISNUMBER(SEARCH(","&amp;EV_ID&amp;",",","&amp;SUBSTITUTE(L394," ","")&amp;","))*(EV_ID&lt;&gt;"")*(EV_SUFF="Partially sufficient"))&gt;0,"Evidence partially sufficient","Evidence insufficient - referenced evidence not sufficient"))))))))</f>
        <v/>
      </c>
      <c r="O394" s="50"/>
      <c r="P394" s="34"/>
      <c r="Q394" s="34"/>
      <c r="R394" s="50"/>
      <c r="S394" s="51"/>
      <c r="T394" s="51"/>
      <c r="U394" s="52" t="str">
        <f aca="false">IF(OR(A394="",Q394=""),"",IF(AND(ISNUMBER(S394),S394&lt;AsOf,O394&lt;&gt;"Reviewed"),"Overdue",""))</f>
        <v/>
      </c>
      <c r="V394" s="54" t="str">
        <f aca="false">IF(A394="","",IF(COUNTIF(QA_ID,A394)&gt;1,"CHECK: duplicate ID",IF(B394="","CHECK: Supplier ID missing",IF(COUNTIF(INV_ID,B394)=0,"CHECK: Supplier ID not in inventory",IF(E394="","CHECK: Question ID missing",IF(COUNTIF(QB_ID,E394)=0,"CHECK: Question ID not in bank","OK"))))))</f>
        <v/>
      </c>
    </row>
    <row r="395" customFormat="false" ht="15" hidden="false" customHeight="false" outlineLevel="0" collapsed="false">
      <c r="A395" s="50"/>
      <c r="B395" s="50"/>
      <c r="C395" s="59" t="str">
        <f aca="false">IF(B395="","",IFERROR(INDEX(INV_NAME,MATCH(B395,INV_ID,0)),"CHECK: Supplier ID not found"))</f>
        <v/>
      </c>
      <c r="D395" s="63" t="str">
        <f aca="false">IF(B395="","",IFERROR(INDEX(INV_TIER,MATCH(B395,INV_ID,0)),""))</f>
        <v/>
      </c>
      <c r="E395" s="50"/>
      <c r="F395" s="59" t="str">
        <f aca="false">IF(E395="","",IFERROR(INDEX(QB_Q,MATCH(E395,QB_ID,0)),"CHECK: Question ID not found"))</f>
        <v/>
      </c>
      <c r="G395" s="59" t="str">
        <f aca="false">IF(E395="","",IFERROR(INDEX(QB_DOMAIN,MATCH(E395,QB_ID,0)),""))</f>
        <v/>
      </c>
      <c r="H395" s="54" t="str">
        <f aca="false">IF(OR(A395="",E395=""),"",IFERROR(IF(ISNUMBER(MATCH(D395,{"Low","Medium","High"},0)),IF(MATCH(D395,{"Low","Medium","High"},0)&gt;=MATCH(INDEX(QB_MINTIER,MATCH(E395,QB_ID,0)),{"Low","Medium","High"},0),"Recommended for tier","Optional for tier"),"Tier not determined"),"Check question"))</f>
        <v/>
      </c>
      <c r="I395" s="34"/>
      <c r="J395" s="50"/>
      <c r="K395" s="34"/>
      <c r="L395" s="34"/>
      <c r="M395" s="62" t="str">
        <f aca="false">IF(L395="","",SUMPRODUCT(ISNUMBER(SEARCH(","&amp;EV_ID&amp;",",","&amp;SUBSTITUTE(L395," ","")&amp;","))*(EV_ID&lt;&gt;"")))</f>
        <v/>
      </c>
      <c r="N395" s="54" t="str">
        <f aca="false">IF(A395="","",IF(I395&lt;&gt;"Applicable",IF(I395="","Applicability not set","Not in scope ("&amp;I395&amp;")"),IF(OR(J395="",J395="Not answered"),"Awaiting supplier response",IF(J395="Not applicable","Supplier states not applicable - analyst to confirm",IF(L395="","Evidence insufficient - none referenced",IF(M395=0,"Evidence insufficient - referenced ID not found",IF(SUMPRODUCT(ISNUMBER(SEARCH(","&amp;EV_ID&amp;",",","&amp;SUBSTITUTE(L395," ","")&amp;","))*(EV_ID&lt;&gt;"")*(EV_SUFF="Sufficient"))&gt;0,"Evidence reviewed - sufficient",IF(SUMPRODUCT(ISNUMBER(SEARCH(","&amp;EV_ID&amp;",",","&amp;SUBSTITUTE(L395," ","")&amp;","))*(EV_ID&lt;&gt;"")*(EV_SUFF="Partially sufficient"))&gt;0,"Evidence partially sufficient","Evidence insufficient - referenced evidence not sufficient"))))))))</f>
        <v/>
      </c>
      <c r="O395" s="50"/>
      <c r="P395" s="34"/>
      <c r="Q395" s="34"/>
      <c r="R395" s="50"/>
      <c r="S395" s="51"/>
      <c r="T395" s="51"/>
      <c r="U395" s="52" t="str">
        <f aca="false">IF(OR(A395="",Q395=""),"",IF(AND(ISNUMBER(S395),S395&lt;AsOf,O395&lt;&gt;"Reviewed"),"Overdue",""))</f>
        <v/>
      </c>
      <c r="V395" s="54" t="str">
        <f aca="false">IF(A395="","",IF(COUNTIF(QA_ID,A395)&gt;1,"CHECK: duplicate ID",IF(B395="","CHECK: Supplier ID missing",IF(COUNTIF(INV_ID,B395)=0,"CHECK: Supplier ID not in inventory",IF(E395="","CHECK: Question ID missing",IF(COUNTIF(QB_ID,E395)=0,"CHECK: Question ID not in bank","OK"))))))</f>
        <v/>
      </c>
    </row>
    <row r="396" customFormat="false" ht="15" hidden="false" customHeight="false" outlineLevel="0" collapsed="false">
      <c r="A396" s="50"/>
      <c r="B396" s="50"/>
      <c r="C396" s="59" t="str">
        <f aca="false">IF(B396="","",IFERROR(INDEX(INV_NAME,MATCH(B396,INV_ID,0)),"CHECK: Supplier ID not found"))</f>
        <v/>
      </c>
      <c r="D396" s="63" t="str">
        <f aca="false">IF(B396="","",IFERROR(INDEX(INV_TIER,MATCH(B396,INV_ID,0)),""))</f>
        <v/>
      </c>
      <c r="E396" s="50"/>
      <c r="F396" s="59" t="str">
        <f aca="false">IF(E396="","",IFERROR(INDEX(QB_Q,MATCH(E396,QB_ID,0)),"CHECK: Question ID not found"))</f>
        <v/>
      </c>
      <c r="G396" s="59" t="str">
        <f aca="false">IF(E396="","",IFERROR(INDEX(QB_DOMAIN,MATCH(E396,QB_ID,0)),""))</f>
        <v/>
      </c>
      <c r="H396" s="54" t="str">
        <f aca="false">IF(OR(A396="",E396=""),"",IFERROR(IF(ISNUMBER(MATCH(D396,{"Low","Medium","High"},0)),IF(MATCH(D396,{"Low","Medium","High"},0)&gt;=MATCH(INDEX(QB_MINTIER,MATCH(E396,QB_ID,0)),{"Low","Medium","High"},0),"Recommended for tier","Optional for tier"),"Tier not determined"),"Check question"))</f>
        <v/>
      </c>
      <c r="I396" s="34"/>
      <c r="J396" s="50"/>
      <c r="K396" s="34"/>
      <c r="L396" s="34"/>
      <c r="M396" s="62" t="str">
        <f aca="false">IF(L396="","",SUMPRODUCT(ISNUMBER(SEARCH(","&amp;EV_ID&amp;",",","&amp;SUBSTITUTE(L396," ","")&amp;","))*(EV_ID&lt;&gt;"")))</f>
        <v/>
      </c>
      <c r="N396" s="54" t="str">
        <f aca="false">IF(A396="","",IF(I396&lt;&gt;"Applicable",IF(I396="","Applicability not set","Not in scope ("&amp;I396&amp;")"),IF(OR(J396="",J396="Not answered"),"Awaiting supplier response",IF(J396="Not applicable","Supplier states not applicable - analyst to confirm",IF(L396="","Evidence insufficient - none referenced",IF(M396=0,"Evidence insufficient - referenced ID not found",IF(SUMPRODUCT(ISNUMBER(SEARCH(","&amp;EV_ID&amp;",",","&amp;SUBSTITUTE(L396," ","")&amp;","))*(EV_ID&lt;&gt;"")*(EV_SUFF="Sufficient"))&gt;0,"Evidence reviewed - sufficient",IF(SUMPRODUCT(ISNUMBER(SEARCH(","&amp;EV_ID&amp;",",","&amp;SUBSTITUTE(L396," ","")&amp;","))*(EV_ID&lt;&gt;"")*(EV_SUFF="Partially sufficient"))&gt;0,"Evidence partially sufficient","Evidence insufficient - referenced evidence not sufficient"))))))))</f>
        <v/>
      </c>
      <c r="O396" s="50"/>
      <c r="P396" s="34"/>
      <c r="Q396" s="34"/>
      <c r="R396" s="50"/>
      <c r="S396" s="51"/>
      <c r="T396" s="51"/>
      <c r="U396" s="52" t="str">
        <f aca="false">IF(OR(A396="",Q396=""),"",IF(AND(ISNUMBER(S396),S396&lt;AsOf,O396&lt;&gt;"Reviewed"),"Overdue",""))</f>
        <v/>
      </c>
      <c r="V396" s="54" t="str">
        <f aca="false">IF(A396="","",IF(COUNTIF(QA_ID,A396)&gt;1,"CHECK: duplicate ID",IF(B396="","CHECK: Supplier ID missing",IF(COUNTIF(INV_ID,B396)=0,"CHECK: Supplier ID not in inventory",IF(E396="","CHECK: Question ID missing",IF(COUNTIF(QB_ID,E396)=0,"CHECK: Question ID not in bank","OK"))))))</f>
        <v/>
      </c>
    </row>
    <row r="397" customFormat="false" ht="15" hidden="false" customHeight="false" outlineLevel="0" collapsed="false">
      <c r="A397" s="50"/>
      <c r="B397" s="50"/>
      <c r="C397" s="59" t="str">
        <f aca="false">IF(B397="","",IFERROR(INDEX(INV_NAME,MATCH(B397,INV_ID,0)),"CHECK: Supplier ID not found"))</f>
        <v/>
      </c>
      <c r="D397" s="63" t="str">
        <f aca="false">IF(B397="","",IFERROR(INDEX(INV_TIER,MATCH(B397,INV_ID,0)),""))</f>
        <v/>
      </c>
      <c r="E397" s="50"/>
      <c r="F397" s="59" t="str">
        <f aca="false">IF(E397="","",IFERROR(INDEX(QB_Q,MATCH(E397,QB_ID,0)),"CHECK: Question ID not found"))</f>
        <v/>
      </c>
      <c r="G397" s="59" t="str">
        <f aca="false">IF(E397="","",IFERROR(INDEX(QB_DOMAIN,MATCH(E397,QB_ID,0)),""))</f>
        <v/>
      </c>
      <c r="H397" s="54" t="str">
        <f aca="false">IF(OR(A397="",E397=""),"",IFERROR(IF(ISNUMBER(MATCH(D397,{"Low","Medium","High"},0)),IF(MATCH(D397,{"Low","Medium","High"},0)&gt;=MATCH(INDEX(QB_MINTIER,MATCH(E397,QB_ID,0)),{"Low","Medium","High"},0),"Recommended for tier","Optional for tier"),"Tier not determined"),"Check question"))</f>
        <v/>
      </c>
      <c r="I397" s="34"/>
      <c r="J397" s="50"/>
      <c r="K397" s="34"/>
      <c r="L397" s="34"/>
      <c r="M397" s="62" t="str">
        <f aca="false">IF(L397="","",SUMPRODUCT(ISNUMBER(SEARCH(","&amp;EV_ID&amp;",",","&amp;SUBSTITUTE(L397," ","")&amp;","))*(EV_ID&lt;&gt;"")))</f>
        <v/>
      </c>
      <c r="N397" s="54" t="str">
        <f aca="false">IF(A397="","",IF(I397&lt;&gt;"Applicable",IF(I397="","Applicability not set","Not in scope ("&amp;I397&amp;")"),IF(OR(J397="",J397="Not answered"),"Awaiting supplier response",IF(J397="Not applicable","Supplier states not applicable - analyst to confirm",IF(L397="","Evidence insufficient - none referenced",IF(M397=0,"Evidence insufficient - referenced ID not found",IF(SUMPRODUCT(ISNUMBER(SEARCH(","&amp;EV_ID&amp;",",","&amp;SUBSTITUTE(L397," ","")&amp;","))*(EV_ID&lt;&gt;"")*(EV_SUFF="Sufficient"))&gt;0,"Evidence reviewed - sufficient",IF(SUMPRODUCT(ISNUMBER(SEARCH(","&amp;EV_ID&amp;",",","&amp;SUBSTITUTE(L397," ","")&amp;","))*(EV_ID&lt;&gt;"")*(EV_SUFF="Partially sufficient"))&gt;0,"Evidence partially sufficient","Evidence insufficient - referenced evidence not sufficient"))))))))</f>
        <v/>
      </c>
      <c r="O397" s="50"/>
      <c r="P397" s="34"/>
      <c r="Q397" s="34"/>
      <c r="R397" s="50"/>
      <c r="S397" s="51"/>
      <c r="T397" s="51"/>
      <c r="U397" s="52" t="str">
        <f aca="false">IF(OR(A397="",Q397=""),"",IF(AND(ISNUMBER(S397),S397&lt;AsOf,O397&lt;&gt;"Reviewed"),"Overdue",""))</f>
        <v/>
      </c>
      <c r="V397" s="54" t="str">
        <f aca="false">IF(A397="","",IF(COUNTIF(QA_ID,A397)&gt;1,"CHECK: duplicate ID",IF(B397="","CHECK: Supplier ID missing",IF(COUNTIF(INV_ID,B397)=0,"CHECK: Supplier ID not in inventory",IF(E397="","CHECK: Question ID missing",IF(COUNTIF(QB_ID,E397)=0,"CHECK: Question ID not in bank","OK"))))))</f>
        <v/>
      </c>
    </row>
    <row r="398" customFormat="false" ht="15" hidden="false" customHeight="false" outlineLevel="0" collapsed="false">
      <c r="A398" s="50"/>
      <c r="B398" s="50"/>
      <c r="C398" s="59" t="str">
        <f aca="false">IF(B398="","",IFERROR(INDEX(INV_NAME,MATCH(B398,INV_ID,0)),"CHECK: Supplier ID not found"))</f>
        <v/>
      </c>
      <c r="D398" s="63" t="str">
        <f aca="false">IF(B398="","",IFERROR(INDEX(INV_TIER,MATCH(B398,INV_ID,0)),""))</f>
        <v/>
      </c>
      <c r="E398" s="50"/>
      <c r="F398" s="59" t="str">
        <f aca="false">IF(E398="","",IFERROR(INDEX(QB_Q,MATCH(E398,QB_ID,0)),"CHECK: Question ID not found"))</f>
        <v/>
      </c>
      <c r="G398" s="59" t="str">
        <f aca="false">IF(E398="","",IFERROR(INDEX(QB_DOMAIN,MATCH(E398,QB_ID,0)),""))</f>
        <v/>
      </c>
      <c r="H398" s="54" t="str">
        <f aca="false">IF(OR(A398="",E398=""),"",IFERROR(IF(ISNUMBER(MATCH(D398,{"Low","Medium","High"},0)),IF(MATCH(D398,{"Low","Medium","High"},0)&gt;=MATCH(INDEX(QB_MINTIER,MATCH(E398,QB_ID,0)),{"Low","Medium","High"},0),"Recommended for tier","Optional for tier"),"Tier not determined"),"Check question"))</f>
        <v/>
      </c>
      <c r="I398" s="34"/>
      <c r="J398" s="50"/>
      <c r="K398" s="34"/>
      <c r="L398" s="34"/>
      <c r="M398" s="62" t="str">
        <f aca="false">IF(L398="","",SUMPRODUCT(ISNUMBER(SEARCH(","&amp;EV_ID&amp;",",","&amp;SUBSTITUTE(L398," ","")&amp;","))*(EV_ID&lt;&gt;"")))</f>
        <v/>
      </c>
      <c r="N398" s="54" t="str">
        <f aca="false">IF(A398="","",IF(I398&lt;&gt;"Applicable",IF(I398="","Applicability not set","Not in scope ("&amp;I398&amp;")"),IF(OR(J398="",J398="Not answered"),"Awaiting supplier response",IF(J398="Not applicable","Supplier states not applicable - analyst to confirm",IF(L398="","Evidence insufficient - none referenced",IF(M398=0,"Evidence insufficient - referenced ID not found",IF(SUMPRODUCT(ISNUMBER(SEARCH(","&amp;EV_ID&amp;",",","&amp;SUBSTITUTE(L398," ","")&amp;","))*(EV_ID&lt;&gt;"")*(EV_SUFF="Sufficient"))&gt;0,"Evidence reviewed - sufficient",IF(SUMPRODUCT(ISNUMBER(SEARCH(","&amp;EV_ID&amp;",",","&amp;SUBSTITUTE(L398," ","")&amp;","))*(EV_ID&lt;&gt;"")*(EV_SUFF="Partially sufficient"))&gt;0,"Evidence partially sufficient","Evidence insufficient - referenced evidence not sufficient"))))))))</f>
        <v/>
      </c>
      <c r="O398" s="50"/>
      <c r="P398" s="34"/>
      <c r="Q398" s="34"/>
      <c r="R398" s="50"/>
      <c r="S398" s="51"/>
      <c r="T398" s="51"/>
      <c r="U398" s="52" t="str">
        <f aca="false">IF(OR(A398="",Q398=""),"",IF(AND(ISNUMBER(S398),S398&lt;AsOf,O398&lt;&gt;"Reviewed"),"Overdue",""))</f>
        <v/>
      </c>
      <c r="V398" s="54" t="str">
        <f aca="false">IF(A398="","",IF(COUNTIF(QA_ID,A398)&gt;1,"CHECK: duplicate ID",IF(B398="","CHECK: Supplier ID missing",IF(COUNTIF(INV_ID,B398)=0,"CHECK: Supplier ID not in inventory",IF(E398="","CHECK: Question ID missing",IF(COUNTIF(QB_ID,E398)=0,"CHECK: Question ID not in bank","OK"))))))</f>
        <v/>
      </c>
    </row>
    <row r="399" customFormat="false" ht="15" hidden="false" customHeight="false" outlineLevel="0" collapsed="false">
      <c r="A399" s="50"/>
      <c r="B399" s="50"/>
      <c r="C399" s="59" t="str">
        <f aca="false">IF(B399="","",IFERROR(INDEX(INV_NAME,MATCH(B399,INV_ID,0)),"CHECK: Supplier ID not found"))</f>
        <v/>
      </c>
      <c r="D399" s="63" t="str">
        <f aca="false">IF(B399="","",IFERROR(INDEX(INV_TIER,MATCH(B399,INV_ID,0)),""))</f>
        <v/>
      </c>
      <c r="E399" s="50"/>
      <c r="F399" s="59" t="str">
        <f aca="false">IF(E399="","",IFERROR(INDEX(QB_Q,MATCH(E399,QB_ID,0)),"CHECK: Question ID not found"))</f>
        <v/>
      </c>
      <c r="G399" s="59" t="str">
        <f aca="false">IF(E399="","",IFERROR(INDEX(QB_DOMAIN,MATCH(E399,QB_ID,0)),""))</f>
        <v/>
      </c>
      <c r="H399" s="54" t="str">
        <f aca="false">IF(OR(A399="",E399=""),"",IFERROR(IF(ISNUMBER(MATCH(D399,{"Low","Medium","High"},0)),IF(MATCH(D399,{"Low","Medium","High"},0)&gt;=MATCH(INDEX(QB_MINTIER,MATCH(E399,QB_ID,0)),{"Low","Medium","High"},0),"Recommended for tier","Optional for tier"),"Tier not determined"),"Check question"))</f>
        <v/>
      </c>
      <c r="I399" s="34"/>
      <c r="J399" s="50"/>
      <c r="K399" s="34"/>
      <c r="L399" s="34"/>
      <c r="M399" s="62" t="str">
        <f aca="false">IF(L399="","",SUMPRODUCT(ISNUMBER(SEARCH(","&amp;EV_ID&amp;",",","&amp;SUBSTITUTE(L399," ","")&amp;","))*(EV_ID&lt;&gt;"")))</f>
        <v/>
      </c>
      <c r="N399" s="54" t="str">
        <f aca="false">IF(A399="","",IF(I399&lt;&gt;"Applicable",IF(I399="","Applicability not set","Not in scope ("&amp;I399&amp;")"),IF(OR(J399="",J399="Not answered"),"Awaiting supplier response",IF(J399="Not applicable","Supplier states not applicable - analyst to confirm",IF(L399="","Evidence insufficient - none referenced",IF(M399=0,"Evidence insufficient - referenced ID not found",IF(SUMPRODUCT(ISNUMBER(SEARCH(","&amp;EV_ID&amp;",",","&amp;SUBSTITUTE(L399," ","")&amp;","))*(EV_ID&lt;&gt;"")*(EV_SUFF="Sufficient"))&gt;0,"Evidence reviewed - sufficient",IF(SUMPRODUCT(ISNUMBER(SEARCH(","&amp;EV_ID&amp;",",","&amp;SUBSTITUTE(L399," ","")&amp;","))*(EV_ID&lt;&gt;"")*(EV_SUFF="Partially sufficient"))&gt;0,"Evidence partially sufficient","Evidence insufficient - referenced evidence not sufficient"))))))))</f>
        <v/>
      </c>
      <c r="O399" s="50"/>
      <c r="P399" s="34"/>
      <c r="Q399" s="34"/>
      <c r="R399" s="50"/>
      <c r="S399" s="51"/>
      <c r="T399" s="51"/>
      <c r="U399" s="52" t="str">
        <f aca="false">IF(OR(A399="",Q399=""),"",IF(AND(ISNUMBER(S399),S399&lt;AsOf,O399&lt;&gt;"Reviewed"),"Overdue",""))</f>
        <v/>
      </c>
      <c r="V399" s="54" t="str">
        <f aca="false">IF(A399="","",IF(COUNTIF(QA_ID,A399)&gt;1,"CHECK: duplicate ID",IF(B399="","CHECK: Supplier ID missing",IF(COUNTIF(INV_ID,B399)=0,"CHECK: Supplier ID not in inventory",IF(E399="","CHECK: Question ID missing",IF(COUNTIF(QB_ID,E399)=0,"CHECK: Question ID not in bank","OK"))))))</f>
        <v/>
      </c>
    </row>
    <row r="400" customFormat="false" ht="15" hidden="false" customHeight="false" outlineLevel="0" collapsed="false">
      <c r="A400" s="50"/>
      <c r="B400" s="50"/>
      <c r="C400" s="59" t="str">
        <f aca="false">IF(B400="","",IFERROR(INDEX(INV_NAME,MATCH(B400,INV_ID,0)),"CHECK: Supplier ID not found"))</f>
        <v/>
      </c>
      <c r="D400" s="63" t="str">
        <f aca="false">IF(B400="","",IFERROR(INDEX(INV_TIER,MATCH(B400,INV_ID,0)),""))</f>
        <v/>
      </c>
      <c r="E400" s="50"/>
      <c r="F400" s="59" t="str">
        <f aca="false">IF(E400="","",IFERROR(INDEX(QB_Q,MATCH(E400,QB_ID,0)),"CHECK: Question ID not found"))</f>
        <v/>
      </c>
      <c r="G400" s="59" t="str">
        <f aca="false">IF(E400="","",IFERROR(INDEX(QB_DOMAIN,MATCH(E400,QB_ID,0)),""))</f>
        <v/>
      </c>
      <c r="H400" s="54" t="str">
        <f aca="false">IF(OR(A400="",E400=""),"",IFERROR(IF(ISNUMBER(MATCH(D400,{"Low","Medium","High"},0)),IF(MATCH(D400,{"Low","Medium","High"},0)&gt;=MATCH(INDEX(QB_MINTIER,MATCH(E400,QB_ID,0)),{"Low","Medium","High"},0),"Recommended for tier","Optional for tier"),"Tier not determined"),"Check question"))</f>
        <v/>
      </c>
      <c r="I400" s="34"/>
      <c r="J400" s="50"/>
      <c r="K400" s="34"/>
      <c r="L400" s="34"/>
      <c r="M400" s="62" t="str">
        <f aca="false">IF(L400="","",SUMPRODUCT(ISNUMBER(SEARCH(","&amp;EV_ID&amp;",",","&amp;SUBSTITUTE(L400," ","")&amp;","))*(EV_ID&lt;&gt;"")))</f>
        <v/>
      </c>
      <c r="N400" s="54" t="str">
        <f aca="false">IF(A400="","",IF(I400&lt;&gt;"Applicable",IF(I400="","Applicability not set","Not in scope ("&amp;I400&amp;")"),IF(OR(J400="",J400="Not answered"),"Awaiting supplier response",IF(J400="Not applicable","Supplier states not applicable - analyst to confirm",IF(L400="","Evidence insufficient - none referenced",IF(M400=0,"Evidence insufficient - referenced ID not found",IF(SUMPRODUCT(ISNUMBER(SEARCH(","&amp;EV_ID&amp;",",","&amp;SUBSTITUTE(L400," ","")&amp;","))*(EV_ID&lt;&gt;"")*(EV_SUFF="Sufficient"))&gt;0,"Evidence reviewed - sufficient",IF(SUMPRODUCT(ISNUMBER(SEARCH(","&amp;EV_ID&amp;",",","&amp;SUBSTITUTE(L400," ","")&amp;","))*(EV_ID&lt;&gt;"")*(EV_SUFF="Partially sufficient"))&gt;0,"Evidence partially sufficient","Evidence insufficient - referenced evidence not sufficient"))))))))</f>
        <v/>
      </c>
      <c r="O400" s="50"/>
      <c r="P400" s="34"/>
      <c r="Q400" s="34"/>
      <c r="R400" s="50"/>
      <c r="S400" s="51"/>
      <c r="T400" s="51"/>
      <c r="U400" s="52" t="str">
        <f aca="false">IF(OR(A400="",Q400=""),"",IF(AND(ISNUMBER(S400),S400&lt;AsOf,O400&lt;&gt;"Reviewed"),"Overdue",""))</f>
        <v/>
      </c>
      <c r="V400" s="54" t="str">
        <f aca="false">IF(A400="","",IF(COUNTIF(QA_ID,A400)&gt;1,"CHECK: duplicate ID",IF(B400="","CHECK: Supplier ID missing",IF(COUNTIF(INV_ID,B400)=0,"CHECK: Supplier ID not in inventory",IF(E400="","CHECK: Question ID missing",IF(COUNTIF(QB_ID,E400)=0,"CHECK: Question ID not in bank","OK"))))))</f>
        <v/>
      </c>
    </row>
    <row r="401" customFormat="false" ht="15" hidden="false" customHeight="false" outlineLevel="0" collapsed="false">
      <c r="A401" s="50"/>
      <c r="B401" s="50"/>
      <c r="C401" s="59" t="str">
        <f aca="false">IF(B401="","",IFERROR(INDEX(INV_NAME,MATCH(B401,INV_ID,0)),"CHECK: Supplier ID not found"))</f>
        <v/>
      </c>
      <c r="D401" s="63" t="str">
        <f aca="false">IF(B401="","",IFERROR(INDEX(INV_TIER,MATCH(B401,INV_ID,0)),""))</f>
        <v/>
      </c>
      <c r="E401" s="50"/>
      <c r="F401" s="59" t="str">
        <f aca="false">IF(E401="","",IFERROR(INDEX(QB_Q,MATCH(E401,QB_ID,0)),"CHECK: Question ID not found"))</f>
        <v/>
      </c>
      <c r="G401" s="59" t="str">
        <f aca="false">IF(E401="","",IFERROR(INDEX(QB_DOMAIN,MATCH(E401,QB_ID,0)),""))</f>
        <v/>
      </c>
      <c r="H401" s="54" t="str">
        <f aca="false">IF(OR(A401="",E401=""),"",IFERROR(IF(ISNUMBER(MATCH(D401,{"Low","Medium","High"},0)),IF(MATCH(D401,{"Low","Medium","High"},0)&gt;=MATCH(INDEX(QB_MINTIER,MATCH(E401,QB_ID,0)),{"Low","Medium","High"},0),"Recommended for tier","Optional for tier"),"Tier not determined"),"Check question"))</f>
        <v/>
      </c>
      <c r="I401" s="34"/>
      <c r="J401" s="50"/>
      <c r="K401" s="34"/>
      <c r="L401" s="34"/>
      <c r="M401" s="62" t="str">
        <f aca="false">IF(L401="","",SUMPRODUCT(ISNUMBER(SEARCH(","&amp;EV_ID&amp;",",","&amp;SUBSTITUTE(L401," ","")&amp;","))*(EV_ID&lt;&gt;"")))</f>
        <v/>
      </c>
      <c r="N401" s="54" t="str">
        <f aca="false">IF(A401="","",IF(I401&lt;&gt;"Applicable",IF(I401="","Applicability not set","Not in scope ("&amp;I401&amp;")"),IF(OR(J401="",J401="Not answered"),"Awaiting supplier response",IF(J401="Not applicable","Supplier states not applicable - analyst to confirm",IF(L401="","Evidence insufficient - none referenced",IF(M401=0,"Evidence insufficient - referenced ID not found",IF(SUMPRODUCT(ISNUMBER(SEARCH(","&amp;EV_ID&amp;",",","&amp;SUBSTITUTE(L401," ","")&amp;","))*(EV_ID&lt;&gt;"")*(EV_SUFF="Sufficient"))&gt;0,"Evidence reviewed - sufficient",IF(SUMPRODUCT(ISNUMBER(SEARCH(","&amp;EV_ID&amp;",",","&amp;SUBSTITUTE(L401," ","")&amp;","))*(EV_ID&lt;&gt;"")*(EV_SUFF="Partially sufficient"))&gt;0,"Evidence partially sufficient","Evidence insufficient - referenced evidence not sufficient"))))))))</f>
        <v/>
      </c>
      <c r="O401" s="50"/>
      <c r="P401" s="34"/>
      <c r="Q401" s="34"/>
      <c r="R401" s="50"/>
      <c r="S401" s="51"/>
      <c r="T401" s="51"/>
      <c r="U401" s="52" t="str">
        <f aca="false">IF(OR(A401="",Q401=""),"",IF(AND(ISNUMBER(S401),S401&lt;AsOf,O401&lt;&gt;"Reviewed"),"Overdue",""))</f>
        <v/>
      </c>
      <c r="V401" s="54" t="str">
        <f aca="false">IF(A401="","",IF(COUNTIF(QA_ID,A401)&gt;1,"CHECK: duplicate ID",IF(B401="","CHECK: Supplier ID missing",IF(COUNTIF(INV_ID,B401)=0,"CHECK: Supplier ID not in inventory",IF(E401="","CHECK: Question ID missing",IF(COUNTIF(QB_ID,E401)=0,"CHECK: Question ID not in bank","OK"))))))</f>
        <v/>
      </c>
    </row>
    <row r="402" customFormat="false" ht="15" hidden="false" customHeight="false" outlineLevel="0" collapsed="false">
      <c r="A402" s="50"/>
      <c r="B402" s="50"/>
      <c r="C402" s="59" t="str">
        <f aca="false">IF(B402="","",IFERROR(INDEX(INV_NAME,MATCH(B402,INV_ID,0)),"CHECK: Supplier ID not found"))</f>
        <v/>
      </c>
      <c r="D402" s="63" t="str">
        <f aca="false">IF(B402="","",IFERROR(INDEX(INV_TIER,MATCH(B402,INV_ID,0)),""))</f>
        <v/>
      </c>
      <c r="E402" s="50"/>
      <c r="F402" s="59" t="str">
        <f aca="false">IF(E402="","",IFERROR(INDEX(QB_Q,MATCH(E402,QB_ID,0)),"CHECK: Question ID not found"))</f>
        <v/>
      </c>
      <c r="G402" s="59" t="str">
        <f aca="false">IF(E402="","",IFERROR(INDEX(QB_DOMAIN,MATCH(E402,QB_ID,0)),""))</f>
        <v/>
      </c>
      <c r="H402" s="54" t="str">
        <f aca="false">IF(OR(A402="",E402=""),"",IFERROR(IF(ISNUMBER(MATCH(D402,{"Low","Medium","High"},0)),IF(MATCH(D402,{"Low","Medium","High"},0)&gt;=MATCH(INDEX(QB_MINTIER,MATCH(E402,QB_ID,0)),{"Low","Medium","High"},0),"Recommended for tier","Optional for tier"),"Tier not determined"),"Check question"))</f>
        <v/>
      </c>
      <c r="I402" s="34"/>
      <c r="J402" s="50"/>
      <c r="K402" s="34"/>
      <c r="L402" s="34"/>
      <c r="M402" s="62" t="str">
        <f aca="false">IF(L402="","",SUMPRODUCT(ISNUMBER(SEARCH(","&amp;EV_ID&amp;",",","&amp;SUBSTITUTE(L402," ","")&amp;","))*(EV_ID&lt;&gt;"")))</f>
        <v/>
      </c>
      <c r="N402" s="54" t="str">
        <f aca="false">IF(A402="","",IF(I402&lt;&gt;"Applicable",IF(I402="","Applicability not set","Not in scope ("&amp;I402&amp;")"),IF(OR(J402="",J402="Not answered"),"Awaiting supplier response",IF(J402="Not applicable","Supplier states not applicable - analyst to confirm",IF(L402="","Evidence insufficient - none referenced",IF(M402=0,"Evidence insufficient - referenced ID not found",IF(SUMPRODUCT(ISNUMBER(SEARCH(","&amp;EV_ID&amp;",",","&amp;SUBSTITUTE(L402," ","")&amp;","))*(EV_ID&lt;&gt;"")*(EV_SUFF="Sufficient"))&gt;0,"Evidence reviewed - sufficient",IF(SUMPRODUCT(ISNUMBER(SEARCH(","&amp;EV_ID&amp;",",","&amp;SUBSTITUTE(L402," ","")&amp;","))*(EV_ID&lt;&gt;"")*(EV_SUFF="Partially sufficient"))&gt;0,"Evidence partially sufficient","Evidence insufficient - referenced evidence not sufficient"))))))))</f>
        <v/>
      </c>
      <c r="O402" s="50"/>
      <c r="P402" s="34"/>
      <c r="Q402" s="34"/>
      <c r="R402" s="50"/>
      <c r="S402" s="51"/>
      <c r="T402" s="51"/>
      <c r="U402" s="52" t="str">
        <f aca="false">IF(OR(A402="",Q402=""),"",IF(AND(ISNUMBER(S402),S402&lt;AsOf,O402&lt;&gt;"Reviewed"),"Overdue",""))</f>
        <v/>
      </c>
      <c r="V402" s="54" t="str">
        <f aca="false">IF(A402="","",IF(COUNTIF(QA_ID,A402)&gt;1,"CHECK: duplicate ID",IF(B402="","CHECK: Supplier ID missing",IF(COUNTIF(INV_ID,B402)=0,"CHECK: Supplier ID not in inventory",IF(E402="","CHECK: Question ID missing",IF(COUNTIF(QB_ID,E402)=0,"CHECK: Question ID not in bank","OK"))))))</f>
        <v/>
      </c>
    </row>
    <row r="403" customFormat="false" ht="15" hidden="false" customHeight="false" outlineLevel="0" collapsed="false">
      <c r="A403" s="50"/>
      <c r="B403" s="50"/>
      <c r="C403" s="59" t="str">
        <f aca="false">IF(B403="","",IFERROR(INDEX(INV_NAME,MATCH(B403,INV_ID,0)),"CHECK: Supplier ID not found"))</f>
        <v/>
      </c>
      <c r="D403" s="63" t="str">
        <f aca="false">IF(B403="","",IFERROR(INDEX(INV_TIER,MATCH(B403,INV_ID,0)),""))</f>
        <v/>
      </c>
      <c r="E403" s="50"/>
      <c r="F403" s="59" t="str">
        <f aca="false">IF(E403="","",IFERROR(INDEX(QB_Q,MATCH(E403,QB_ID,0)),"CHECK: Question ID not found"))</f>
        <v/>
      </c>
      <c r="G403" s="59" t="str">
        <f aca="false">IF(E403="","",IFERROR(INDEX(QB_DOMAIN,MATCH(E403,QB_ID,0)),""))</f>
        <v/>
      </c>
      <c r="H403" s="54" t="str">
        <f aca="false">IF(OR(A403="",E403=""),"",IFERROR(IF(ISNUMBER(MATCH(D403,{"Low","Medium","High"},0)),IF(MATCH(D403,{"Low","Medium","High"},0)&gt;=MATCH(INDEX(QB_MINTIER,MATCH(E403,QB_ID,0)),{"Low","Medium","High"},0),"Recommended for tier","Optional for tier"),"Tier not determined"),"Check question"))</f>
        <v/>
      </c>
      <c r="I403" s="34"/>
      <c r="J403" s="50"/>
      <c r="K403" s="34"/>
      <c r="L403" s="34"/>
      <c r="M403" s="62" t="str">
        <f aca="false">IF(L403="","",SUMPRODUCT(ISNUMBER(SEARCH(","&amp;EV_ID&amp;",",","&amp;SUBSTITUTE(L403," ","")&amp;","))*(EV_ID&lt;&gt;"")))</f>
        <v/>
      </c>
      <c r="N403" s="54" t="str">
        <f aca="false">IF(A403="","",IF(I403&lt;&gt;"Applicable",IF(I403="","Applicability not set","Not in scope ("&amp;I403&amp;")"),IF(OR(J403="",J403="Not answered"),"Awaiting supplier response",IF(J403="Not applicable","Supplier states not applicable - analyst to confirm",IF(L403="","Evidence insufficient - none referenced",IF(M403=0,"Evidence insufficient - referenced ID not found",IF(SUMPRODUCT(ISNUMBER(SEARCH(","&amp;EV_ID&amp;",",","&amp;SUBSTITUTE(L403," ","")&amp;","))*(EV_ID&lt;&gt;"")*(EV_SUFF="Sufficient"))&gt;0,"Evidence reviewed - sufficient",IF(SUMPRODUCT(ISNUMBER(SEARCH(","&amp;EV_ID&amp;",",","&amp;SUBSTITUTE(L403," ","")&amp;","))*(EV_ID&lt;&gt;"")*(EV_SUFF="Partially sufficient"))&gt;0,"Evidence partially sufficient","Evidence insufficient - referenced evidence not sufficient"))))))))</f>
        <v/>
      </c>
      <c r="O403" s="50"/>
      <c r="P403" s="34"/>
      <c r="Q403" s="34"/>
      <c r="R403" s="50"/>
      <c r="S403" s="51"/>
      <c r="T403" s="51"/>
      <c r="U403" s="52" t="str">
        <f aca="false">IF(OR(A403="",Q403=""),"",IF(AND(ISNUMBER(S403),S403&lt;AsOf,O403&lt;&gt;"Reviewed"),"Overdue",""))</f>
        <v/>
      </c>
      <c r="V403" s="54" t="str">
        <f aca="false">IF(A403="","",IF(COUNTIF(QA_ID,A403)&gt;1,"CHECK: duplicate ID",IF(B403="","CHECK: Supplier ID missing",IF(COUNTIF(INV_ID,B403)=0,"CHECK: Supplier ID not in inventory",IF(E403="","CHECK: Question ID missing",IF(COUNTIF(QB_ID,E403)=0,"CHECK: Question ID not in bank","OK"))))))</f>
        <v/>
      </c>
    </row>
    <row r="404" customFormat="false" ht="15" hidden="false" customHeight="false" outlineLevel="0" collapsed="false">
      <c r="A404" s="50"/>
      <c r="B404" s="50"/>
      <c r="C404" s="59" t="str">
        <f aca="false">IF(B404="","",IFERROR(INDEX(INV_NAME,MATCH(B404,INV_ID,0)),"CHECK: Supplier ID not found"))</f>
        <v/>
      </c>
      <c r="D404" s="63" t="str">
        <f aca="false">IF(B404="","",IFERROR(INDEX(INV_TIER,MATCH(B404,INV_ID,0)),""))</f>
        <v/>
      </c>
      <c r="E404" s="50"/>
      <c r="F404" s="59" t="str">
        <f aca="false">IF(E404="","",IFERROR(INDEX(QB_Q,MATCH(E404,QB_ID,0)),"CHECK: Question ID not found"))</f>
        <v/>
      </c>
      <c r="G404" s="59" t="str">
        <f aca="false">IF(E404="","",IFERROR(INDEX(QB_DOMAIN,MATCH(E404,QB_ID,0)),""))</f>
        <v/>
      </c>
      <c r="H404" s="54" t="str">
        <f aca="false">IF(OR(A404="",E404=""),"",IFERROR(IF(ISNUMBER(MATCH(D404,{"Low","Medium","High"},0)),IF(MATCH(D404,{"Low","Medium","High"},0)&gt;=MATCH(INDEX(QB_MINTIER,MATCH(E404,QB_ID,0)),{"Low","Medium","High"},0),"Recommended for tier","Optional for tier"),"Tier not determined"),"Check question"))</f>
        <v/>
      </c>
      <c r="I404" s="34"/>
      <c r="J404" s="50"/>
      <c r="K404" s="34"/>
      <c r="L404" s="34"/>
      <c r="M404" s="62" t="str">
        <f aca="false">IF(L404="","",SUMPRODUCT(ISNUMBER(SEARCH(","&amp;EV_ID&amp;",",","&amp;SUBSTITUTE(L404," ","")&amp;","))*(EV_ID&lt;&gt;"")))</f>
        <v/>
      </c>
      <c r="N404" s="54" t="str">
        <f aca="false">IF(A404="","",IF(I404&lt;&gt;"Applicable",IF(I404="","Applicability not set","Not in scope ("&amp;I404&amp;")"),IF(OR(J404="",J404="Not answered"),"Awaiting supplier response",IF(J404="Not applicable","Supplier states not applicable - analyst to confirm",IF(L404="","Evidence insufficient - none referenced",IF(M404=0,"Evidence insufficient - referenced ID not found",IF(SUMPRODUCT(ISNUMBER(SEARCH(","&amp;EV_ID&amp;",",","&amp;SUBSTITUTE(L404," ","")&amp;","))*(EV_ID&lt;&gt;"")*(EV_SUFF="Sufficient"))&gt;0,"Evidence reviewed - sufficient",IF(SUMPRODUCT(ISNUMBER(SEARCH(","&amp;EV_ID&amp;",",","&amp;SUBSTITUTE(L404," ","")&amp;","))*(EV_ID&lt;&gt;"")*(EV_SUFF="Partially sufficient"))&gt;0,"Evidence partially sufficient","Evidence insufficient - referenced evidence not sufficient"))))))))</f>
        <v/>
      </c>
      <c r="O404" s="50"/>
      <c r="P404" s="34"/>
      <c r="Q404" s="34"/>
      <c r="R404" s="50"/>
      <c r="S404" s="51"/>
      <c r="T404" s="51"/>
      <c r="U404" s="52" t="str">
        <f aca="false">IF(OR(A404="",Q404=""),"",IF(AND(ISNUMBER(S404),S404&lt;AsOf,O404&lt;&gt;"Reviewed"),"Overdue",""))</f>
        <v/>
      </c>
      <c r="V404" s="54" t="str">
        <f aca="false">IF(A404="","",IF(COUNTIF(QA_ID,A404)&gt;1,"CHECK: duplicate ID",IF(B404="","CHECK: Supplier ID missing",IF(COUNTIF(INV_ID,B404)=0,"CHECK: Supplier ID not in inventory",IF(E404="","CHECK: Question ID missing",IF(COUNTIF(QB_ID,E404)=0,"CHECK: Question ID not in bank","OK"))))))</f>
        <v/>
      </c>
    </row>
    <row r="405" customFormat="false" ht="15" hidden="false" customHeight="false" outlineLevel="0" collapsed="false">
      <c r="A405" s="50"/>
      <c r="B405" s="50"/>
      <c r="C405" s="59" t="str">
        <f aca="false">IF(B405="","",IFERROR(INDEX(INV_NAME,MATCH(B405,INV_ID,0)),"CHECK: Supplier ID not found"))</f>
        <v/>
      </c>
      <c r="D405" s="63" t="str">
        <f aca="false">IF(B405="","",IFERROR(INDEX(INV_TIER,MATCH(B405,INV_ID,0)),""))</f>
        <v/>
      </c>
      <c r="E405" s="50"/>
      <c r="F405" s="59" t="str">
        <f aca="false">IF(E405="","",IFERROR(INDEX(QB_Q,MATCH(E405,QB_ID,0)),"CHECK: Question ID not found"))</f>
        <v/>
      </c>
      <c r="G405" s="59" t="str">
        <f aca="false">IF(E405="","",IFERROR(INDEX(QB_DOMAIN,MATCH(E405,QB_ID,0)),""))</f>
        <v/>
      </c>
      <c r="H405" s="54" t="str">
        <f aca="false">IF(OR(A405="",E405=""),"",IFERROR(IF(ISNUMBER(MATCH(D405,{"Low","Medium","High"},0)),IF(MATCH(D405,{"Low","Medium","High"},0)&gt;=MATCH(INDEX(QB_MINTIER,MATCH(E405,QB_ID,0)),{"Low","Medium","High"},0),"Recommended for tier","Optional for tier"),"Tier not determined"),"Check question"))</f>
        <v/>
      </c>
      <c r="I405" s="34"/>
      <c r="J405" s="50"/>
      <c r="K405" s="34"/>
      <c r="L405" s="34"/>
      <c r="M405" s="62" t="str">
        <f aca="false">IF(L405="","",SUMPRODUCT(ISNUMBER(SEARCH(","&amp;EV_ID&amp;",",","&amp;SUBSTITUTE(L405," ","")&amp;","))*(EV_ID&lt;&gt;"")))</f>
        <v/>
      </c>
      <c r="N405" s="54" t="str">
        <f aca="false">IF(A405="","",IF(I405&lt;&gt;"Applicable",IF(I405="","Applicability not set","Not in scope ("&amp;I405&amp;")"),IF(OR(J405="",J405="Not answered"),"Awaiting supplier response",IF(J405="Not applicable","Supplier states not applicable - analyst to confirm",IF(L405="","Evidence insufficient - none referenced",IF(M405=0,"Evidence insufficient - referenced ID not found",IF(SUMPRODUCT(ISNUMBER(SEARCH(","&amp;EV_ID&amp;",",","&amp;SUBSTITUTE(L405," ","")&amp;","))*(EV_ID&lt;&gt;"")*(EV_SUFF="Sufficient"))&gt;0,"Evidence reviewed - sufficient",IF(SUMPRODUCT(ISNUMBER(SEARCH(","&amp;EV_ID&amp;",",","&amp;SUBSTITUTE(L405," ","")&amp;","))*(EV_ID&lt;&gt;"")*(EV_SUFF="Partially sufficient"))&gt;0,"Evidence partially sufficient","Evidence insufficient - referenced evidence not sufficient"))))))))</f>
        <v/>
      </c>
      <c r="O405" s="50"/>
      <c r="P405" s="34"/>
      <c r="Q405" s="34"/>
      <c r="R405" s="50"/>
      <c r="S405" s="51"/>
      <c r="T405" s="51"/>
      <c r="U405" s="52" t="str">
        <f aca="false">IF(OR(A405="",Q405=""),"",IF(AND(ISNUMBER(S405),S405&lt;AsOf,O405&lt;&gt;"Reviewed"),"Overdue",""))</f>
        <v/>
      </c>
      <c r="V405" s="54" t="str">
        <f aca="false">IF(A405="","",IF(COUNTIF(QA_ID,A405)&gt;1,"CHECK: duplicate ID",IF(B405="","CHECK: Supplier ID missing",IF(COUNTIF(INV_ID,B405)=0,"CHECK: Supplier ID not in inventory",IF(E405="","CHECK: Question ID missing",IF(COUNTIF(QB_ID,E405)=0,"CHECK: Question ID not in bank","OK"))))))</f>
        <v/>
      </c>
    </row>
    <row r="406" customFormat="false" ht="15" hidden="false" customHeight="false" outlineLevel="0" collapsed="false">
      <c r="A406" s="50"/>
      <c r="B406" s="50"/>
      <c r="C406" s="59" t="str">
        <f aca="false">IF(B406="","",IFERROR(INDEX(INV_NAME,MATCH(B406,INV_ID,0)),"CHECK: Supplier ID not found"))</f>
        <v/>
      </c>
      <c r="D406" s="63" t="str">
        <f aca="false">IF(B406="","",IFERROR(INDEX(INV_TIER,MATCH(B406,INV_ID,0)),""))</f>
        <v/>
      </c>
      <c r="E406" s="50"/>
      <c r="F406" s="59" t="str">
        <f aca="false">IF(E406="","",IFERROR(INDEX(QB_Q,MATCH(E406,QB_ID,0)),"CHECK: Question ID not found"))</f>
        <v/>
      </c>
      <c r="G406" s="59" t="str">
        <f aca="false">IF(E406="","",IFERROR(INDEX(QB_DOMAIN,MATCH(E406,QB_ID,0)),""))</f>
        <v/>
      </c>
      <c r="H406" s="54" t="str">
        <f aca="false">IF(OR(A406="",E406=""),"",IFERROR(IF(ISNUMBER(MATCH(D406,{"Low","Medium","High"},0)),IF(MATCH(D406,{"Low","Medium","High"},0)&gt;=MATCH(INDEX(QB_MINTIER,MATCH(E406,QB_ID,0)),{"Low","Medium","High"},0),"Recommended for tier","Optional for tier"),"Tier not determined"),"Check question"))</f>
        <v/>
      </c>
      <c r="I406" s="34"/>
      <c r="J406" s="50"/>
      <c r="K406" s="34"/>
      <c r="L406" s="34"/>
      <c r="M406" s="62" t="str">
        <f aca="false">IF(L406="","",SUMPRODUCT(ISNUMBER(SEARCH(","&amp;EV_ID&amp;",",","&amp;SUBSTITUTE(L406," ","")&amp;","))*(EV_ID&lt;&gt;"")))</f>
        <v/>
      </c>
      <c r="N406" s="54" t="str">
        <f aca="false">IF(A406="","",IF(I406&lt;&gt;"Applicable",IF(I406="","Applicability not set","Not in scope ("&amp;I406&amp;")"),IF(OR(J406="",J406="Not answered"),"Awaiting supplier response",IF(J406="Not applicable","Supplier states not applicable - analyst to confirm",IF(L406="","Evidence insufficient - none referenced",IF(M406=0,"Evidence insufficient - referenced ID not found",IF(SUMPRODUCT(ISNUMBER(SEARCH(","&amp;EV_ID&amp;",",","&amp;SUBSTITUTE(L406," ","")&amp;","))*(EV_ID&lt;&gt;"")*(EV_SUFF="Sufficient"))&gt;0,"Evidence reviewed - sufficient",IF(SUMPRODUCT(ISNUMBER(SEARCH(","&amp;EV_ID&amp;",",","&amp;SUBSTITUTE(L406," ","")&amp;","))*(EV_ID&lt;&gt;"")*(EV_SUFF="Partially sufficient"))&gt;0,"Evidence partially sufficient","Evidence insufficient - referenced evidence not sufficient"))))))))</f>
        <v/>
      </c>
      <c r="O406" s="50"/>
      <c r="P406" s="34"/>
      <c r="Q406" s="34"/>
      <c r="R406" s="50"/>
      <c r="S406" s="51"/>
      <c r="T406" s="51"/>
      <c r="U406" s="52" t="str">
        <f aca="false">IF(OR(A406="",Q406=""),"",IF(AND(ISNUMBER(S406),S406&lt;AsOf,O406&lt;&gt;"Reviewed"),"Overdue",""))</f>
        <v/>
      </c>
      <c r="V406" s="54" t="str">
        <f aca="false">IF(A406="","",IF(COUNTIF(QA_ID,A406)&gt;1,"CHECK: duplicate ID",IF(B406="","CHECK: Supplier ID missing",IF(COUNTIF(INV_ID,B406)=0,"CHECK: Supplier ID not in inventory",IF(E406="","CHECK: Question ID missing",IF(COUNTIF(QB_ID,E406)=0,"CHECK: Question ID not in bank","OK"))))))</f>
        <v/>
      </c>
    </row>
  </sheetData>
  <sheetProtection sheet="true" formatColumns="false" formatRows="false" sort="false" autoFilter="false"/>
  <conditionalFormatting sqref="F7:F406">
    <cfRule type="expression" priority="2" aboveAverage="0" equalAverage="0" bottom="0" percent="0" rank="0" text="" dxfId="0">
      <formula>OR(ISNUMBER(SEARCH("Above appetite",F7)),ISNUMBER(SEARCH("Overdue",F7)),ISNUMBER(SEARCH("Expired",F7)),ISNUMBER(SEARCH("Breach",F7)),ISNUMBER(SEARCH("CHECK",F7)),ISNUMBER(SEARCH("Not ready",F7)),ISNUMBER(SEARCH("REMAINS",F7)),ISNUMBER(SEARCH("Failed",F7)),ISNUMBER(SEARCH("Cannot assess",F7)))</formula>
    </cfRule>
    <cfRule type="expression" priority="3" aboveAverage="0" equalAverage="0" bottom="0" percent="0" rank="0" text="" dxfId="21">
      <formula>OR(ISNUMBER(SEARCH("Incomplete",F7)),ISNUMBER(SEARCH("Pending",F7)),ISNUMBER(SEARCH("Approaching",F7)),ISNUMBER(SEARCH("insufficient",F7)),ISNUMBER(SEARCH("Awaiting",F7)),ISNUMBER(SEARCH("Review due",F7)),ISNUMBER(SEARCH("Not configured",F7)),ISNUMBER(SEARCH("Not classified",F7)),ISNUMBER(SEARCH("Proposed",F7)),ISNUMBER(SEARCH("Verification",F7)),ISNUMBER(SEARCH("Scope limitation",F7)),ISNUMBER(SEARCH("Follow-up",F7)),ISNUMBER(SEARCH("Open gap",F7)),ISNUMBER(SEARCH("Delivered - verification",F7)),ISNUMBER(SEARCH("Historical",F7)),ISNUMBER(SEARCH("Not scheduled",F7)),ISNUMBER(SEARCH("Not determined",F7)),ISNUMBER(SEARCH("Decision record",F7)),ISNUMBER(SEARCH("Due soon",F7)),ISNUMBER(SEARCH("Not reviewed",F7)),ISNUMBER(SEARCH("Tier not",F7)),ISNUMBER(SEARCH("No decision",F7)),ISNUMBER(SEARCH("Superseded",F7)),ISNUMBER(SEARCH("Optional",F7)),ISNUMBER(SEARCH("legal review",F7)),ISNUMBER(SEARCH("No treatment",F7)),ISNUMBER(SEARCH("not recorded",F7)),ISNUMBER(SEARCH("consider",F7)),ISNUMBER(SEARCH("Not set",F7)),ISNUMBER(SEARCH("Not started",F7)),ISNUMBER(SEARCH("No expiry",F7)),ISNUMBER(SEARCH("No KRI",F7)),ISNUMBER(SEARCH("no reassessment",F7)),ISNUMBER(SEARCH("Applicability",F7)),ISNUMBER(SEARCH("Not current",F7)),ISNUMBER(SEARCH("assess relevance",F7)))</formula>
    </cfRule>
    <cfRule type="expression" priority="4" aboveAverage="0" equalAverage="0" bottom="0" percent="0" rank="0" text="" dxfId="22">
      <formula>OR(LEFT(F7,2)="OK",LEFT(F7,8)="Complete",LEFT(F7,7)="Current",LEFT(F7,10)="Authorised",LEFT(F7,6)="Within",LEFT(F7,11)="On schedule",LEFT(F7,17)="Ready for closure",LEFT(F7,17)="Evidence reviewed",LEFT(F7,19)="Decision referenced",LEFT(F7,27)="Reassessment event recorded",LEFT(F7,14)="Period current",LEFT(F7,17)="Gap dispositioned",LEFT(F7,17)="Reviewed - no gap",LEFT(F7,11)="Recommended",LEFT(F7,17)="Closed - verified")</formula>
    </cfRule>
  </conditionalFormatting>
  <conditionalFormatting sqref="G7:G406">
    <cfRule type="expression" priority="5" aboveAverage="0" equalAverage="0" bottom="0" percent="0" rank="0" text="" dxfId="0">
      <formula>OR(ISNUMBER(SEARCH("Above appetite",G7)),ISNUMBER(SEARCH("Overdue",G7)),ISNUMBER(SEARCH("Expired",G7)),ISNUMBER(SEARCH("Breach",G7)),ISNUMBER(SEARCH("CHECK",G7)),ISNUMBER(SEARCH("Not ready",G7)),ISNUMBER(SEARCH("REMAINS",G7)),ISNUMBER(SEARCH("Failed",G7)),ISNUMBER(SEARCH("Cannot assess",G7)))</formula>
    </cfRule>
    <cfRule type="expression" priority="6" aboveAverage="0" equalAverage="0" bottom="0" percent="0" rank="0" text="" dxfId="21">
      <formula>OR(ISNUMBER(SEARCH("Incomplete",G7)),ISNUMBER(SEARCH("Pending",G7)),ISNUMBER(SEARCH("Approaching",G7)),ISNUMBER(SEARCH("insufficient",G7)),ISNUMBER(SEARCH("Awaiting",G7)),ISNUMBER(SEARCH("Review due",G7)),ISNUMBER(SEARCH("Not configured",G7)),ISNUMBER(SEARCH("Not classified",G7)),ISNUMBER(SEARCH("Proposed",G7)),ISNUMBER(SEARCH("Verification",G7)),ISNUMBER(SEARCH("Scope limitation",G7)),ISNUMBER(SEARCH("Follow-up",G7)),ISNUMBER(SEARCH("Open gap",G7)),ISNUMBER(SEARCH("Delivered - verification",G7)),ISNUMBER(SEARCH("Historical",G7)),ISNUMBER(SEARCH("Not scheduled",G7)),ISNUMBER(SEARCH("Not determined",G7)),ISNUMBER(SEARCH("Decision record",G7)),ISNUMBER(SEARCH("Due soon",G7)),ISNUMBER(SEARCH("Not reviewed",G7)),ISNUMBER(SEARCH("Tier not",G7)),ISNUMBER(SEARCH("No decision",G7)),ISNUMBER(SEARCH("Superseded",G7)),ISNUMBER(SEARCH("Optional",G7)),ISNUMBER(SEARCH("legal review",G7)),ISNUMBER(SEARCH("No treatment",G7)),ISNUMBER(SEARCH("not recorded",G7)),ISNUMBER(SEARCH("consider",G7)),ISNUMBER(SEARCH("Not set",G7)),ISNUMBER(SEARCH("Not started",G7)),ISNUMBER(SEARCH("No expiry",G7)),ISNUMBER(SEARCH("No KRI",G7)),ISNUMBER(SEARCH("no reassessment",G7)),ISNUMBER(SEARCH("Applicability",G7)),ISNUMBER(SEARCH("Not current",G7)),ISNUMBER(SEARCH("assess relevance",G7)))</formula>
    </cfRule>
    <cfRule type="expression" priority="7" aboveAverage="0" equalAverage="0" bottom="0" percent="0" rank="0" text="" dxfId="22">
      <formula>OR(LEFT(G7,2)="OK",LEFT(G7,8)="Complete",LEFT(G7,7)="Current",LEFT(G7,10)="Authorised",LEFT(G7,6)="Within",LEFT(G7,11)="On schedule",LEFT(G7,17)="Ready for closure",LEFT(G7,17)="Evidence reviewed",LEFT(G7,19)="Decision referenced",LEFT(G7,27)="Reassessment event recorded",LEFT(G7,14)="Period current",LEFT(G7,17)="Gap dispositioned",LEFT(G7,17)="Reviewed - no gap",LEFT(G7,11)="Recommended",LEFT(G7,17)="Closed - verified")</formula>
    </cfRule>
  </conditionalFormatting>
  <conditionalFormatting sqref="H7:H406">
    <cfRule type="expression" priority="8" aboveAverage="0" equalAverage="0" bottom="0" percent="0" rank="0" text="" dxfId="0">
      <formula>OR(ISNUMBER(SEARCH("Above appetite",H7)),ISNUMBER(SEARCH("Overdue",H7)),ISNUMBER(SEARCH("Expired",H7)),ISNUMBER(SEARCH("Breach",H7)),ISNUMBER(SEARCH("CHECK",H7)),ISNUMBER(SEARCH("Not ready",H7)),ISNUMBER(SEARCH("REMAINS",H7)),ISNUMBER(SEARCH("Failed",H7)),ISNUMBER(SEARCH("Cannot assess",H7)))</formula>
    </cfRule>
    <cfRule type="expression" priority="9" aboveAverage="0" equalAverage="0" bottom="0" percent="0" rank="0" text="" dxfId="21">
      <formula>OR(ISNUMBER(SEARCH("Incomplete",H7)),ISNUMBER(SEARCH("Pending",H7)),ISNUMBER(SEARCH("Approaching",H7)),ISNUMBER(SEARCH("insufficient",H7)),ISNUMBER(SEARCH("Awaiting",H7)),ISNUMBER(SEARCH("Review due",H7)),ISNUMBER(SEARCH("Not configured",H7)),ISNUMBER(SEARCH("Not classified",H7)),ISNUMBER(SEARCH("Proposed",H7)),ISNUMBER(SEARCH("Verification",H7)),ISNUMBER(SEARCH("Scope limitation",H7)),ISNUMBER(SEARCH("Follow-up",H7)),ISNUMBER(SEARCH("Open gap",H7)),ISNUMBER(SEARCH("Delivered - verification",H7)),ISNUMBER(SEARCH("Historical",H7)),ISNUMBER(SEARCH("Not scheduled",H7)),ISNUMBER(SEARCH("Not determined",H7)),ISNUMBER(SEARCH("Decision record",H7)),ISNUMBER(SEARCH("Due soon",H7)),ISNUMBER(SEARCH("Not reviewed",H7)),ISNUMBER(SEARCH("Tier not",H7)),ISNUMBER(SEARCH("No decision",H7)),ISNUMBER(SEARCH("Superseded",H7)),ISNUMBER(SEARCH("Optional",H7)),ISNUMBER(SEARCH("legal review",H7)),ISNUMBER(SEARCH("No treatment",H7)),ISNUMBER(SEARCH("not recorded",H7)),ISNUMBER(SEARCH("consider",H7)),ISNUMBER(SEARCH("Not set",H7)),ISNUMBER(SEARCH("Not started",H7)),ISNUMBER(SEARCH("No expiry",H7)),ISNUMBER(SEARCH("No KRI",H7)),ISNUMBER(SEARCH("no reassessment",H7)),ISNUMBER(SEARCH("Applicability",H7)),ISNUMBER(SEARCH("Not current",H7)),ISNUMBER(SEARCH("assess relevance",H7)))</formula>
    </cfRule>
    <cfRule type="expression" priority="10" aboveAverage="0" equalAverage="0" bottom="0" percent="0" rank="0" text="" dxfId="22">
      <formula>OR(LEFT(H7,2)="OK",LEFT(H7,8)="Complete",LEFT(H7,7)="Current",LEFT(H7,10)="Authorised",LEFT(H7,6)="Within",LEFT(H7,11)="On schedule",LEFT(H7,17)="Ready for closure",LEFT(H7,17)="Evidence reviewed",LEFT(H7,19)="Decision referenced",LEFT(H7,27)="Reassessment event recorded",LEFT(H7,14)="Period current",LEFT(H7,17)="Gap dispositioned",LEFT(H7,17)="Reviewed - no gap",LEFT(H7,11)="Recommended",LEFT(H7,17)="Closed - verified")</formula>
    </cfRule>
  </conditionalFormatting>
  <conditionalFormatting sqref="M7:M406">
    <cfRule type="expression" priority="11" aboveAverage="0" equalAverage="0" bottom="0" percent="0" rank="0" text="" dxfId="0">
      <formula>OR(ISNUMBER(SEARCH("Above appetite",M7)),ISNUMBER(SEARCH("Overdue",M7)),ISNUMBER(SEARCH("Expired",M7)),ISNUMBER(SEARCH("Breach",M7)),ISNUMBER(SEARCH("CHECK",M7)),ISNUMBER(SEARCH("Not ready",M7)),ISNUMBER(SEARCH("REMAINS",M7)),ISNUMBER(SEARCH("Failed",M7)),ISNUMBER(SEARCH("Cannot assess",M7)))</formula>
    </cfRule>
    <cfRule type="expression" priority="12" aboveAverage="0" equalAverage="0" bottom="0" percent="0" rank="0" text="" dxfId="21">
      <formula>OR(ISNUMBER(SEARCH("Incomplete",M7)),ISNUMBER(SEARCH("Pending",M7)),ISNUMBER(SEARCH("Approaching",M7)),ISNUMBER(SEARCH("insufficient",M7)),ISNUMBER(SEARCH("Awaiting",M7)),ISNUMBER(SEARCH("Review due",M7)),ISNUMBER(SEARCH("Not configured",M7)),ISNUMBER(SEARCH("Not classified",M7)),ISNUMBER(SEARCH("Proposed",M7)),ISNUMBER(SEARCH("Verification",M7)),ISNUMBER(SEARCH("Scope limitation",M7)),ISNUMBER(SEARCH("Follow-up",M7)),ISNUMBER(SEARCH("Open gap",M7)),ISNUMBER(SEARCH("Delivered - verification",M7)),ISNUMBER(SEARCH("Historical",M7)),ISNUMBER(SEARCH("Not scheduled",M7)),ISNUMBER(SEARCH("Not determined",M7)),ISNUMBER(SEARCH("Decision record",M7)),ISNUMBER(SEARCH("Due soon",M7)),ISNUMBER(SEARCH("Not reviewed",M7)),ISNUMBER(SEARCH("Tier not",M7)),ISNUMBER(SEARCH("No decision",M7)),ISNUMBER(SEARCH("Superseded",M7)),ISNUMBER(SEARCH("Optional",M7)),ISNUMBER(SEARCH("legal review",M7)),ISNUMBER(SEARCH("No treatment",M7)),ISNUMBER(SEARCH("not recorded",M7)),ISNUMBER(SEARCH("consider",M7)),ISNUMBER(SEARCH("Not set",M7)),ISNUMBER(SEARCH("Not started",M7)),ISNUMBER(SEARCH("No expiry",M7)),ISNUMBER(SEARCH("No KRI",M7)),ISNUMBER(SEARCH("no reassessment",M7)),ISNUMBER(SEARCH("Applicability",M7)),ISNUMBER(SEARCH("Not current",M7)),ISNUMBER(SEARCH("assess relevance",M7)))</formula>
    </cfRule>
    <cfRule type="expression" priority="13" aboveAverage="0" equalAverage="0" bottom="0" percent="0" rank="0" text="" dxfId="22">
      <formula>OR(LEFT(M7,2)="OK",LEFT(M7,8)="Complete",LEFT(M7,7)="Current",LEFT(M7,10)="Authorised",LEFT(M7,6)="Within",LEFT(M7,11)="On schedule",LEFT(M7,17)="Ready for closure",LEFT(M7,17)="Evidence reviewed",LEFT(M7,19)="Decision referenced",LEFT(M7,27)="Reassessment event recorded",LEFT(M7,14)="Period current",LEFT(M7,17)="Gap dispositioned",LEFT(M7,17)="Reviewed - no gap",LEFT(M7,11)="Recommended",LEFT(M7,17)="Closed - verified")</formula>
    </cfRule>
  </conditionalFormatting>
  <conditionalFormatting sqref="N7:N406">
    <cfRule type="expression" priority="14" aboveAverage="0" equalAverage="0" bottom="0" percent="0" rank="0" text="" dxfId="0">
      <formula>OR(ISNUMBER(SEARCH("Above appetite",N7)),ISNUMBER(SEARCH("Overdue",N7)),ISNUMBER(SEARCH("Expired",N7)),ISNUMBER(SEARCH("Breach",N7)),ISNUMBER(SEARCH("CHECK",N7)),ISNUMBER(SEARCH("Not ready",N7)),ISNUMBER(SEARCH("REMAINS",N7)),ISNUMBER(SEARCH("Failed",N7)),ISNUMBER(SEARCH("Cannot assess",N7)))</formula>
    </cfRule>
    <cfRule type="expression" priority="15" aboveAverage="0" equalAverage="0" bottom="0" percent="0" rank="0" text="" dxfId="21">
      <formula>OR(ISNUMBER(SEARCH("Incomplete",N7)),ISNUMBER(SEARCH("Pending",N7)),ISNUMBER(SEARCH("Approaching",N7)),ISNUMBER(SEARCH("insufficient",N7)),ISNUMBER(SEARCH("Awaiting",N7)),ISNUMBER(SEARCH("Review due",N7)),ISNUMBER(SEARCH("Not configured",N7)),ISNUMBER(SEARCH("Not classified",N7)),ISNUMBER(SEARCH("Proposed",N7)),ISNUMBER(SEARCH("Verification",N7)),ISNUMBER(SEARCH("Scope limitation",N7)),ISNUMBER(SEARCH("Follow-up",N7)),ISNUMBER(SEARCH("Open gap",N7)),ISNUMBER(SEARCH("Delivered - verification",N7)),ISNUMBER(SEARCH("Historical",N7)),ISNUMBER(SEARCH("Not scheduled",N7)),ISNUMBER(SEARCH("Not determined",N7)),ISNUMBER(SEARCH("Decision record",N7)),ISNUMBER(SEARCH("Due soon",N7)),ISNUMBER(SEARCH("Not reviewed",N7)),ISNUMBER(SEARCH("Tier not",N7)),ISNUMBER(SEARCH("No decision",N7)),ISNUMBER(SEARCH("Superseded",N7)),ISNUMBER(SEARCH("Optional",N7)),ISNUMBER(SEARCH("legal review",N7)),ISNUMBER(SEARCH("No treatment",N7)),ISNUMBER(SEARCH("not recorded",N7)),ISNUMBER(SEARCH("consider",N7)),ISNUMBER(SEARCH("Not set",N7)),ISNUMBER(SEARCH("Not started",N7)),ISNUMBER(SEARCH("No expiry",N7)),ISNUMBER(SEARCH("No KRI",N7)),ISNUMBER(SEARCH("no reassessment",N7)),ISNUMBER(SEARCH("Applicability",N7)),ISNUMBER(SEARCH("Not current",N7)),ISNUMBER(SEARCH("assess relevance",N7)))</formula>
    </cfRule>
    <cfRule type="expression" priority="16" aboveAverage="0" equalAverage="0" bottom="0" percent="0" rank="0" text="" dxfId="22">
      <formula>OR(LEFT(N7,2)="OK",LEFT(N7,8)="Complete",LEFT(N7,7)="Current",LEFT(N7,10)="Authorised",LEFT(N7,6)="Within",LEFT(N7,11)="On schedule",LEFT(N7,17)="Ready for closure",LEFT(N7,17)="Evidence reviewed",LEFT(N7,19)="Decision referenced",LEFT(N7,27)="Reassessment event recorded",LEFT(N7,14)="Period current",LEFT(N7,17)="Gap dispositioned",LEFT(N7,17)="Reviewed - no gap",LEFT(N7,11)="Recommended",LEFT(N7,17)="Closed - verified")</formula>
    </cfRule>
  </conditionalFormatting>
  <conditionalFormatting sqref="U7:U406">
    <cfRule type="expression" priority="17" aboveAverage="0" equalAverage="0" bottom="0" percent="0" rank="0" text="" dxfId="0">
      <formula>OR(ISNUMBER(SEARCH("Above appetite",U7)),ISNUMBER(SEARCH("Overdue",U7)),ISNUMBER(SEARCH("Expired",U7)),ISNUMBER(SEARCH("Breach",U7)),ISNUMBER(SEARCH("CHECK",U7)),ISNUMBER(SEARCH("Not ready",U7)),ISNUMBER(SEARCH("REMAINS",U7)),ISNUMBER(SEARCH("Failed",U7)),ISNUMBER(SEARCH("Cannot assess",U7)))</formula>
    </cfRule>
    <cfRule type="expression" priority="18" aboveAverage="0" equalAverage="0" bottom="0" percent="0" rank="0" text="" dxfId="21">
      <formula>OR(ISNUMBER(SEARCH("Incomplete",U7)),ISNUMBER(SEARCH("Pending",U7)),ISNUMBER(SEARCH("Approaching",U7)),ISNUMBER(SEARCH("insufficient",U7)),ISNUMBER(SEARCH("Awaiting",U7)),ISNUMBER(SEARCH("Review due",U7)),ISNUMBER(SEARCH("Not configured",U7)),ISNUMBER(SEARCH("Not classified",U7)),ISNUMBER(SEARCH("Proposed",U7)),ISNUMBER(SEARCH("Verification",U7)),ISNUMBER(SEARCH("Scope limitation",U7)),ISNUMBER(SEARCH("Follow-up",U7)),ISNUMBER(SEARCH("Open gap",U7)),ISNUMBER(SEARCH("Delivered - verification",U7)),ISNUMBER(SEARCH("Historical",U7)),ISNUMBER(SEARCH("Not scheduled",U7)),ISNUMBER(SEARCH("Not determined",U7)),ISNUMBER(SEARCH("Decision record",U7)),ISNUMBER(SEARCH("Due soon",U7)),ISNUMBER(SEARCH("Not reviewed",U7)),ISNUMBER(SEARCH("Tier not",U7)),ISNUMBER(SEARCH("No decision",U7)),ISNUMBER(SEARCH("Superseded",U7)),ISNUMBER(SEARCH("Optional",U7)),ISNUMBER(SEARCH("legal review",U7)),ISNUMBER(SEARCH("No treatment",U7)),ISNUMBER(SEARCH("not recorded",U7)),ISNUMBER(SEARCH("consider",U7)),ISNUMBER(SEARCH("Not set",U7)),ISNUMBER(SEARCH("Not started",U7)),ISNUMBER(SEARCH("No expiry",U7)),ISNUMBER(SEARCH("No KRI",U7)),ISNUMBER(SEARCH("no reassessment",U7)),ISNUMBER(SEARCH("Applicability",U7)),ISNUMBER(SEARCH("Not current",U7)),ISNUMBER(SEARCH("assess relevance",U7)))</formula>
    </cfRule>
    <cfRule type="expression" priority="19" aboveAverage="0" equalAverage="0" bottom="0" percent="0" rank="0" text="" dxfId="22">
      <formula>OR(LEFT(U7,2)="OK",LEFT(U7,8)="Complete",LEFT(U7,7)="Current",LEFT(U7,10)="Authorised",LEFT(U7,6)="Within",LEFT(U7,11)="On schedule",LEFT(U7,17)="Ready for closure",LEFT(U7,17)="Evidence reviewed",LEFT(U7,19)="Decision referenced",LEFT(U7,27)="Reassessment event recorded",LEFT(U7,14)="Period current",LEFT(U7,17)="Gap dispositioned",LEFT(U7,17)="Reviewed - no gap",LEFT(U7,11)="Recommended",LEFT(U7,17)="Closed - verified")</formula>
    </cfRule>
  </conditionalFormatting>
  <conditionalFormatting sqref="V7:V406">
    <cfRule type="expression" priority="20" aboveAverage="0" equalAverage="0" bottom="0" percent="0" rank="0" text="" dxfId="0">
      <formula>OR(ISNUMBER(SEARCH("Above appetite",V7)),ISNUMBER(SEARCH("Overdue",V7)),ISNUMBER(SEARCH("Expired",V7)),ISNUMBER(SEARCH("Breach",V7)),ISNUMBER(SEARCH("CHECK",V7)),ISNUMBER(SEARCH("Not ready",V7)),ISNUMBER(SEARCH("REMAINS",V7)),ISNUMBER(SEARCH("Failed",V7)),ISNUMBER(SEARCH("Cannot assess",V7)))</formula>
    </cfRule>
    <cfRule type="expression" priority="21" aboveAverage="0" equalAverage="0" bottom="0" percent="0" rank="0" text="" dxfId="21">
      <formula>OR(ISNUMBER(SEARCH("Incomplete",V7)),ISNUMBER(SEARCH("Pending",V7)),ISNUMBER(SEARCH("Approaching",V7)),ISNUMBER(SEARCH("insufficient",V7)),ISNUMBER(SEARCH("Awaiting",V7)),ISNUMBER(SEARCH("Review due",V7)),ISNUMBER(SEARCH("Not configured",V7)),ISNUMBER(SEARCH("Not classified",V7)),ISNUMBER(SEARCH("Proposed",V7)),ISNUMBER(SEARCH("Verification",V7)),ISNUMBER(SEARCH("Scope limitation",V7)),ISNUMBER(SEARCH("Follow-up",V7)),ISNUMBER(SEARCH("Open gap",V7)),ISNUMBER(SEARCH("Delivered - verification",V7)),ISNUMBER(SEARCH("Historical",V7)),ISNUMBER(SEARCH("Not scheduled",V7)),ISNUMBER(SEARCH("Not determined",V7)),ISNUMBER(SEARCH("Decision record",V7)),ISNUMBER(SEARCH("Due soon",V7)),ISNUMBER(SEARCH("Not reviewed",V7)),ISNUMBER(SEARCH("Tier not",V7)),ISNUMBER(SEARCH("No decision",V7)),ISNUMBER(SEARCH("Superseded",V7)),ISNUMBER(SEARCH("Optional",V7)),ISNUMBER(SEARCH("legal review",V7)),ISNUMBER(SEARCH("No treatment",V7)),ISNUMBER(SEARCH("not recorded",V7)),ISNUMBER(SEARCH("consider",V7)),ISNUMBER(SEARCH("Not set",V7)),ISNUMBER(SEARCH("Not started",V7)),ISNUMBER(SEARCH("No expiry",V7)),ISNUMBER(SEARCH("No KRI",V7)),ISNUMBER(SEARCH("no reassessment",V7)),ISNUMBER(SEARCH("Applicability",V7)),ISNUMBER(SEARCH("Not current",V7)),ISNUMBER(SEARCH("assess relevance",V7)))</formula>
    </cfRule>
    <cfRule type="expression" priority="22" aboveAverage="0" equalAverage="0" bottom="0" percent="0" rank="0" text="" dxfId="22">
      <formula>OR(LEFT(V7,2)="OK",LEFT(V7,8)="Complete",LEFT(V7,7)="Current",LEFT(V7,10)="Authorised",LEFT(V7,6)="Within",LEFT(V7,11)="On schedule",LEFT(V7,17)="Ready for closure",LEFT(V7,17)="Evidence reviewed",LEFT(V7,19)="Decision referenced",LEFT(V7,27)="Reassessment event recorded",LEFT(V7,14)="Period current",LEFT(V7,17)="Gap dispositioned",LEFT(V7,17)="Reviewed - no gap",LEFT(V7,11)="Recommended",LEFT(V7,17)="Closed - verified")</formula>
    </cfRule>
  </conditionalFormatting>
  <conditionalFormatting sqref="A7:A406">
    <cfRule type="expression" priority="23" aboveAverage="0" equalAverage="0" bottom="0" percent="0" rank="0" text="" dxfId="0">
      <formula>AND(A7&lt;&gt;"",COUNTIF($A$7:$A$406,A7)&gt;1)</formula>
    </cfRule>
  </conditionalFormatting>
  <dataValidations count="6">
    <dataValidation allowBlank="true" error="Enter a valid date (on or after 1 Jan 2000)." errorStyle="stop" errorTitle="Invalid date" operator="greaterThanOrEqual" showDropDown="false" showErrorMessage="true" showInputMessage="false" sqref="S7:T406" type="date">
      <formula1>36526</formula1>
      <formula2>0</formula2>
    </dataValidation>
    <dataValidation allowBlank="true" error="Choose a value from the list (controlled vocabulary or an existing ID)." errorStyle="stop" errorTitle="Invalid entry" operator="between" showDropDown="false" showErrorMessage="true" showInputMessage="false" sqref="B7:B406" type="list">
      <formula1>INV_ID</formula1>
      <formula2>0</formula2>
    </dataValidation>
    <dataValidation allowBlank="true" error="Choose a value from the list (controlled vocabulary or an existing ID)." errorStyle="stop" errorTitle="Invalid entry" operator="between" showDropDown="false" showErrorMessage="true" showInputMessage="false" sqref="E7:E406" type="list">
      <formula1>QB_ID</formula1>
      <formula2>0</formula2>
    </dataValidation>
    <dataValidation allowBlank="true" error="Choose a value from the list (controlled vocabulary or an existing ID)." errorStyle="stop" errorTitle="Invalid entry" operator="between" showDropDown="false" showErrorMessage="true" showInputMessage="false" sqref="I7:I406" type="list">
      <formula1>L_Applic</formula1>
      <formula2>0</formula2>
    </dataValidation>
    <dataValidation allowBlank="true" error="Choose a value from the list (controlled vocabulary or an existing ID)." errorStyle="stop" errorTitle="Invalid entry" operator="between" showDropDown="false" showErrorMessage="true" showInputMessage="false" sqref="J7:J406" type="list">
      <formula1>L_Response</formula1>
      <formula2>0</formula2>
    </dataValidation>
    <dataValidation allowBlank="true" error="Choose a value from the list (controlled vocabulary or an existing ID)." errorStyle="stop" errorTitle="Invalid entry" operator="between" showDropDown="false" showErrorMessage="true" showInputMessage="false" sqref="O7:O406" type="list">
      <formula1>L_AnalystReview</formula1>
      <formula2>0</formula2>
    </dataValidation>
  </dataValidations>
  <hyperlinks>
    <hyperlink ref="H1" r:id="rId1" location="'01%20Start%20Here'!A1" display="&lt;&lt; Back to Start Here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tableParts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AB20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6" topLeftCell="C7" activePane="bottomRight" state="frozen"/>
      <selection pane="topLeft" activeCell="A1" activeCellId="0" sqref="A1"/>
      <selection pane="topRight" activeCell="C1" activeCellId="0" sqref="C1"/>
      <selection pane="bottomLeft" activeCell="A7" activeCellId="0" sqref="A7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11"/>
    <col collapsed="false" customWidth="true" hidden="false" outlineLevel="0" max="2" min="2" style="1" width="12"/>
    <col collapsed="false" customWidth="true" hidden="false" outlineLevel="0" max="4" min="3" style="1" width="22"/>
    <col collapsed="false" customWidth="true" hidden="false" outlineLevel="0" max="5" min="5" style="1" width="24"/>
    <col collapsed="false" customWidth="true" hidden="false" outlineLevel="0" max="6" min="6" style="1" width="32"/>
    <col collapsed="false" customWidth="true" hidden="false" outlineLevel="0" max="7" min="7" style="1" width="22"/>
    <col collapsed="false" customWidth="true" hidden="false" outlineLevel="0" max="8" min="8" style="1" width="13"/>
    <col collapsed="false" customWidth="true" hidden="false" outlineLevel="0" max="10" min="9" style="1" width="14"/>
    <col collapsed="false" customWidth="true" hidden="false" outlineLevel="0" max="11" min="11" style="1" width="13"/>
    <col collapsed="false" customWidth="true" hidden="false" outlineLevel="0" max="13" min="12" style="1" width="28"/>
    <col collapsed="false" customWidth="true" hidden="false" outlineLevel="0" max="15" min="14" style="1" width="17"/>
    <col collapsed="false" customWidth="true" hidden="false" outlineLevel="0" max="16" min="16" style="1" width="32"/>
    <col collapsed="false" customWidth="true" hidden="false" outlineLevel="0" max="17" min="17" style="1" width="28"/>
    <col collapsed="false" customWidth="true" hidden="false" outlineLevel="0" max="18" min="18" style="1" width="12"/>
    <col collapsed="false" customWidth="true" hidden="false" outlineLevel="0" max="19" min="19" style="1" width="16"/>
    <col collapsed="false" customWidth="true" hidden="false" outlineLevel="0" max="20" min="20" style="1" width="13"/>
    <col collapsed="false" customWidth="true" hidden="false" outlineLevel="0" max="21" min="21" style="1" width="28"/>
    <col collapsed="false" customWidth="true" hidden="false" outlineLevel="0" max="22" min="22" style="1" width="13"/>
    <col collapsed="false" customWidth="true" hidden="false" outlineLevel="0" max="23" min="23" style="1" width="34"/>
    <col collapsed="false" customWidth="true" hidden="false" outlineLevel="0" max="24" min="24" style="1" width="16"/>
    <col collapsed="false" customWidth="true" hidden="false" outlineLevel="0" max="25" min="25" style="1" width="18"/>
    <col collapsed="false" customWidth="true" hidden="false" outlineLevel="0" max="26" min="26" style="1" width="16"/>
    <col collapsed="false" customWidth="true" hidden="false" outlineLevel="0" max="27" min="27" style="1" width="26"/>
    <col collapsed="false" customWidth="true" hidden="true" outlineLevel="0" max="28" min="28" style="1" width="10"/>
  </cols>
  <sheetData>
    <row r="1" customFormat="false" ht="17.35" hidden="false" customHeight="false" outlineLevel="0" collapsed="false">
      <c r="A1" s="22" t="s">
        <v>20</v>
      </c>
      <c r="H1" s="10" t="s">
        <v>100</v>
      </c>
    </row>
    <row r="2" customFormat="false" ht="15" hidden="false" customHeight="false" outlineLevel="0" collapsed="false">
      <c r="A2" s="3" t="s">
        <v>1231</v>
      </c>
    </row>
    <row r="3" customFormat="false" ht="15" hidden="false" customHeight="false" outlineLevel="0" collapsed="false">
      <c r="A3" s="4" t="s">
        <v>1232</v>
      </c>
    </row>
    <row r="4" customFormat="false" ht="24" hidden="false" customHeight="true" outlineLevel="0" collapsed="false">
      <c r="A4" s="45" t="s">
        <v>69</v>
      </c>
      <c r="B4" s="45" t="s">
        <v>69</v>
      </c>
      <c r="C4" s="55" t="s">
        <v>73</v>
      </c>
      <c r="D4" s="45" t="s">
        <v>69</v>
      </c>
      <c r="E4" s="45" t="s">
        <v>69</v>
      </c>
      <c r="F4" s="45" t="s">
        <v>69</v>
      </c>
      <c r="G4" s="45" t="s">
        <v>69</v>
      </c>
      <c r="H4" s="45" t="s">
        <v>69</v>
      </c>
      <c r="I4" s="45" t="s">
        <v>69</v>
      </c>
      <c r="J4" s="45" t="s">
        <v>69</v>
      </c>
      <c r="K4" s="45" t="s">
        <v>69</v>
      </c>
      <c r="L4" s="45" t="s">
        <v>69</v>
      </c>
      <c r="M4" s="45" t="s">
        <v>69</v>
      </c>
      <c r="N4" s="45" t="s">
        <v>69</v>
      </c>
      <c r="O4" s="45" t="s">
        <v>69</v>
      </c>
      <c r="P4" s="45" t="s">
        <v>69</v>
      </c>
      <c r="Q4" s="45" t="s">
        <v>69</v>
      </c>
      <c r="R4" s="45" t="s">
        <v>69</v>
      </c>
      <c r="S4" s="45" t="s">
        <v>69</v>
      </c>
      <c r="T4" s="45" t="s">
        <v>69</v>
      </c>
      <c r="U4" s="45" t="s">
        <v>69</v>
      </c>
      <c r="V4" s="45" t="s">
        <v>69</v>
      </c>
      <c r="W4" s="46" t="s">
        <v>442</v>
      </c>
      <c r="X4" s="46" t="s">
        <v>442</v>
      </c>
      <c r="Y4" s="46" t="s">
        <v>442</v>
      </c>
      <c r="Z4" s="46" t="s">
        <v>442</v>
      </c>
      <c r="AA4" s="46" t="s">
        <v>442</v>
      </c>
      <c r="AB4" s="46" t="s">
        <v>442</v>
      </c>
    </row>
    <row r="5" customFormat="false" ht="30" hidden="false" customHeight="true" outlineLevel="0" collapsed="false">
      <c r="A5" s="47" t="s">
        <v>1233</v>
      </c>
      <c r="B5" s="47" t="s">
        <v>443</v>
      </c>
      <c r="C5" s="47"/>
      <c r="D5" s="47" t="s">
        <v>1234</v>
      </c>
      <c r="E5" s="47" t="s">
        <v>1235</v>
      </c>
      <c r="F5" s="47"/>
      <c r="G5" s="47"/>
      <c r="H5" s="47" t="s">
        <v>1236</v>
      </c>
      <c r="I5" s="47" t="s">
        <v>1237</v>
      </c>
      <c r="J5" s="47" t="s">
        <v>1238</v>
      </c>
      <c r="K5" s="47" t="s">
        <v>1239</v>
      </c>
      <c r="L5" s="47"/>
      <c r="M5" s="47"/>
      <c r="N5" s="47" t="s">
        <v>1240</v>
      </c>
      <c r="O5" s="47" t="s">
        <v>1241</v>
      </c>
      <c r="P5" s="47"/>
      <c r="Q5" s="47"/>
      <c r="R5" s="47" t="s">
        <v>1242</v>
      </c>
      <c r="S5" s="47"/>
      <c r="T5" s="47" t="s">
        <v>1146</v>
      </c>
      <c r="U5" s="47"/>
      <c r="V5" s="47" t="s">
        <v>1243</v>
      </c>
      <c r="W5" s="47"/>
      <c r="X5" s="47"/>
      <c r="Y5" s="47"/>
      <c r="Z5" s="47"/>
      <c r="AA5" s="47"/>
      <c r="AB5" s="47"/>
    </row>
    <row r="6" customFormat="false" ht="48" hidden="false" customHeight="true" outlineLevel="0" collapsed="false">
      <c r="A6" s="48" t="s">
        <v>1244</v>
      </c>
      <c r="B6" s="48" t="s">
        <v>456</v>
      </c>
      <c r="C6" s="57" t="s">
        <v>538</v>
      </c>
      <c r="D6" s="48" t="s">
        <v>1245</v>
      </c>
      <c r="E6" s="48" t="s">
        <v>1246</v>
      </c>
      <c r="F6" s="48" t="s">
        <v>1247</v>
      </c>
      <c r="G6" s="48" t="s">
        <v>1248</v>
      </c>
      <c r="H6" s="48" t="s">
        <v>1249</v>
      </c>
      <c r="I6" s="48" t="s">
        <v>1250</v>
      </c>
      <c r="J6" s="48" t="s">
        <v>1251</v>
      </c>
      <c r="K6" s="48" t="s">
        <v>1252</v>
      </c>
      <c r="L6" s="48" t="s">
        <v>1253</v>
      </c>
      <c r="M6" s="48" t="s">
        <v>1254</v>
      </c>
      <c r="N6" s="48" t="s">
        <v>1255</v>
      </c>
      <c r="O6" s="48" t="s">
        <v>1256</v>
      </c>
      <c r="P6" s="48" t="s">
        <v>1257</v>
      </c>
      <c r="Q6" s="48" t="s">
        <v>1258</v>
      </c>
      <c r="R6" s="48" t="s">
        <v>1259</v>
      </c>
      <c r="S6" s="48" t="s">
        <v>551</v>
      </c>
      <c r="T6" s="48" t="s">
        <v>552</v>
      </c>
      <c r="U6" s="48" t="s">
        <v>1260</v>
      </c>
      <c r="V6" s="48" t="s">
        <v>1261</v>
      </c>
      <c r="W6" s="49" t="s">
        <v>1262</v>
      </c>
      <c r="X6" s="49" t="s">
        <v>1263</v>
      </c>
      <c r="Y6" s="49" t="s">
        <v>1264</v>
      </c>
      <c r="Z6" s="49" t="s">
        <v>1265</v>
      </c>
      <c r="AA6" s="49" t="s">
        <v>560</v>
      </c>
      <c r="AB6" s="49" t="s">
        <v>632</v>
      </c>
    </row>
    <row r="7" customFormat="false" ht="35.05" hidden="false" customHeight="false" outlineLevel="0" collapsed="false">
      <c r="A7" s="50" t="s">
        <v>1163</v>
      </c>
      <c r="B7" s="50" t="s">
        <v>479</v>
      </c>
      <c r="C7" s="59" t="str">
        <f aca="false">IF(B7="","",IFERROR(INDEX(INV_NAME,MATCH(B7,INV_ID,0)),"CHECK: Supplier ID not found"))</f>
        <v>Northwind Cloud Hosting Ltd</v>
      </c>
      <c r="D7" s="34" t="s">
        <v>1266</v>
      </c>
      <c r="E7" s="34" t="s">
        <v>250</v>
      </c>
      <c r="F7" s="34" t="s">
        <v>1267</v>
      </c>
      <c r="G7" s="34" t="s">
        <v>1268</v>
      </c>
      <c r="H7" s="51" t="n">
        <v>45731</v>
      </c>
      <c r="I7" s="51" t="n">
        <v>46826</v>
      </c>
      <c r="J7" s="51"/>
      <c r="K7" s="51"/>
      <c r="L7" s="34" t="s">
        <v>1269</v>
      </c>
      <c r="M7" s="34" t="s">
        <v>1270</v>
      </c>
      <c r="N7" s="34" t="s">
        <v>251</v>
      </c>
      <c r="O7" s="34" t="s">
        <v>288</v>
      </c>
      <c r="P7" s="34" t="s">
        <v>1271</v>
      </c>
      <c r="Q7" s="34" t="s">
        <v>1272</v>
      </c>
      <c r="R7" s="50" t="s">
        <v>240</v>
      </c>
      <c r="S7" s="50" t="s">
        <v>1192</v>
      </c>
      <c r="T7" s="51" t="n">
        <v>46270</v>
      </c>
      <c r="U7" s="34" t="s">
        <v>1273</v>
      </c>
      <c r="V7" s="51" t="n">
        <v>46341</v>
      </c>
      <c r="W7" s="54" t="str">
        <f aca="false">IF(A7="","",IF(ISNUMBER(I7),IF(I7&lt;AsOf,"Expired",IF(I7&lt;=AsOf+WarnEvidenceDays,"Approaching expiry","Current")),IF(ISNUMBER(K7),IF(K7&lt;AsOf,"Historical period ended "&amp;TEXT(K7,"yyyy-mm-dd")&amp;" - assess relevance; request update","Period current"),"No expiry or period recorded")))</f>
        <v>Current</v>
      </c>
      <c r="X7" s="52" t="str">
        <f aca="false">IF(A7="","",IF(OR(N7="Pending verification",N7=""),"Verification pending",""))</f>
        <v/>
      </c>
      <c r="Y7" s="54" t="str">
        <f aca="false">IF(A7="","",IF(R7="Yes","Scope limitation recorded",""))</f>
        <v>Scope limitation recorded</v>
      </c>
      <c r="Z7" s="52" t="str">
        <f aca="false">IF(A7="","",IF(AND(ISNUMBER(V7),V7&lt;AsOf,U7&lt;&gt;""),"Follow-up overdue",""))</f>
        <v/>
      </c>
      <c r="AA7" s="54" t="str">
        <f aca="false">IF(A7="","",IF(COUNTIF(EV_ID,A7)&gt;1,"CHECK: duplicate ID",IF(B7="","CHECK: Supplier ID missing",IF(COUNTIF(INV_ID,B7)=0,"CHECK: Supplier ID not in inventory","OK"))))</f>
        <v>OK</v>
      </c>
      <c r="AB7" s="52" t="str">
        <f aca="false">IF(OR(A7="",B7=""),"",IF(B7=RptSup,B7&amp;"|"&amp;COUNTIF($B$7:B7,B7),""))</f>
        <v>SUP-001|1</v>
      </c>
    </row>
    <row r="8" customFormat="false" ht="23.85" hidden="false" customHeight="false" outlineLevel="0" collapsed="false">
      <c r="A8" s="50" t="s">
        <v>1189</v>
      </c>
      <c r="B8" s="50" t="s">
        <v>479</v>
      </c>
      <c r="C8" s="59" t="str">
        <f aca="false">IF(B8="","",IFERROR(INDEX(INV_NAME,MATCH(B8,INV_ID,0)),"CHECK: Supplier ID not found"))</f>
        <v>Northwind Cloud Hosting Ltd</v>
      </c>
      <c r="D8" s="34" t="s">
        <v>1274</v>
      </c>
      <c r="E8" s="34" t="s">
        <v>286</v>
      </c>
      <c r="F8" s="34" t="s">
        <v>1275</v>
      </c>
      <c r="G8" s="34" t="s">
        <v>1276</v>
      </c>
      <c r="H8" s="51" t="n">
        <v>45971</v>
      </c>
      <c r="I8" s="51"/>
      <c r="J8" s="51" t="n">
        <v>45566</v>
      </c>
      <c r="K8" s="51" t="n">
        <v>45930</v>
      </c>
      <c r="L8" s="34" t="s">
        <v>1277</v>
      </c>
      <c r="M8" s="34" t="s">
        <v>1278</v>
      </c>
      <c r="N8" s="34" t="s">
        <v>251</v>
      </c>
      <c r="O8" s="34" t="s">
        <v>288</v>
      </c>
      <c r="P8" s="34" t="s">
        <v>1279</v>
      </c>
      <c r="Q8" s="34" t="s">
        <v>1280</v>
      </c>
      <c r="R8" s="50" t="s">
        <v>277</v>
      </c>
      <c r="S8" s="50" t="s">
        <v>1192</v>
      </c>
      <c r="T8" s="51" t="n">
        <v>46270</v>
      </c>
      <c r="U8" s="34" t="s">
        <v>1191</v>
      </c>
      <c r="V8" s="51" t="n">
        <v>46356</v>
      </c>
      <c r="W8" s="54" t="str">
        <f aca="false">IF(A8="","",IF(ISNUMBER(I8),IF(I8&lt;AsOf,"Expired",IF(I8&lt;=AsOf+WarnEvidenceDays,"Approaching expiry","Current")),IF(ISNUMBER(K8),IF(K8&lt;AsOf,"Historical period ended "&amp;TEXT(K8,"yyyy-mm-dd")&amp;" - assess relevance; request update","Period current"),"No expiry or period recorded")))</f>
        <v>Historical period ended 2025-09-30 - assess relevance; request update</v>
      </c>
      <c r="X8" s="52" t="str">
        <f aca="false">IF(A8="","",IF(OR(N8="Pending verification",N8=""),"Verification pending",""))</f>
        <v/>
      </c>
      <c r="Y8" s="54" t="str">
        <f aca="false">IF(A8="","",IF(R8="Yes","Scope limitation recorded",""))</f>
        <v/>
      </c>
      <c r="Z8" s="52" t="str">
        <f aca="false">IF(A8="","",IF(AND(ISNUMBER(V8),V8&lt;AsOf,U8&lt;&gt;""),"Follow-up overdue",""))</f>
        <v/>
      </c>
      <c r="AA8" s="54" t="str">
        <f aca="false">IF(A8="","",IF(COUNTIF(EV_ID,A8)&gt;1,"CHECK: duplicate ID",IF(B8="","CHECK: Supplier ID missing",IF(COUNTIF(INV_ID,B8)=0,"CHECK: Supplier ID not in inventory","OK"))))</f>
        <v>OK</v>
      </c>
      <c r="AB8" s="52" t="str">
        <f aca="false">IF(OR(A8="",B8=""),"",IF(B8=RptSup,B8&amp;"|"&amp;COUNTIF($B$7:B8,B8),""))</f>
        <v>SUP-001|2</v>
      </c>
    </row>
    <row r="9" customFormat="false" ht="23.85" hidden="false" customHeight="false" outlineLevel="0" collapsed="false">
      <c r="A9" s="50" t="s">
        <v>1177</v>
      </c>
      <c r="B9" s="50" t="s">
        <v>479</v>
      </c>
      <c r="C9" s="59" t="str">
        <f aca="false">IF(B9="","",IFERROR(INDEX(INV_NAME,MATCH(B9,INV_ID,0)),"CHECK: Supplier ID not found"))</f>
        <v>Northwind Cloud Hosting Ltd</v>
      </c>
      <c r="D9" s="34" t="s">
        <v>1281</v>
      </c>
      <c r="E9" s="34" t="s">
        <v>387</v>
      </c>
      <c r="F9" s="34" t="s">
        <v>1282</v>
      </c>
      <c r="G9" s="34" t="s">
        <v>480</v>
      </c>
      <c r="H9" s="51" t="n">
        <v>45981</v>
      </c>
      <c r="I9" s="51"/>
      <c r="J9" s="51"/>
      <c r="K9" s="51"/>
      <c r="L9" s="34" t="s">
        <v>1283</v>
      </c>
      <c r="M9" s="34" t="s">
        <v>1284</v>
      </c>
      <c r="N9" s="34" t="s">
        <v>251</v>
      </c>
      <c r="O9" s="34" t="s">
        <v>327</v>
      </c>
      <c r="P9" s="34" t="s">
        <v>1285</v>
      </c>
      <c r="Q9" s="34" t="s">
        <v>1286</v>
      </c>
      <c r="R9" s="50" t="s">
        <v>240</v>
      </c>
      <c r="S9" s="50" t="s">
        <v>1192</v>
      </c>
      <c r="T9" s="51" t="n">
        <v>46277</v>
      </c>
      <c r="U9" s="34" t="s">
        <v>1287</v>
      </c>
      <c r="V9" s="51" t="n">
        <v>46371</v>
      </c>
      <c r="W9" s="54" t="str">
        <f aca="false">IF(A9="","",IF(ISNUMBER(I9),IF(I9&lt;AsOf,"Expired",IF(I9&lt;=AsOf+WarnEvidenceDays,"Approaching expiry","Current")),IF(ISNUMBER(K9),IF(K9&lt;AsOf,"Historical period ended "&amp;TEXT(K9,"yyyy-mm-dd")&amp;" - assess relevance; request update","Period current"),"No expiry or period recorded")))</f>
        <v>No expiry or period recorded</v>
      </c>
      <c r="X9" s="52" t="str">
        <f aca="false">IF(A9="","",IF(OR(N9="Pending verification",N9=""),"Verification pending",""))</f>
        <v/>
      </c>
      <c r="Y9" s="54" t="str">
        <f aca="false">IF(A9="","",IF(R9="Yes","Scope limitation recorded",""))</f>
        <v>Scope limitation recorded</v>
      </c>
      <c r="Z9" s="52" t="str">
        <f aca="false">IF(A9="","",IF(AND(ISNUMBER(V9),V9&lt;AsOf,U9&lt;&gt;""),"Follow-up overdue",""))</f>
        <v/>
      </c>
      <c r="AA9" s="54" t="str">
        <f aca="false">IF(A9="","",IF(COUNTIF(EV_ID,A9)&gt;1,"CHECK: duplicate ID",IF(B9="","CHECK: Supplier ID missing",IF(COUNTIF(INV_ID,B9)=0,"CHECK: Supplier ID not in inventory","OK"))))</f>
        <v>OK</v>
      </c>
      <c r="AB9" s="52" t="str">
        <f aca="false">IF(OR(A9="",B9=""),"",IF(B9=RptSup,B9&amp;"|"&amp;COUNTIF($B$7:B9,B9),""))</f>
        <v>SUP-001|3</v>
      </c>
    </row>
    <row r="10" customFormat="false" ht="23.85" hidden="false" customHeight="false" outlineLevel="0" collapsed="false">
      <c r="A10" s="50" t="s">
        <v>1167</v>
      </c>
      <c r="B10" s="50" t="s">
        <v>479</v>
      </c>
      <c r="C10" s="59" t="str">
        <f aca="false">IF(B10="","",IFERROR(INDEX(INV_NAME,MATCH(B10,INV_ID,0)),"CHECK: Supplier ID not found"))</f>
        <v>Northwind Cloud Hosting Ltd</v>
      </c>
      <c r="D10" s="34" t="s">
        <v>1288</v>
      </c>
      <c r="E10" s="34" t="s">
        <v>425</v>
      </c>
      <c r="F10" s="34" t="s">
        <v>1289</v>
      </c>
      <c r="G10" s="34" t="s">
        <v>480</v>
      </c>
      <c r="H10" s="51" t="n">
        <v>46264</v>
      </c>
      <c r="I10" s="51"/>
      <c r="J10" s="51"/>
      <c r="K10" s="51"/>
      <c r="L10" s="34" t="s">
        <v>1290</v>
      </c>
      <c r="M10" s="34" t="s">
        <v>1291</v>
      </c>
      <c r="N10" s="34" t="s">
        <v>287</v>
      </c>
      <c r="O10" s="34" t="s">
        <v>327</v>
      </c>
      <c r="P10" s="34" t="s">
        <v>1292</v>
      </c>
      <c r="Q10" s="34" t="s">
        <v>1293</v>
      </c>
      <c r="R10" s="50" t="s">
        <v>277</v>
      </c>
      <c r="S10" s="50" t="s">
        <v>1192</v>
      </c>
      <c r="T10" s="51" t="n">
        <v>46277</v>
      </c>
      <c r="U10" s="34" t="s">
        <v>1294</v>
      </c>
      <c r="V10" s="51" t="n">
        <v>46310</v>
      </c>
      <c r="W10" s="54" t="str">
        <f aca="false">IF(A10="","",IF(ISNUMBER(I10),IF(I10&lt;AsOf,"Expired",IF(I10&lt;=AsOf+WarnEvidenceDays,"Approaching expiry","Current")),IF(ISNUMBER(K10),IF(K10&lt;AsOf,"Historical period ended "&amp;TEXT(K10,"yyyy-mm-dd")&amp;" - assess relevance; request update","Period current"),"No expiry or period recorded")))</f>
        <v>No expiry or period recorded</v>
      </c>
      <c r="X10" s="52" t="str">
        <f aca="false">IF(A10="","",IF(OR(N10="Pending verification",N10=""),"Verification pending",""))</f>
        <v>Verification pending</v>
      </c>
      <c r="Y10" s="54" t="str">
        <f aca="false">IF(A10="","",IF(R10="Yes","Scope limitation recorded",""))</f>
        <v/>
      </c>
      <c r="Z10" s="52" t="str">
        <f aca="false">IF(A10="","",IF(AND(ISNUMBER(V10),V10&lt;AsOf,U10&lt;&gt;""),"Follow-up overdue",""))</f>
        <v>Follow-up overdue</v>
      </c>
      <c r="AA10" s="54" t="str">
        <f aca="false">IF(A10="","",IF(COUNTIF(EV_ID,A10)&gt;1,"CHECK: duplicate ID",IF(B10="","CHECK: Supplier ID missing",IF(COUNTIF(INV_ID,B10)=0,"CHECK: Supplier ID not in inventory","OK"))))</f>
        <v>OK</v>
      </c>
      <c r="AB10" s="52" t="str">
        <f aca="false">IF(OR(A10="",B10=""),"",IF(B10=RptSup,B10&amp;"|"&amp;COUNTIF($B$7:B10,B10),""))</f>
        <v>SUP-001|4</v>
      </c>
    </row>
    <row r="11" customFormat="false" ht="23.85" hidden="false" customHeight="false" outlineLevel="0" collapsed="false">
      <c r="A11" s="50" t="s">
        <v>1216</v>
      </c>
      <c r="B11" s="50" t="s">
        <v>489</v>
      </c>
      <c r="C11" s="59" t="str">
        <f aca="false">IF(B11="","",IFERROR(INDEX(INV_NAME,MATCH(B11,INV_ID,0)),"CHECK: Supplier ID not found"))</f>
        <v>SupportLoop Ltd</v>
      </c>
      <c r="D11" s="34" t="s">
        <v>1048</v>
      </c>
      <c r="E11" s="34" t="s">
        <v>250</v>
      </c>
      <c r="F11" s="34" t="s">
        <v>1295</v>
      </c>
      <c r="G11" s="34" t="s">
        <v>1268</v>
      </c>
      <c r="H11" s="51" t="n">
        <v>45261</v>
      </c>
      <c r="I11" s="51" t="n">
        <v>46356</v>
      </c>
      <c r="J11" s="51"/>
      <c r="K11" s="51"/>
      <c r="L11" s="34" t="s">
        <v>1296</v>
      </c>
      <c r="M11" s="34" t="s">
        <v>1297</v>
      </c>
      <c r="N11" s="34" t="s">
        <v>251</v>
      </c>
      <c r="O11" s="34" t="s">
        <v>252</v>
      </c>
      <c r="P11" s="34" t="s">
        <v>1298</v>
      </c>
      <c r="Q11" s="34"/>
      <c r="R11" s="50" t="s">
        <v>277</v>
      </c>
      <c r="S11" s="50" t="s">
        <v>1192</v>
      </c>
      <c r="T11" s="51" t="n">
        <v>46300</v>
      </c>
      <c r="U11" s="34" t="s">
        <v>1299</v>
      </c>
      <c r="V11" s="51" t="n">
        <v>46371</v>
      </c>
      <c r="W11" s="54" t="str">
        <f aca="false">IF(A11="","",IF(ISNUMBER(I11),IF(I11&lt;AsOf,"Expired",IF(I11&lt;=AsOf+WarnEvidenceDays,"Approaching expiry","Current")),IF(ISNUMBER(K11),IF(K11&lt;AsOf,"Historical period ended "&amp;TEXT(K11,"yyyy-mm-dd")&amp;" - assess relevance; request update","Period current"),"No expiry or period recorded")))</f>
        <v>Approaching expiry</v>
      </c>
      <c r="X11" s="52" t="str">
        <f aca="false">IF(A11="","",IF(OR(N11="Pending verification",N11=""),"Verification pending",""))</f>
        <v/>
      </c>
      <c r="Y11" s="54" t="str">
        <f aca="false">IF(A11="","",IF(R11="Yes","Scope limitation recorded",""))</f>
        <v/>
      </c>
      <c r="Z11" s="52" t="str">
        <f aca="false">IF(A11="","",IF(AND(ISNUMBER(V11),V11&lt;AsOf,U11&lt;&gt;""),"Follow-up overdue",""))</f>
        <v/>
      </c>
      <c r="AA11" s="54" t="str">
        <f aca="false">IF(A11="","",IF(COUNTIF(EV_ID,A11)&gt;1,"CHECK: duplicate ID",IF(B11="","CHECK: Supplier ID missing",IF(COUNTIF(INV_ID,B11)=0,"CHECK: Supplier ID not in inventory","OK"))))</f>
        <v>OK</v>
      </c>
      <c r="AB11" s="52" t="str">
        <f aca="false">IF(OR(A11="",B11=""),"",IF(B11=RptSup,B11&amp;"|"&amp;COUNTIF($B$7:B11,B11),""))</f>
        <v/>
      </c>
    </row>
    <row r="12" customFormat="false" ht="23.85" hidden="false" customHeight="false" outlineLevel="0" collapsed="false">
      <c r="A12" s="50" t="s">
        <v>1200</v>
      </c>
      <c r="B12" s="50" t="s">
        <v>489</v>
      </c>
      <c r="C12" s="59" t="str">
        <f aca="false">IF(B12="","",IFERROR(INDEX(INV_NAME,MATCH(B12,INV_ID,0)),"CHECK: Supplier ID not found"))</f>
        <v>SupportLoop Ltd</v>
      </c>
      <c r="D12" s="34" t="s">
        <v>1300</v>
      </c>
      <c r="E12" s="34" t="s">
        <v>405</v>
      </c>
      <c r="F12" s="34" t="s">
        <v>1301</v>
      </c>
      <c r="G12" s="34" t="s">
        <v>1302</v>
      </c>
      <c r="H12" s="51" t="n">
        <v>46009</v>
      </c>
      <c r="I12" s="51"/>
      <c r="J12" s="51"/>
      <c r="K12" s="51"/>
      <c r="L12" s="34" t="s">
        <v>1303</v>
      </c>
      <c r="M12" s="34" t="s">
        <v>1304</v>
      </c>
      <c r="N12" s="34" t="s">
        <v>251</v>
      </c>
      <c r="O12" s="34" t="s">
        <v>288</v>
      </c>
      <c r="P12" s="34" t="s">
        <v>1305</v>
      </c>
      <c r="Q12" s="34" t="s">
        <v>1306</v>
      </c>
      <c r="R12" s="50" t="s">
        <v>277</v>
      </c>
      <c r="S12" s="50" t="s">
        <v>1192</v>
      </c>
      <c r="T12" s="51" t="n">
        <v>46300</v>
      </c>
      <c r="U12" s="34" t="s">
        <v>1307</v>
      </c>
      <c r="V12" s="51" t="n">
        <v>46315</v>
      </c>
      <c r="W12" s="54" t="str">
        <f aca="false">IF(A12="","",IF(ISNUMBER(I12),IF(I12&lt;AsOf,"Expired",IF(I12&lt;=AsOf+WarnEvidenceDays,"Approaching expiry","Current")),IF(ISNUMBER(K12),IF(K12&lt;AsOf,"Historical period ended "&amp;TEXT(K12,"yyyy-mm-dd")&amp;" - assess relevance; request update","Period current"),"No expiry or period recorded")))</f>
        <v>No expiry or period recorded</v>
      </c>
      <c r="X12" s="52" t="str">
        <f aca="false">IF(A12="","",IF(OR(N12="Pending verification",N12=""),"Verification pending",""))</f>
        <v/>
      </c>
      <c r="Y12" s="54" t="str">
        <f aca="false">IF(A12="","",IF(R12="Yes","Scope limitation recorded",""))</f>
        <v/>
      </c>
      <c r="Z12" s="52" t="str">
        <f aca="false">IF(A12="","",IF(AND(ISNUMBER(V12),V12&lt;AsOf,U12&lt;&gt;""),"Follow-up overdue",""))</f>
        <v>Follow-up overdue</v>
      </c>
      <c r="AA12" s="54" t="str">
        <f aca="false">IF(A12="","",IF(COUNTIF(EV_ID,A12)&gt;1,"CHECK: duplicate ID",IF(B12="","CHECK: Supplier ID missing",IF(COUNTIF(INV_ID,B12)=0,"CHECK: Supplier ID not in inventory","OK"))))</f>
        <v>OK</v>
      </c>
      <c r="AB12" s="52" t="str">
        <f aca="false">IF(OR(A12="",B12=""),"",IF(B12=RptSup,B12&amp;"|"&amp;COUNTIF($B$7:B12,B12),""))</f>
        <v/>
      </c>
    </row>
    <row r="13" customFormat="false" ht="23.85" hidden="false" customHeight="false" outlineLevel="0" collapsed="false">
      <c r="A13" s="50" t="s">
        <v>1196</v>
      </c>
      <c r="B13" s="50" t="s">
        <v>489</v>
      </c>
      <c r="C13" s="59" t="str">
        <f aca="false">IF(B13="","",IFERROR(INDEX(INV_NAME,MATCH(B13,INV_ID,0)),"CHECK: Supplier ID not found"))</f>
        <v>SupportLoop Ltd</v>
      </c>
      <c r="D13" s="34" t="s">
        <v>1308</v>
      </c>
      <c r="E13" s="34" t="s">
        <v>325</v>
      </c>
      <c r="F13" s="34" t="s">
        <v>1309</v>
      </c>
      <c r="G13" s="34" t="s">
        <v>490</v>
      </c>
      <c r="H13" s="51" t="n">
        <v>45677</v>
      </c>
      <c r="I13" s="51"/>
      <c r="J13" s="51"/>
      <c r="K13" s="51"/>
      <c r="L13" s="34" t="s">
        <v>1310</v>
      </c>
      <c r="M13" s="34" t="s">
        <v>1311</v>
      </c>
      <c r="N13" s="34" t="s">
        <v>251</v>
      </c>
      <c r="O13" s="34" t="s">
        <v>252</v>
      </c>
      <c r="P13" s="34" t="s">
        <v>1312</v>
      </c>
      <c r="Q13" s="34"/>
      <c r="R13" s="50" t="s">
        <v>277</v>
      </c>
      <c r="S13" s="50" t="s">
        <v>1192</v>
      </c>
      <c r="T13" s="51" t="n">
        <v>46296</v>
      </c>
      <c r="U13" s="34"/>
      <c r="V13" s="51"/>
      <c r="W13" s="54" t="str">
        <f aca="false">IF(A13="","",IF(ISNUMBER(I13),IF(I13&lt;AsOf,"Expired",IF(I13&lt;=AsOf+WarnEvidenceDays,"Approaching expiry","Current")),IF(ISNUMBER(K13),IF(K13&lt;AsOf,"Historical period ended "&amp;TEXT(K13,"yyyy-mm-dd")&amp;" - assess relevance; request update","Period current"),"No expiry or period recorded")))</f>
        <v>No expiry or period recorded</v>
      </c>
      <c r="X13" s="52" t="str">
        <f aca="false">IF(A13="","",IF(OR(N13="Pending verification",N13=""),"Verification pending",""))</f>
        <v/>
      </c>
      <c r="Y13" s="54" t="str">
        <f aca="false">IF(A13="","",IF(R13="Yes","Scope limitation recorded",""))</f>
        <v/>
      </c>
      <c r="Z13" s="52" t="str">
        <f aca="false">IF(A13="","",IF(AND(ISNUMBER(V13),V13&lt;AsOf,U13&lt;&gt;""),"Follow-up overdue",""))</f>
        <v/>
      </c>
      <c r="AA13" s="54" t="str">
        <f aca="false">IF(A13="","",IF(COUNTIF(EV_ID,A13)&gt;1,"CHECK: duplicate ID",IF(B13="","CHECK: Supplier ID missing",IF(COUNTIF(INV_ID,B13)=0,"CHECK: Supplier ID not in inventory","OK"))))</f>
        <v>OK</v>
      </c>
      <c r="AB13" s="52" t="str">
        <f aca="false">IF(OR(A13="",B13=""),"",IF(B13=RptSup,B13&amp;"|"&amp;COUNTIF($B$7:B13,B13),""))</f>
        <v/>
      </c>
    </row>
    <row r="14" customFormat="false" ht="23.85" hidden="false" customHeight="false" outlineLevel="0" collapsed="false">
      <c r="A14" s="50" t="s">
        <v>1313</v>
      </c>
      <c r="B14" s="50" t="s">
        <v>506</v>
      </c>
      <c r="C14" s="59" t="str">
        <f aca="false">IF(B14="","",IFERROR(INDEX(INV_NAME,MATCH(B14,INV_ID,0)),"CHECK: Supplier ID not found"))</f>
        <v>Cleanwell Facilities Ltd</v>
      </c>
      <c r="D14" s="34" t="s">
        <v>1314</v>
      </c>
      <c r="E14" s="34" t="s">
        <v>425</v>
      </c>
      <c r="F14" s="34" t="s">
        <v>1315</v>
      </c>
      <c r="G14" s="34" t="s">
        <v>507</v>
      </c>
      <c r="H14" s="51" t="n">
        <v>46037</v>
      </c>
      <c r="I14" s="51"/>
      <c r="J14" s="51"/>
      <c r="K14" s="51"/>
      <c r="L14" s="34" t="s">
        <v>1316</v>
      </c>
      <c r="M14" s="34" t="s">
        <v>1317</v>
      </c>
      <c r="N14" s="34" t="s">
        <v>251</v>
      </c>
      <c r="O14" s="34" t="s">
        <v>288</v>
      </c>
      <c r="P14" s="34" t="s">
        <v>1318</v>
      </c>
      <c r="Q14" s="34"/>
      <c r="R14" s="50" t="s">
        <v>277</v>
      </c>
      <c r="S14" s="50" t="s">
        <v>1192</v>
      </c>
      <c r="T14" s="51" t="n">
        <v>46266</v>
      </c>
      <c r="U14" s="34"/>
      <c r="V14" s="51"/>
      <c r="W14" s="54" t="str">
        <f aca="false">IF(A14="","",IF(ISNUMBER(I14),IF(I14&lt;AsOf,"Expired",IF(I14&lt;=AsOf+WarnEvidenceDays,"Approaching expiry","Current")),IF(ISNUMBER(K14),IF(K14&lt;AsOf,"Historical period ended "&amp;TEXT(K14,"yyyy-mm-dd")&amp;" - assess relevance; request update","Period current"),"No expiry or period recorded")))</f>
        <v>No expiry or period recorded</v>
      </c>
      <c r="X14" s="52" t="str">
        <f aca="false">IF(A14="","",IF(OR(N14="Pending verification",N14=""),"Verification pending",""))</f>
        <v/>
      </c>
      <c r="Y14" s="54" t="str">
        <f aca="false">IF(A14="","",IF(R14="Yes","Scope limitation recorded",""))</f>
        <v/>
      </c>
      <c r="Z14" s="52" t="str">
        <f aca="false">IF(A14="","",IF(AND(ISNUMBER(V14),V14&lt;AsOf,U14&lt;&gt;""),"Follow-up overdue",""))</f>
        <v/>
      </c>
      <c r="AA14" s="54" t="str">
        <f aca="false">IF(A14="","",IF(COUNTIF(EV_ID,A14)&gt;1,"CHECK: duplicate ID",IF(B14="","CHECK: Supplier ID missing",IF(COUNTIF(INV_ID,B14)=0,"CHECK: Supplier ID not in inventory","OK"))))</f>
        <v>OK</v>
      </c>
      <c r="AB14" s="52" t="str">
        <f aca="false">IF(OR(A14="",B14=""),"",IF(B14=RptSup,B14&amp;"|"&amp;COUNTIF($B$7:B14,B14),""))</f>
        <v/>
      </c>
    </row>
    <row r="15" customFormat="false" ht="23.85" hidden="false" customHeight="false" outlineLevel="0" collapsed="false">
      <c r="A15" s="50" t="s">
        <v>1227</v>
      </c>
      <c r="B15" s="50" t="s">
        <v>515</v>
      </c>
      <c r="C15" s="59" t="str">
        <f aca="false">IF(B15="","",IFERROR(INDEX(INV_NAME,MATCH(B15,INV_ID,0)),"CHECK: Supplier ID not found"))</f>
        <v>Datavault Backup Services Ltd</v>
      </c>
      <c r="D15" s="34" t="s">
        <v>1319</v>
      </c>
      <c r="E15" s="34" t="s">
        <v>325</v>
      </c>
      <c r="F15" s="34" t="s">
        <v>1320</v>
      </c>
      <c r="G15" s="34" t="s">
        <v>516</v>
      </c>
      <c r="H15" s="51" t="n">
        <v>46063</v>
      </c>
      <c r="I15" s="51"/>
      <c r="J15" s="51"/>
      <c r="K15" s="51"/>
      <c r="L15" s="34" t="s">
        <v>1321</v>
      </c>
      <c r="M15" s="34" t="s">
        <v>1322</v>
      </c>
      <c r="N15" s="34" t="s">
        <v>287</v>
      </c>
      <c r="O15" s="34" t="s">
        <v>327</v>
      </c>
      <c r="P15" s="34" t="s">
        <v>1323</v>
      </c>
      <c r="Q15" s="34" t="s">
        <v>1324</v>
      </c>
      <c r="R15" s="50" t="s">
        <v>240</v>
      </c>
      <c r="S15" s="50" t="s">
        <v>1192</v>
      </c>
      <c r="T15" s="51" t="n">
        <v>46300</v>
      </c>
      <c r="U15" s="34" t="s">
        <v>1325</v>
      </c>
      <c r="V15" s="51" t="n">
        <v>46371</v>
      </c>
      <c r="W15" s="54" t="str">
        <f aca="false">IF(A15="","",IF(ISNUMBER(I15),IF(I15&lt;AsOf,"Expired",IF(I15&lt;=AsOf+WarnEvidenceDays,"Approaching expiry","Current")),IF(ISNUMBER(K15),IF(K15&lt;AsOf,"Historical period ended "&amp;TEXT(K15,"yyyy-mm-dd")&amp;" - assess relevance; request update","Period current"),"No expiry or period recorded")))</f>
        <v>No expiry or period recorded</v>
      </c>
      <c r="X15" s="52" t="str">
        <f aca="false">IF(A15="","",IF(OR(N15="Pending verification",N15=""),"Verification pending",""))</f>
        <v>Verification pending</v>
      </c>
      <c r="Y15" s="54" t="str">
        <f aca="false">IF(A15="","",IF(R15="Yes","Scope limitation recorded",""))</f>
        <v>Scope limitation recorded</v>
      </c>
      <c r="Z15" s="52" t="str">
        <f aca="false">IF(A15="","",IF(AND(ISNUMBER(V15),V15&lt;AsOf,U15&lt;&gt;""),"Follow-up overdue",""))</f>
        <v/>
      </c>
      <c r="AA15" s="54" t="str">
        <f aca="false">IF(A15="","",IF(COUNTIF(EV_ID,A15)&gt;1,"CHECK: duplicate ID",IF(B15="","CHECK: Supplier ID missing",IF(COUNTIF(INV_ID,B15)=0,"CHECK: Supplier ID not in inventory","OK"))))</f>
        <v>OK</v>
      </c>
      <c r="AB15" s="52" t="str">
        <f aca="false">IF(OR(A15="",B15=""),"",IF(B15=RptSup,B15&amp;"|"&amp;COUNTIF($B$7:B15,B15),""))</f>
        <v/>
      </c>
    </row>
    <row r="16" customFormat="false" ht="23.85" hidden="false" customHeight="false" outlineLevel="0" collapsed="false">
      <c r="A16" s="50" t="s">
        <v>1326</v>
      </c>
      <c r="B16" s="50" t="s">
        <v>506</v>
      </c>
      <c r="C16" s="59" t="str">
        <f aca="false">IF(B16="","",IFERROR(INDEX(INV_NAME,MATCH(B16,INV_ID,0)),"CHECK: Supplier ID not found"))</f>
        <v>Cleanwell Facilities Ltd</v>
      </c>
      <c r="D16" s="34" t="s">
        <v>1314</v>
      </c>
      <c r="E16" s="34" t="s">
        <v>425</v>
      </c>
      <c r="F16" s="34" t="s">
        <v>1327</v>
      </c>
      <c r="G16" s="34" t="s">
        <v>507</v>
      </c>
      <c r="H16" s="51" t="n">
        <v>45930</v>
      </c>
      <c r="I16" s="51" t="n">
        <v>46295</v>
      </c>
      <c r="J16" s="51"/>
      <c r="K16" s="51"/>
      <c r="L16" s="34" t="s">
        <v>1328</v>
      </c>
      <c r="M16" s="34" t="s">
        <v>1329</v>
      </c>
      <c r="N16" s="34" t="s">
        <v>251</v>
      </c>
      <c r="O16" s="34" t="s">
        <v>327</v>
      </c>
      <c r="P16" s="34" t="s">
        <v>1330</v>
      </c>
      <c r="Q16" s="34"/>
      <c r="R16" s="50" t="s">
        <v>277</v>
      </c>
      <c r="S16" s="50" t="s">
        <v>1192</v>
      </c>
      <c r="T16" s="51" t="n">
        <v>46266</v>
      </c>
      <c r="U16" s="34" t="s">
        <v>1299</v>
      </c>
      <c r="V16" s="51" t="n">
        <v>46356</v>
      </c>
      <c r="W16" s="54" t="str">
        <f aca="false">IF(A16="","",IF(ISNUMBER(I16),IF(I16&lt;AsOf,"Expired",IF(I16&lt;=AsOf+WarnEvidenceDays,"Approaching expiry","Current")),IF(ISNUMBER(K16),IF(K16&lt;AsOf,"Historical period ended "&amp;TEXT(K16,"yyyy-mm-dd")&amp;" - assess relevance; request update","Period current"),"No expiry or period recorded")))</f>
        <v>Expired</v>
      </c>
      <c r="X16" s="52" t="str">
        <f aca="false">IF(A16="","",IF(OR(N16="Pending verification",N16=""),"Verification pending",""))</f>
        <v/>
      </c>
      <c r="Y16" s="54" t="str">
        <f aca="false">IF(A16="","",IF(R16="Yes","Scope limitation recorded",""))</f>
        <v/>
      </c>
      <c r="Z16" s="52" t="str">
        <f aca="false">IF(A16="","",IF(AND(ISNUMBER(V16),V16&lt;AsOf,U16&lt;&gt;""),"Follow-up overdue",""))</f>
        <v/>
      </c>
      <c r="AA16" s="54" t="str">
        <f aca="false">IF(A16="","",IF(COUNTIF(EV_ID,A16)&gt;1,"CHECK: duplicate ID",IF(B16="","CHECK: Supplier ID missing",IF(COUNTIF(INV_ID,B16)=0,"CHECK: Supplier ID not in inventory","OK"))))</f>
        <v>OK</v>
      </c>
      <c r="AB16" s="52" t="str">
        <f aca="false">IF(OR(A16="",B16=""),"",IF(B16=RptSup,B16&amp;"|"&amp;COUNTIF($B$7:B16,B16),""))</f>
        <v/>
      </c>
    </row>
    <row r="17" customFormat="false" ht="15" hidden="false" customHeight="false" outlineLevel="0" collapsed="false">
      <c r="A17" s="50"/>
      <c r="B17" s="50"/>
      <c r="C17" s="59" t="str">
        <f aca="false">IF(B17="","",IFERROR(INDEX(INV_NAME,MATCH(B17,INV_ID,0)),"CHECK: Supplier ID not found"))</f>
        <v/>
      </c>
      <c r="D17" s="34"/>
      <c r="E17" s="34"/>
      <c r="F17" s="34"/>
      <c r="G17" s="34"/>
      <c r="H17" s="51"/>
      <c r="I17" s="51"/>
      <c r="J17" s="51"/>
      <c r="K17" s="51"/>
      <c r="L17" s="34"/>
      <c r="M17" s="34"/>
      <c r="N17" s="34"/>
      <c r="O17" s="34"/>
      <c r="P17" s="34"/>
      <c r="Q17" s="34"/>
      <c r="R17" s="50"/>
      <c r="S17" s="50"/>
      <c r="T17" s="51"/>
      <c r="U17" s="34"/>
      <c r="V17" s="51"/>
      <c r="W17" s="54" t="str">
        <f aca="false">IF(A17="","",IF(ISNUMBER(I17),IF(I17&lt;AsOf,"Expired",IF(I17&lt;=AsOf+WarnEvidenceDays,"Approaching expiry","Current")),IF(ISNUMBER(K17),IF(K17&lt;AsOf,"Historical period ended "&amp;TEXT(K17,"yyyy-mm-dd")&amp;" - assess relevance; request update","Period current"),"No expiry or period recorded")))</f>
        <v/>
      </c>
      <c r="X17" s="52" t="str">
        <f aca="false">IF(A17="","",IF(OR(N17="Pending verification",N17=""),"Verification pending",""))</f>
        <v/>
      </c>
      <c r="Y17" s="54" t="str">
        <f aca="false">IF(A17="","",IF(R17="Yes","Scope limitation recorded",""))</f>
        <v/>
      </c>
      <c r="Z17" s="52" t="str">
        <f aca="false">IF(A17="","",IF(AND(ISNUMBER(V17),V17&lt;AsOf,U17&lt;&gt;""),"Follow-up overdue",""))</f>
        <v/>
      </c>
      <c r="AA17" s="54" t="str">
        <f aca="false">IF(A17="","",IF(COUNTIF(EV_ID,A17)&gt;1,"CHECK: duplicate ID",IF(B17="","CHECK: Supplier ID missing",IF(COUNTIF(INV_ID,B17)=0,"CHECK: Supplier ID not in inventory","OK"))))</f>
        <v/>
      </c>
      <c r="AB17" s="52" t="str">
        <f aca="false">IF(OR(A17="",B17=""),"",IF(B17=RptSup,B17&amp;"|"&amp;COUNTIF($B$7:B17,B17),""))</f>
        <v/>
      </c>
    </row>
    <row r="18" customFormat="false" ht="15" hidden="false" customHeight="false" outlineLevel="0" collapsed="false">
      <c r="A18" s="50"/>
      <c r="B18" s="50"/>
      <c r="C18" s="59" t="str">
        <f aca="false">IF(B18="","",IFERROR(INDEX(INV_NAME,MATCH(B18,INV_ID,0)),"CHECK: Supplier ID not found"))</f>
        <v/>
      </c>
      <c r="D18" s="34"/>
      <c r="E18" s="34"/>
      <c r="F18" s="34"/>
      <c r="G18" s="34"/>
      <c r="H18" s="51"/>
      <c r="I18" s="51"/>
      <c r="J18" s="51"/>
      <c r="K18" s="51"/>
      <c r="L18" s="34"/>
      <c r="M18" s="34"/>
      <c r="N18" s="34"/>
      <c r="O18" s="34"/>
      <c r="P18" s="34"/>
      <c r="Q18" s="34"/>
      <c r="R18" s="50"/>
      <c r="S18" s="50"/>
      <c r="T18" s="51"/>
      <c r="U18" s="34"/>
      <c r="V18" s="51"/>
      <c r="W18" s="54" t="str">
        <f aca="false">IF(A18="","",IF(ISNUMBER(I18),IF(I18&lt;AsOf,"Expired",IF(I18&lt;=AsOf+WarnEvidenceDays,"Approaching expiry","Current")),IF(ISNUMBER(K18),IF(K18&lt;AsOf,"Historical period ended "&amp;TEXT(K18,"yyyy-mm-dd")&amp;" - assess relevance; request update","Period current"),"No expiry or period recorded")))</f>
        <v/>
      </c>
      <c r="X18" s="52" t="str">
        <f aca="false">IF(A18="","",IF(OR(N18="Pending verification",N18=""),"Verification pending",""))</f>
        <v/>
      </c>
      <c r="Y18" s="54" t="str">
        <f aca="false">IF(A18="","",IF(R18="Yes","Scope limitation recorded",""))</f>
        <v/>
      </c>
      <c r="Z18" s="52" t="str">
        <f aca="false">IF(A18="","",IF(AND(ISNUMBER(V18),V18&lt;AsOf,U18&lt;&gt;""),"Follow-up overdue",""))</f>
        <v/>
      </c>
      <c r="AA18" s="54" t="str">
        <f aca="false">IF(A18="","",IF(COUNTIF(EV_ID,A18)&gt;1,"CHECK: duplicate ID",IF(B18="","CHECK: Supplier ID missing",IF(COUNTIF(INV_ID,B18)=0,"CHECK: Supplier ID not in inventory","OK"))))</f>
        <v/>
      </c>
      <c r="AB18" s="52" t="str">
        <f aca="false">IF(OR(A18="",B18=""),"",IF(B18=RptSup,B18&amp;"|"&amp;COUNTIF($B$7:B18,B18),""))</f>
        <v/>
      </c>
    </row>
    <row r="19" customFormat="false" ht="15" hidden="false" customHeight="false" outlineLevel="0" collapsed="false">
      <c r="A19" s="50"/>
      <c r="B19" s="50"/>
      <c r="C19" s="59" t="str">
        <f aca="false">IF(B19="","",IFERROR(INDEX(INV_NAME,MATCH(B19,INV_ID,0)),"CHECK: Supplier ID not found"))</f>
        <v/>
      </c>
      <c r="D19" s="34"/>
      <c r="E19" s="34"/>
      <c r="F19" s="34"/>
      <c r="G19" s="34"/>
      <c r="H19" s="51"/>
      <c r="I19" s="51"/>
      <c r="J19" s="51"/>
      <c r="K19" s="51"/>
      <c r="L19" s="34"/>
      <c r="M19" s="34"/>
      <c r="N19" s="34"/>
      <c r="O19" s="34"/>
      <c r="P19" s="34"/>
      <c r="Q19" s="34"/>
      <c r="R19" s="50"/>
      <c r="S19" s="50"/>
      <c r="T19" s="51"/>
      <c r="U19" s="34"/>
      <c r="V19" s="51"/>
      <c r="W19" s="54" t="str">
        <f aca="false">IF(A19="","",IF(ISNUMBER(I19),IF(I19&lt;AsOf,"Expired",IF(I19&lt;=AsOf+WarnEvidenceDays,"Approaching expiry","Current")),IF(ISNUMBER(K19),IF(K19&lt;AsOf,"Historical period ended "&amp;TEXT(K19,"yyyy-mm-dd")&amp;" - assess relevance; request update","Period current"),"No expiry or period recorded")))</f>
        <v/>
      </c>
      <c r="X19" s="52" t="str">
        <f aca="false">IF(A19="","",IF(OR(N19="Pending verification",N19=""),"Verification pending",""))</f>
        <v/>
      </c>
      <c r="Y19" s="54" t="str">
        <f aca="false">IF(A19="","",IF(R19="Yes","Scope limitation recorded",""))</f>
        <v/>
      </c>
      <c r="Z19" s="52" t="str">
        <f aca="false">IF(A19="","",IF(AND(ISNUMBER(V19),V19&lt;AsOf,U19&lt;&gt;""),"Follow-up overdue",""))</f>
        <v/>
      </c>
      <c r="AA19" s="54" t="str">
        <f aca="false">IF(A19="","",IF(COUNTIF(EV_ID,A19)&gt;1,"CHECK: duplicate ID",IF(B19="","CHECK: Supplier ID missing",IF(COUNTIF(INV_ID,B19)=0,"CHECK: Supplier ID not in inventory","OK"))))</f>
        <v/>
      </c>
      <c r="AB19" s="52" t="str">
        <f aca="false">IF(OR(A19="",B19=""),"",IF(B19=RptSup,B19&amp;"|"&amp;COUNTIF($B$7:B19,B19),""))</f>
        <v/>
      </c>
    </row>
    <row r="20" customFormat="false" ht="15" hidden="false" customHeight="false" outlineLevel="0" collapsed="false">
      <c r="A20" s="50"/>
      <c r="B20" s="50"/>
      <c r="C20" s="59" t="str">
        <f aca="false">IF(B20="","",IFERROR(INDEX(INV_NAME,MATCH(B20,INV_ID,0)),"CHECK: Supplier ID not found"))</f>
        <v/>
      </c>
      <c r="D20" s="34"/>
      <c r="E20" s="34"/>
      <c r="F20" s="34"/>
      <c r="G20" s="34"/>
      <c r="H20" s="51"/>
      <c r="I20" s="51"/>
      <c r="J20" s="51"/>
      <c r="K20" s="51"/>
      <c r="L20" s="34"/>
      <c r="M20" s="34"/>
      <c r="N20" s="34"/>
      <c r="O20" s="34"/>
      <c r="P20" s="34"/>
      <c r="Q20" s="34"/>
      <c r="R20" s="50"/>
      <c r="S20" s="50"/>
      <c r="T20" s="51"/>
      <c r="U20" s="34"/>
      <c r="V20" s="51"/>
      <c r="W20" s="54" t="str">
        <f aca="false">IF(A20="","",IF(ISNUMBER(I20),IF(I20&lt;AsOf,"Expired",IF(I20&lt;=AsOf+WarnEvidenceDays,"Approaching expiry","Current")),IF(ISNUMBER(K20),IF(K20&lt;AsOf,"Historical period ended "&amp;TEXT(K20,"yyyy-mm-dd")&amp;" - assess relevance; request update","Period current"),"No expiry or period recorded")))</f>
        <v/>
      </c>
      <c r="X20" s="52" t="str">
        <f aca="false">IF(A20="","",IF(OR(N20="Pending verification",N20=""),"Verification pending",""))</f>
        <v/>
      </c>
      <c r="Y20" s="54" t="str">
        <f aca="false">IF(A20="","",IF(R20="Yes","Scope limitation recorded",""))</f>
        <v/>
      </c>
      <c r="Z20" s="52" t="str">
        <f aca="false">IF(A20="","",IF(AND(ISNUMBER(V20),V20&lt;AsOf,U20&lt;&gt;""),"Follow-up overdue",""))</f>
        <v/>
      </c>
      <c r="AA20" s="54" t="str">
        <f aca="false">IF(A20="","",IF(COUNTIF(EV_ID,A20)&gt;1,"CHECK: duplicate ID",IF(B20="","CHECK: Supplier ID missing",IF(COUNTIF(INV_ID,B20)=0,"CHECK: Supplier ID not in inventory","OK"))))</f>
        <v/>
      </c>
      <c r="AB20" s="52" t="str">
        <f aca="false">IF(OR(A20="",B20=""),"",IF(B20=RptSup,B20&amp;"|"&amp;COUNTIF($B$7:B20,B20),""))</f>
        <v/>
      </c>
    </row>
    <row r="21" customFormat="false" ht="15" hidden="false" customHeight="false" outlineLevel="0" collapsed="false">
      <c r="A21" s="50"/>
      <c r="B21" s="50"/>
      <c r="C21" s="59" t="str">
        <f aca="false">IF(B21="","",IFERROR(INDEX(INV_NAME,MATCH(B21,INV_ID,0)),"CHECK: Supplier ID not found"))</f>
        <v/>
      </c>
      <c r="D21" s="34"/>
      <c r="E21" s="34"/>
      <c r="F21" s="34"/>
      <c r="G21" s="34"/>
      <c r="H21" s="51"/>
      <c r="I21" s="51"/>
      <c r="J21" s="51"/>
      <c r="K21" s="51"/>
      <c r="L21" s="34"/>
      <c r="M21" s="34"/>
      <c r="N21" s="34"/>
      <c r="O21" s="34"/>
      <c r="P21" s="34"/>
      <c r="Q21" s="34"/>
      <c r="R21" s="50"/>
      <c r="S21" s="50"/>
      <c r="T21" s="51"/>
      <c r="U21" s="34"/>
      <c r="V21" s="51"/>
      <c r="W21" s="54" t="str">
        <f aca="false">IF(A21="","",IF(ISNUMBER(I21),IF(I21&lt;AsOf,"Expired",IF(I21&lt;=AsOf+WarnEvidenceDays,"Approaching expiry","Current")),IF(ISNUMBER(K21),IF(K21&lt;AsOf,"Historical period ended "&amp;TEXT(K21,"yyyy-mm-dd")&amp;" - assess relevance; request update","Period current"),"No expiry or period recorded")))</f>
        <v/>
      </c>
      <c r="X21" s="52" t="str">
        <f aca="false">IF(A21="","",IF(OR(N21="Pending verification",N21=""),"Verification pending",""))</f>
        <v/>
      </c>
      <c r="Y21" s="54" t="str">
        <f aca="false">IF(A21="","",IF(R21="Yes","Scope limitation recorded",""))</f>
        <v/>
      </c>
      <c r="Z21" s="52" t="str">
        <f aca="false">IF(A21="","",IF(AND(ISNUMBER(V21),V21&lt;AsOf,U21&lt;&gt;""),"Follow-up overdue",""))</f>
        <v/>
      </c>
      <c r="AA21" s="54" t="str">
        <f aca="false">IF(A21="","",IF(COUNTIF(EV_ID,A21)&gt;1,"CHECK: duplicate ID",IF(B21="","CHECK: Supplier ID missing",IF(COUNTIF(INV_ID,B21)=0,"CHECK: Supplier ID not in inventory","OK"))))</f>
        <v/>
      </c>
      <c r="AB21" s="52" t="str">
        <f aca="false">IF(OR(A21="",B21=""),"",IF(B21=RptSup,B21&amp;"|"&amp;COUNTIF($B$7:B21,B21),""))</f>
        <v/>
      </c>
    </row>
    <row r="22" customFormat="false" ht="15" hidden="false" customHeight="false" outlineLevel="0" collapsed="false">
      <c r="A22" s="50"/>
      <c r="B22" s="50"/>
      <c r="C22" s="59" t="str">
        <f aca="false">IF(B22="","",IFERROR(INDEX(INV_NAME,MATCH(B22,INV_ID,0)),"CHECK: Supplier ID not found"))</f>
        <v/>
      </c>
      <c r="D22" s="34"/>
      <c r="E22" s="34"/>
      <c r="F22" s="34"/>
      <c r="G22" s="34"/>
      <c r="H22" s="51"/>
      <c r="I22" s="51"/>
      <c r="J22" s="51"/>
      <c r="K22" s="51"/>
      <c r="L22" s="34"/>
      <c r="M22" s="34"/>
      <c r="N22" s="34"/>
      <c r="O22" s="34"/>
      <c r="P22" s="34"/>
      <c r="Q22" s="34"/>
      <c r="R22" s="50"/>
      <c r="S22" s="50"/>
      <c r="T22" s="51"/>
      <c r="U22" s="34"/>
      <c r="V22" s="51"/>
      <c r="W22" s="54" t="str">
        <f aca="false">IF(A22="","",IF(ISNUMBER(I22),IF(I22&lt;AsOf,"Expired",IF(I22&lt;=AsOf+WarnEvidenceDays,"Approaching expiry","Current")),IF(ISNUMBER(K22),IF(K22&lt;AsOf,"Historical period ended "&amp;TEXT(K22,"yyyy-mm-dd")&amp;" - assess relevance; request update","Period current"),"No expiry or period recorded")))</f>
        <v/>
      </c>
      <c r="X22" s="52" t="str">
        <f aca="false">IF(A22="","",IF(OR(N22="Pending verification",N22=""),"Verification pending",""))</f>
        <v/>
      </c>
      <c r="Y22" s="54" t="str">
        <f aca="false">IF(A22="","",IF(R22="Yes","Scope limitation recorded",""))</f>
        <v/>
      </c>
      <c r="Z22" s="52" t="str">
        <f aca="false">IF(A22="","",IF(AND(ISNUMBER(V22),V22&lt;AsOf,U22&lt;&gt;""),"Follow-up overdue",""))</f>
        <v/>
      </c>
      <c r="AA22" s="54" t="str">
        <f aca="false">IF(A22="","",IF(COUNTIF(EV_ID,A22)&gt;1,"CHECK: duplicate ID",IF(B22="","CHECK: Supplier ID missing",IF(COUNTIF(INV_ID,B22)=0,"CHECK: Supplier ID not in inventory","OK"))))</f>
        <v/>
      </c>
      <c r="AB22" s="52" t="str">
        <f aca="false">IF(OR(A22="",B22=""),"",IF(B22=RptSup,B22&amp;"|"&amp;COUNTIF($B$7:B22,B22),""))</f>
        <v/>
      </c>
    </row>
    <row r="23" customFormat="false" ht="15" hidden="false" customHeight="false" outlineLevel="0" collapsed="false">
      <c r="A23" s="50"/>
      <c r="B23" s="50"/>
      <c r="C23" s="59" t="str">
        <f aca="false">IF(B23="","",IFERROR(INDEX(INV_NAME,MATCH(B23,INV_ID,0)),"CHECK: Supplier ID not found"))</f>
        <v/>
      </c>
      <c r="D23" s="34"/>
      <c r="E23" s="34"/>
      <c r="F23" s="34"/>
      <c r="G23" s="34"/>
      <c r="H23" s="51"/>
      <c r="I23" s="51"/>
      <c r="J23" s="51"/>
      <c r="K23" s="51"/>
      <c r="L23" s="34"/>
      <c r="M23" s="34"/>
      <c r="N23" s="34"/>
      <c r="O23" s="34"/>
      <c r="P23" s="34"/>
      <c r="Q23" s="34"/>
      <c r="R23" s="50"/>
      <c r="S23" s="50"/>
      <c r="T23" s="51"/>
      <c r="U23" s="34"/>
      <c r="V23" s="51"/>
      <c r="W23" s="54" t="str">
        <f aca="false">IF(A23="","",IF(ISNUMBER(I23),IF(I23&lt;AsOf,"Expired",IF(I23&lt;=AsOf+WarnEvidenceDays,"Approaching expiry","Current")),IF(ISNUMBER(K23),IF(K23&lt;AsOf,"Historical period ended "&amp;TEXT(K23,"yyyy-mm-dd")&amp;" - assess relevance; request update","Period current"),"No expiry or period recorded")))</f>
        <v/>
      </c>
      <c r="X23" s="52" t="str">
        <f aca="false">IF(A23="","",IF(OR(N23="Pending verification",N23=""),"Verification pending",""))</f>
        <v/>
      </c>
      <c r="Y23" s="54" t="str">
        <f aca="false">IF(A23="","",IF(R23="Yes","Scope limitation recorded",""))</f>
        <v/>
      </c>
      <c r="Z23" s="52" t="str">
        <f aca="false">IF(A23="","",IF(AND(ISNUMBER(V23),V23&lt;AsOf,U23&lt;&gt;""),"Follow-up overdue",""))</f>
        <v/>
      </c>
      <c r="AA23" s="54" t="str">
        <f aca="false">IF(A23="","",IF(COUNTIF(EV_ID,A23)&gt;1,"CHECK: duplicate ID",IF(B23="","CHECK: Supplier ID missing",IF(COUNTIF(INV_ID,B23)=0,"CHECK: Supplier ID not in inventory","OK"))))</f>
        <v/>
      </c>
      <c r="AB23" s="52" t="str">
        <f aca="false">IF(OR(A23="",B23=""),"",IF(B23=RptSup,B23&amp;"|"&amp;COUNTIF($B$7:B23,B23),""))</f>
        <v/>
      </c>
    </row>
    <row r="24" customFormat="false" ht="15" hidden="false" customHeight="false" outlineLevel="0" collapsed="false">
      <c r="A24" s="50"/>
      <c r="B24" s="50"/>
      <c r="C24" s="59" t="str">
        <f aca="false">IF(B24="","",IFERROR(INDEX(INV_NAME,MATCH(B24,INV_ID,0)),"CHECK: Supplier ID not found"))</f>
        <v/>
      </c>
      <c r="D24" s="34"/>
      <c r="E24" s="34"/>
      <c r="F24" s="34"/>
      <c r="G24" s="34"/>
      <c r="H24" s="51"/>
      <c r="I24" s="51"/>
      <c r="J24" s="51"/>
      <c r="K24" s="51"/>
      <c r="L24" s="34"/>
      <c r="M24" s="34"/>
      <c r="N24" s="34"/>
      <c r="O24" s="34"/>
      <c r="P24" s="34"/>
      <c r="Q24" s="34"/>
      <c r="R24" s="50"/>
      <c r="S24" s="50"/>
      <c r="T24" s="51"/>
      <c r="U24" s="34"/>
      <c r="V24" s="51"/>
      <c r="W24" s="54" t="str">
        <f aca="false">IF(A24="","",IF(ISNUMBER(I24),IF(I24&lt;AsOf,"Expired",IF(I24&lt;=AsOf+WarnEvidenceDays,"Approaching expiry","Current")),IF(ISNUMBER(K24),IF(K24&lt;AsOf,"Historical period ended "&amp;TEXT(K24,"yyyy-mm-dd")&amp;" - assess relevance; request update","Period current"),"No expiry or period recorded")))</f>
        <v/>
      </c>
      <c r="X24" s="52" t="str">
        <f aca="false">IF(A24="","",IF(OR(N24="Pending verification",N24=""),"Verification pending",""))</f>
        <v/>
      </c>
      <c r="Y24" s="54" t="str">
        <f aca="false">IF(A24="","",IF(R24="Yes","Scope limitation recorded",""))</f>
        <v/>
      </c>
      <c r="Z24" s="52" t="str">
        <f aca="false">IF(A24="","",IF(AND(ISNUMBER(V24),V24&lt;AsOf,U24&lt;&gt;""),"Follow-up overdue",""))</f>
        <v/>
      </c>
      <c r="AA24" s="54" t="str">
        <f aca="false">IF(A24="","",IF(COUNTIF(EV_ID,A24)&gt;1,"CHECK: duplicate ID",IF(B24="","CHECK: Supplier ID missing",IF(COUNTIF(INV_ID,B24)=0,"CHECK: Supplier ID not in inventory","OK"))))</f>
        <v/>
      </c>
      <c r="AB24" s="52" t="str">
        <f aca="false">IF(OR(A24="",B24=""),"",IF(B24=RptSup,B24&amp;"|"&amp;COUNTIF($B$7:B24,B24),""))</f>
        <v/>
      </c>
    </row>
    <row r="25" customFormat="false" ht="15" hidden="false" customHeight="false" outlineLevel="0" collapsed="false">
      <c r="A25" s="50"/>
      <c r="B25" s="50"/>
      <c r="C25" s="59" t="str">
        <f aca="false">IF(B25="","",IFERROR(INDEX(INV_NAME,MATCH(B25,INV_ID,0)),"CHECK: Supplier ID not found"))</f>
        <v/>
      </c>
      <c r="D25" s="34"/>
      <c r="E25" s="34"/>
      <c r="F25" s="34"/>
      <c r="G25" s="34"/>
      <c r="H25" s="51"/>
      <c r="I25" s="51"/>
      <c r="J25" s="51"/>
      <c r="K25" s="51"/>
      <c r="L25" s="34"/>
      <c r="M25" s="34"/>
      <c r="N25" s="34"/>
      <c r="O25" s="34"/>
      <c r="P25" s="34"/>
      <c r="Q25" s="34"/>
      <c r="R25" s="50"/>
      <c r="S25" s="50"/>
      <c r="T25" s="51"/>
      <c r="U25" s="34"/>
      <c r="V25" s="51"/>
      <c r="W25" s="54" t="str">
        <f aca="false">IF(A25="","",IF(ISNUMBER(I25),IF(I25&lt;AsOf,"Expired",IF(I25&lt;=AsOf+WarnEvidenceDays,"Approaching expiry","Current")),IF(ISNUMBER(K25),IF(K25&lt;AsOf,"Historical period ended "&amp;TEXT(K25,"yyyy-mm-dd")&amp;" - assess relevance; request update","Period current"),"No expiry or period recorded")))</f>
        <v/>
      </c>
      <c r="X25" s="52" t="str">
        <f aca="false">IF(A25="","",IF(OR(N25="Pending verification",N25=""),"Verification pending",""))</f>
        <v/>
      </c>
      <c r="Y25" s="54" t="str">
        <f aca="false">IF(A25="","",IF(R25="Yes","Scope limitation recorded",""))</f>
        <v/>
      </c>
      <c r="Z25" s="52" t="str">
        <f aca="false">IF(A25="","",IF(AND(ISNUMBER(V25),V25&lt;AsOf,U25&lt;&gt;""),"Follow-up overdue",""))</f>
        <v/>
      </c>
      <c r="AA25" s="54" t="str">
        <f aca="false">IF(A25="","",IF(COUNTIF(EV_ID,A25)&gt;1,"CHECK: duplicate ID",IF(B25="","CHECK: Supplier ID missing",IF(COUNTIF(INV_ID,B25)=0,"CHECK: Supplier ID not in inventory","OK"))))</f>
        <v/>
      </c>
      <c r="AB25" s="52" t="str">
        <f aca="false">IF(OR(A25="",B25=""),"",IF(B25=RptSup,B25&amp;"|"&amp;COUNTIF($B$7:B25,B25),""))</f>
        <v/>
      </c>
    </row>
    <row r="26" customFormat="false" ht="15" hidden="false" customHeight="false" outlineLevel="0" collapsed="false">
      <c r="A26" s="50"/>
      <c r="B26" s="50"/>
      <c r="C26" s="59" t="str">
        <f aca="false">IF(B26="","",IFERROR(INDEX(INV_NAME,MATCH(B26,INV_ID,0)),"CHECK: Supplier ID not found"))</f>
        <v/>
      </c>
      <c r="D26" s="34"/>
      <c r="E26" s="34"/>
      <c r="F26" s="34"/>
      <c r="G26" s="34"/>
      <c r="H26" s="51"/>
      <c r="I26" s="51"/>
      <c r="J26" s="51"/>
      <c r="K26" s="51"/>
      <c r="L26" s="34"/>
      <c r="M26" s="34"/>
      <c r="N26" s="34"/>
      <c r="O26" s="34"/>
      <c r="P26" s="34"/>
      <c r="Q26" s="34"/>
      <c r="R26" s="50"/>
      <c r="S26" s="50"/>
      <c r="T26" s="51"/>
      <c r="U26" s="34"/>
      <c r="V26" s="51"/>
      <c r="W26" s="54" t="str">
        <f aca="false">IF(A26="","",IF(ISNUMBER(I26),IF(I26&lt;AsOf,"Expired",IF(I26&lt;=AsOf+WarnEvidenceDays,"Approaching expiry","Current")),IF(ISNUMBER(K26),IF(K26&lt;AsOf,"Historical period ended "&amp;TEXT(K26,"yyyy-mm-dd")&amp;" - assess relevance; request update","Period current"),"No expiry or period recorded")))</f>
        <v/>
      </c>
      <c r="X26" s="52" t="str">
        <f aca="false">IF(A26="","",IF(OR(N26="Pending verification",N26=""),"Verification pending",""))</f>
        <v/>
      </c>
      <c r="Y26" s="54" t="str">
        <f aca="false">IF(A26="","",IF(R26="Yes","Scope limitation recorded",""))</f>
        <v/>
      </c>
      <c r="Z26" s="52" t="str">
        <f aca="false">IF(A26="","",IF(AND(ISNUMBER(V26),V26&lt;AsOf,U26&lt;&gt;""),"Follow-up overdue",""))</f>
        <v/>
      </c>
      <c r="AA26" s="54" t="str">
        <f aca="false">IF(A26="","",IF(COUNTIF(EV_ID,A26)&gt;1,"CHECK: duplicate ID",IF(B26="","CHECK: Supplier ID missing",IF(COUNTIF(INV_ID,B26)=0,"CHECK: Supplier ID not in inventory","OK"))))</f>
        <v/>
      </c>
      <c r="AB26" s="52" t="str">
        <f aca="false">IF(OR(A26="",B26=""),"",IF(B26=RptSup,B26&amp;"|"&amp;COUNTIF($B$7:B26,B26),""))</f>
        <v/>
      </c>
    </row>
    <row r="27" customFormat="false" ht="15" hidden="false" customHeight="false" outlineLevel="0" collapsed="false">
      <c r="A27" s="50"/>
      <c r="B27" s="50"/>
      <c r="C27" s="59" t="str">
        <f aca="false">IF(B27="","",IFERROR(INDEX(INV_NAME,MATCH(B27,INV_ID,0)),"CHECK: Supplier ID not found"))</f>
        <v/>
      </c>
      <c r="D27" s="34"/>
      <c r="E27" s="34"/>
      <c r="F27" s="34"/>
      <c r="G27" s="34"/>
      <c r="H27" s="51"/>
      <c r="I27" s="51"/>
      <c r="J27" s="51"/>
      <c r="K27" s="51"/>
      <c r="L27" s="34"/>
      <c r="M27" s="34"/>
      <c r="N27" s="34"/>
      <c r="O27" s="34"/>
      <c r="P27" s="34"/>
      <c r="Q27" s="34"/>
      <c r="R27" s="50"/>
      <c r="S27" s="50"/>
      <c r="T27" s="51"/>
      <c r="U27" s="34"/>
      <c r="V27" s="51"/>
      <c r="W27" s="54" t="str">
        <f aca="false">IF(A27="","",IF(ISNUMBER(I27),IF(I27&lt;AsOf,"Expired",IF(I27&lt;=AsOf+WarnEvidenceDays,"Approaching expiry","Current")),IF(ISNUMBER(K27),IF(K27&lt;AsOf,"Historical period ended "&amp;TEXT(K27,"yyyy-mm-dd")&amp;" - assess relevance; request update","Period current"),"No expiry or period recorded")))</f>
        <v/>
      </c>
      <c r="X27" s="52" t="str">
        <f aca="false">IF(A27="","",IF(OR(N27="Pending verification",N27=""),"Verification pending",""))</f>
        <v/>
      </c>
      <c r="Y27" s="54" t="str">
        <f aca="false">IF(A27="","",IF(R27="Yes","Scope limitation recorded",""))</f>
        <v/>
      </c>
      <c r="Z27" s="52" t="str">
        <f aca="false">IF(A27="","",IF(AND(ISNUMBER(V27),V27&lt;AsOf,U27&lt;&gt;""),"Follow-up overdue",""))</f>
        <v/>
      </c>
      <c r="AA27" s="54" t="str">
        <f aca="false">IF(A27="","",IF(COUNTIF(EV_ID,A27)&gt;1,"CHECK: duplicate ID",IF(B27="","CHECK: Supplier ID missing",IF(COUNTIF(INV_ID,B27)=0,"CHECK: Supplier ID not in inventory","OK"))))</f>
        <v/>
      </c>
      <c r="AB27" s="52" t="str">
        <f aca="false">IF(OR(A27="",B27=""),"",IF(B27=RptSup,B27&amp;"|"&amp;COUNTIF($B$7:B27,B27),""))</f>
        <v/>
      </c>
    </row>
    <row r="28" customFormat="false" ht="15" hidden="false" customHeight="false" outlineLevel="0" collapsed="false">
      <c r="A28" s="50"/>
      <c r="B28" s="50"/>
      <c r="C28" s="59" t="str">
        <f aca="false">IF(B28="","",IFERROR(INDEX(INV_NAME,MATCH(B28,INV_ID,0)),"CHECK: Supplier ID not found"))</f>
        <v/>
      </c>
      <c r="D28" s="34"/>
      <c r="E28" s="34"/>
      <c r="F28" s="34"/>
      <c r="G28" s="34"/>
      <c r="H28" s="51"/>
      <c r="I28" s="51"/>
      <c r="J28" s="51"/>
      <c r="K28" s="51"/>
      <c r="L28" s="34"/>
      <c r="M28" s="34"/>
      <c r="N28" s="34"/>
      <c r="O28" s="34"/>
      <c r="P28" s="34"/>
      <c r="Q28" s="34"/>
      <c r="R28" s="50"/>
      <c r="S28" s="50"/>
      <c r="T28" s="51"/>
      <c r="U28" s="34"/>
      <c r="V28" s="51"/>
      <c r="W28" s="54" t="str">
        <f aca="false">IF(A28="","",IF(ISNUMBER(I28),IF(I28&lt;AsOf,"Expired",IF(I28&lt;=AsOf+WarnEvidenceDays,"Approaching expiry","Current")),IF(ISNUMBER(K28),IF(K28&lt;AsOf,"Historical period ended "&amp;TEXT(K28,"yyyy-mm-dd")&amp;" - assess relevance; request update","Period current"),"No expiry or period recorded")))</f>
        <v/>
      </c>
      <c r="X28" s="52" t="str">
        <f aca="false">IF(A28="","",IF(OR(N28="Pending verification",N28=""),"Verification pending",""))</f>
        <v/>
      </c>
      <c r="Y28" s="54" t="str">
        <f aca="false">IF(A28="","",IF(R28="Yes","Scope limitation recorded",""))</f>
        <v/>
      </c>
      <c r="Z28" s="52" t="str">
        <f aca="false">IF(A28="","",IF(AND(ISNUMBER(V28),V28&lt;AsOf,U28&lt;&gt;""),"Follow-up overdue",""))</f>
        <v/>
      </c>
      <c r="AA28" s="54" t="str">
        <f aca="false">IF(A28="","",IF(COUNTIF(EV_ID,A28)&gt;1,"CHECK: duplicate ID",IF(B28="","CHECK: Supplier ID missing",IF(COUNTIF(INV_ID,B28)=0,"CHECK: Supplier ID not in inventory","OK"))))</f>
        <v/>
      </c>
      <c r="AB28" s="52" t="str">
        <f aca="false">IF(OR(A28="",B28=""),"",IF(B28=RptSup,B28&amp;"|"&amp;COUNTIF($B$7:B28,B28),""))</f>
        <v/>
      </c>
    </row>
    <row r="29" customFormat="false" ht="15" hidden="false" customHeight="false" outlineLevel="0" collapsed="false">
      <c r="A29" s="50"/>
      <c r="B29" s="50"/>
      <c r="C29" s="59" t="str">
        <f aca="false">IF(B29="","",IFERROR(INDEX(INV_NAME,MATCH(B29,INV_ID,0)),"CHECK: Supplier ID not found"))</f>
        <v/>
      </c>
      <c r="D29" s="34"/>
      <c r="E29" s="34"/>
      <c r="F29" s="34"/>
      <c r="G29" s="34"/>
      <c r="H29" s="51"/>
      <c r="I29" s="51"/>
      <c r="J29" s="51"/>
      <c r="K29" s="51"/>
      <c r="L29" s="34"/>
      <c r="M29" s="34"/>
      <c r="N29" s="34"/>
      <c r="O29" s="34"/>
      <c r="P29" s="34"/>
      <c r="Q29" s="34"/>
      <c r="R29" s="50"/>
      <c r="S29" s="50"/>
      <c r="T29" s="51"/>
      <c r="U29" s="34"/>
      <c r="V29" s="51"/>
      <c r="W29" s="54" t="str">
        <f aca="false">IF(A29="","",IF(ISNUMBER(I29),IF(I29&lt;AsOf,"Expired",IF(I29&lt;=AsOf+WarnEvidenceDays,"Approaching expiry","Current")),IF(ISNUMBER(K29),IF(K29&lt;AsOf,"Historical period ended "&amp;TEXT(K29,"yyyy-mm-dd")&amp;" - assess relevance; request update","Period current"),"No expiry or period recorded")))</f>
        <v/>
      </c>
      <c r="X29" s="52" t="str">
        <f aca="false">IF(A29="","",IF(OR(N29="Pending verification",N29=""),"Verification pending",""))</f>
        <v/>
      </c>
      <c r="Y29" s="54" t="str">
        <f aca="false">IF(A29="","",IF(R29="Yes","Scope limitation recorded",""))</f>
        <v/>
      </c>
      <c r="Z29" s="52" t="str">
        <f aca="false">IF(A29="","",IF(AND(ISNUMBER(V29),V29&lt;AsOf,U29&lt;&gt;""),"Follow-up overdue",""))</f>
        <v/>
      </c>
      <c r="AA29" s="54" t="str">
        <f aca="false">IF(A29="","",IF(COUNTIF(EV_ID,A29)&gt;1,"CHECK: duplicate ID",IF(B29="","CHECK: Supplier ID missing",IF(COUNTIF(INV_ID,B29)=0,"CHECK: Supplier ID not in inventory","OK"))))</f>
        <v/>
      </c>
      <c r="AB29" s="52" t="str">
        <f aca="false">IF(OR(A29="",B29=""),"",IF(B29=RptSup,B29&amp;"|"&amp;COUNTIF($B$7:B29,B29),""))</f>
        <v/>
      </c>
    </row>
    <row r="30" customFormat="false" ht="15" hidden="false" customHeight="false" outlineLevel="0" collapsed="false">
      <c r="A30" s="50"/>
      <c r="B30" s="50"/>
      <c r="C30" s="59" t="str">
        <f aca="false">IF(B30="","",IFERROR(INDEX(INV_NAME,MATCH(B30,INV_ID,0)),"CHECK: Supplier ID not found"))</f>
        <v/>
      </c>
      <c r="D30" s="34"/>
      <c r="E30" s="34"/>
      <c r="F30" s="34"/>
      <c r="G30" s="34"/>
      <c r="H30" s="51"/>
      <c r="I30" s="51"/>
      <c r="J30" s="51"/>
      <c r="K30" s="51"/>
      <c r="L30" s="34"/>
      <c r="M30" s="34"/>
      <c r="N30" s="34"/>
      <c r="O30" s="34"/>
      <c r="P30" s="34"/>
      <c r="Q30" s="34"/>
      <c r="R30" s="50"/>
      <c r="S30" s="50"/>
      <c r="T30" s="51"/>
      <c r="U30" s="34"/>
      <c r="V30" s="51"/>
      <c r="W30" s="54" t="str">
        <f aca="false">IF(A30="","",IF(ISNUMBER(I30),IF(I30&lt;AsOf,"Expired",IF(I30&lt;=AsOf+WarnEvidenceDays,"Approaching expiry","Current")),IF(ISNUMBER(K30),IF(K30&lt;AsOf,"Historical period ended "&amp;TEXT(K30,"yyyy-mm-dd")&amp;" - assess relevance; request update","Period current"),"No expiry or period recorded")))</f>
        <v/>
      </c>
      <c r="X30" s="52" t="str">
        <f aca="false">IF(A30="","",IF(OR(N30="Pending verification",N30=""),"Verification pending",""))</f>
        <v/>
      </c>
      <c r="Y30" s="54" t="str">
        <f aca="false">IF(A30="","",IF(R30="Yes","Scope limitation recorded",""))</f>
        <v/>
      </c>
      <c r="Z30" s="52" t="str">
        <f aca="false">IF(A30="","",IF(AND(ISNUMBER(V30),V30&lt;AsOf,U30&lt;&gt;""),"Follow-up overdue",""))</f>
        <v/>
      </c>
      <c r="AA30" s="54" t="str">
        <f aca="false">IF(A30="","",IF(COUNTIF(EV_ID,A30)&gt;1,"CHECK: duplicate ID",IF(B30="","CHECK: Supplier ID missing",IF(COUNTIF(INV_ID,B30)=0,"CHECK: Supplier ID not in inventory","OK"))))</f>
        <v/>
      </c>
      <c r="AB30" s="52" t="str">
        <f aca="false">IF(OR(A30="",B30=""),"",IF(B30=RptSup,B30&amp;"|"&amp;COUNTIF($B$7:B30,B30),""))</f>
        <v/>
      </c>
    </row>
    <row r="31" customFormat="false" ht="15" hidden="false" customHeight="false" outlineLevel="0" collapsed="false">
      <c r="A31" s="50"/>
      <c r="B31" s="50"/>
      <c r="C31" s="59" t="str">
        <f aca="false">IF(B31="","",IFERROR(INDEX(INV_NAME,MATCH(B31,INV_ID,0)),"CHECK: Supplier ID not found"))</f>
        <v/>
      </c>
      <c r="D31" s="34"/>
      <c r="E31" s="34"/>
      <c r="F31" s="34"/>
      <c r="G31" s="34"/>
      <c r="H31" s="51"/>
      <c r="I31" s="51"/>
      <c r="J31" s="51"/>
      <c r="K31" s="51"/>
      <c r="L31" s="34"/>
      <c r="M31" s="34"/>
      <c r="N31" s="34"/>
      <c r="O31" s="34"/>
      <c r="P31" s="34"/>
      <c r="Q31" s="34"/>
      <c r="R31" s="50"/>
      <c r="S31" s="50"/>
      <c r="T31" s="51"/>
      <c r="U31" s="34"/>
      <c r="V31" s="51"/>
      <c r="W31" s="54" t="str">
        <f aca="false">IF(A31="","",IF(ISNUMBER(I31),IF(I31&lt;AsOf,"Expired",IF(I31&lt;=AsOf+WarnEvidenceDays,"Approaching expiry","Current")),IF(ISNUMBER(K31),IF(K31&lt;AsOf,"Historical period ended "&amp;TEXT(K31,"yyyy-mm-dd")&amp;" - assess relevance; request update","Period current"),"No expiry or period recorded")))</f>
        <v/>
      </c>
      <c r="X31" s="52" t="str">
        <f aca="false">IF(A31="","",IF(OR(N31="Pending verification",N31=""),"Verification pending",""))</f>
        <v/>
      </c>
      <c r="Y31" s="54" t="str">
        <f aca="false">IF(A31="","",IF(R31="Yes","Scope limitation recorded",""))</f>
        <v/>
      </c>
      <c r="Z31" s="52" t="str">
        <f aca="false">IF(A31="","",IF(AND(ISNUMBER(V31),V31&lt;AsOf,U31&lt;&gt;""),"Follow-up overdue",""))</f>
        <v/>
      </c>
      <c r="AA31" s="54" t="str">
        <f aca="false">IF(A31="","",IF(COUNTIF(EV_ID,A31)&gt;1,"CHECK: duplicate ID",IF(B31="","CHECK: Supplier ID missing",IF(COUNTIF(INV_ID,B31)=0,"CHECK: Supplier ID not in inventory","OK"))))</f>
        <v/>
      </c>
      <c r="AB31" s="52" t="str">
        <f aca="false">IF(OR(A31="",B31=""),"",IF(B31=RptSup,B31&amp;"|"&amp;COUNTIF($B$7:B31,B31),""))</f>
        <v/>
      </c>
    </row>
    <row r="32" customFormat="false" ht="15" hidden="false" customHeight="false" outlineLevel="0" collapsed="false">
      <c r="A32" s="50"/>
      <c r="B32" s="50"/>
      <c r="C32" s="59" t="str">
        <f aca="false">IF(B32="","",IFERROR(INDEX(INV_NAME,MATCH(B32,INV_ID,0)),"CHECK: Supplier ID not found"))</f>
        <v/>
      </c>
      <c r="D32" s="34"/>
      <c r="E32" s="34"/>
      <c r="F32" s="34"/>
      <c r="G32" s="34"/>
      <c r="H32" s="51"/>
      <c r="I32" s="51"/>
      <c r="J32" s="51"/>
      <c r="K32" s="51"/>
      <c r="L32" s="34"/>
      <c r="M32" s="34"/>
      <c r="N32" s="34"/>
      <c r="O32" s="34"/>
      <c r="P32" s="34"/>
      <c r="Q32" s="34"/>
      <c r="R32" s="50"/>
      <c r="S32" s="50"/>
      <c r="T32" s="51"/>
      <c r="U32" s="34"/>
      <c r="V32" s="51"/>
      <c r="W32" s="54" t="str">
        <f aca="false">IF(A32="","",IF(ISNUMBER(I32),IF(I32&lt;AsOf,"Expired",IF(I32&lt;=AsOf+WarnEvidenceDays,"Approaching expiry","Current")),IF(ISNUMBER(K32),IF(K32&lt;AsOf,"Historical period ended "&amp;TEXT(K32,"yyyy-mm-dd")&amp;" - assess relevance; request update","Period current"),"No expiry or period recorded")))</f>
        <v/>
      </c>
      <c r="X32" s="52" t="str">
        <f aca="false">IF(A32="","",IF(OR(N32="Pending verification",N32=""),"Verification pending",""))</f>
        <v/>
      </c>
      <c r="Y32" s="54" t="str">
        <f aca="false">IF(A32="","",IF(R32="Yes","Scope limitation recorded",""))</f>
        <v/>
      </c>
      <c r="Z32" s="52" t="str">
        <f aca="false">IF(A32="","",IF(AND(ISNUMBER(V32),V32&lt;AsOf,U32&lt;&gt;""),"Follow-up overdue",""))</f>
        <v/>
      </c>
      <c r="AA32" s="54" t="str">
        <f aca="false">IF(A32="","",IF(COUNTIF(EV_ID,A32)&gt;1,"CHECK: duplicate ID",IF(B32="","CHECK: Supplier ID missing",IF(COUNTIF(INV_ID,B32)=0,"CHECK: Supplier ID not in inventory","OK"))))</f>
        <v/>
      </c>
      <c r="AB32" s="52" t="str">
        <f aca="false">IF(OR(A32="",B32=""),"",IF(B32=RptSup,B32&amp;"|"&amp;COUNTIF($B$7:B32,B32),""))</f>
        <v/>
      </c>
    </row>
    <row r="33" customFormat="false" ht="15" hidden="false" customHeight="false" outlineLevel="0" collapsed="false">
      <c r="A33" s="50"/>
      <c r="B33" s="50"/>
      <c r="C33" s="59" t="str">
        <f aca="false">IF(B33="","",IFERROR(INDEX(INV_NAME,MATCH(B33,INV_ID,0)),"CHECK: Supplier ID not found"))</f>
        <v/>
      </c>
      <c r="D33" s="34"/>
      <c r="E33" s="34"/>
      <c r="F33" s="34"/>
      <c r="G33" s="34"/>
      <c r="H33" s="51"/>
      <c r="I33" s="51"/>
      <c r="J33" s="51"/>
      <c r="K33" s="51"/>
      <c r="L33" s="34"/>
      <c r="M33" s="34"/>
      <c r="N33" s="34"/>
      <c r="O33" s="34"/>
      <c r="P33" s="34"/>
      <c r="Q33" s="34"/>
      <c r="R33" s="50"/>
      <c r="S33" s="50"/>
      <c r="T33" s="51"/>
      <c r="U33" s="34"/>
      <c r="V33" s="51"/>
      <c r="W33" s="54" t="str">
        <f aca="false">IF(A33="","",IF(ISNUMBER(I33),IF(I33&lt;AsOf,"Expired",IF(I33&lt;=AsOf+WarnEvidenceDays,"Approaching expiry","Current")),IF(ISNUMBER(K33),IF(K33&lt;AsOf,"Historical period ended "&amp;TEXT(K33,"yyyy-mm-dd")&amp;" - assess relevance; request update","Period current"),"No expiry or period recorded")))</f>
        <v/>
      </c>
      <c r="X33" s="52" t="str">
        <f aca="false">IF(A33="","",IF(OR(N33="Pending verification",N33=""),"Verification pending",""))</f>
        <v/>
      </c>
      <c r="Y33" s="54" t="str">
        <f aca="false">IF(A33="","",IF(R33="Yes","Scope limitation recorded",""))</f>
        <v/>
      </c>
      <c r="Z33" s="52" t="str">
        <f aca="false">IF(A33="","",IF(AND(ISNUMBER(V33),V33&lt;AsOf,U33&lt;&gt;""),"Follow-up overdue",""))</f>
        <v/>
      </c>
      <c r="AA33" s="54" t="str">
        <f aca="false">IF(A33="","",IF(COUNTIF(EV_ID,A33)&gt;1,"CHECK: duplicate ID",IF(B33="","CHECK: Supplier ID missing",IF(COUNTIF(INV_ID,B33)=0,"CHECK: Supplier ID not in inventory","OK"))))</f>
        <v/>
      </c>
      <c r="AB33" s="52" t="str">
        <f aca="false">IF(OR(A33="",B33=""),"",IF(B33=RptSup,B33&amp;"|"&amp;COUNTIF($B$7:B33,B33),""))</f>
        <v/>
      </c>
    </row>
    <row r="34" customFormat="false" ht="15" hidden="false" customHeight="false" outlineLevel="0" collapsed="false">
      <c r="A34" s="50"/>
      <c r="B34" s="50"/>
      <c r="C34" s="59" t="str">
        <f aca="false">IF(B34="","",IFERROR(INDEX(INV_NAME,MATCH(B34,INV_ID,0)),"CHECK: Supplier ID not found"))</f>
        <v/>
      </c>
      <c r="D34" s="34"/>
      <c r="E34" s="34"/>
      <c r="F34" s="34"/>
      <c r="G34" s="34"/>
      <c r="H34" s="51"/>
      <c r="I34" s="51"/>
      <c r="J34" s="51"/>
      <c r="K34" s="51"/>
      <c r="L34" s="34"/>
      <c r="M34" s="34"/>
      <c r="N34" s="34"/>
      <c r="O34" s="34"/>
      <c r="P34" s="34"/>
      <c r="Q34" s="34"/>
      <c r="R34" s="50"/>
      <c r="S34" s="50"/>
      <c r="T34" s="51"/>
      <c r="U34" s="34"/>
      <c r="V34" s="51"/>
      <c r="W34" s="54" t="str">
        <f aca="false">IF(A34="","",IF(ISNUMBER(I34),IF(I34&lt;AsOf,"Expired",IF(I34&lt;=AsOf+WarnEvidenceDays,"Approaching expiry","Current")),IF(ISNUMBER(K34),IF(K34&lt;AsOf,"Historical period ended "&amp;TEXT(K34,"yyyy-mm-dd")&amp;" - assess relevance; request update","Period current"),"No expiry or period recorded")))</f>
        <v/>
      </c>
      <c r="X34" s="52" t="str">
        <f aca="false">IF(A34="","",IF(OR(N34="Pending verification",N34=""),"Verification pending",""))</f>
        <v/>
      </c>
      <c r="Y34" s="54" t="str">
        <f aca="false">IF(A34="","",IF(R34="Yes","Scope limitation recorded",""))</f>
        <v/>
      </c>
      <c r="Z34" s="52" t="str">
        <f aca="false">IF(A34="","",IF(AND(ISNUMBER(V34),V34&lt;AsOf,U34&lt;&gt;""),"Follow-up overdue",""))</f>
        <v/>
      </c>
      <c r="AA34" s="54" t="str">
        <f aca="false">IF(A34="","",IF(COUNTIF(EV_ID,A34)&gt;1,"CHECK: duplicate ID",IF(B34="","CHECK: Supplier ID missing",IF(COUNTIF(INV_ID,B34)=0,"CHECK: Supplier ID not in inventory","OK"))))</f>
        <v/>
      </c>
      <c r="AB34" s="52" t="str">
        <f aca="false">IF(OR(A34="",B34=""),"",IF(B34=RptSup,B34&amp;"|"&amp;COUNTIF($B$7:B34,B34),""))</f>
        <v/>
      </c>
    </row>
    <row r="35" customFormat="false" ht="15" hidden="false" customHeight="false" outlineLevel="0" collapsed="false">
      <c r="A35" s="50"/>
      <c r="B35" s="50"/>
      <c r="C35" s="59" t="str">
        <f aca="false">IF(B35="","",IFERROR(INDEX(INV_NAME,MATCH(B35,INV_ID,0)),"CHECK: Supplier ID not found"))</f>
        <v/>
      </c>
      <c r="D35" s="34"/>
      <c r="E35" s="34"/>
      <c r="F35" s="34"/>
      <c r="G35" s="34"/>
      <c r="H35" s="51"/>
      <c r="I35" s="51"/>
      <c r="J35" s="51"/>
      <c r="K35" s="51"/>
      <c r="L35" s="34"/>
      <c r="M35" s="34"/>
      <c r="N35" s="34"/>
      <c r="O35" s="34"/>
      <c r="P35" s="34"/>
      <c r="Q35" s="34"/>
      <c r="R35" s="50"/>
      <c r="S35" s="50"/>
      <c r="T35" s="51"/>
      <c r="U35" s="34"/>
      <c r="V35" s="51"/>
      <c r="W35" s="54" t="str">
        <f aca="false">IF(A35="","",IF(ISNUMBER(I35),IF(I35&lt;AsOf,"Expired",IF(I35&lt;=AsOf+WarnEvidenceDays,"Approaching expiry","Current")),IF(ISNUMBER(K35),IF(K35&lt;AsOf,"Historical period ended "&amp;TEXT(K35,"yyyy-mm-dd")&amp;" - assess relevance; request update","Period current"),"No expiry or period recorded")))</f>
        <v/>
      </c>
      <c r="X35" s="52" t="str">
        <f aca="false">IF(A35="","",IF(OR(N35="Pending verification",N35=""),"Verification pending",""))</f>
        <v/>
      </c>
      <c r="Y35" s="54" t="str">
        <f aca="false">IF(A35="","",IF(R35="Yes","Scope limitation recorded",""))</f>
        <v/>
      </c>
      <c r="Z35" s="52" t="str">
        <f aca="false">IF(A35="","",IF(AND(ISNUMBER(V35),V35&lt;AsOf,U35&lt;&gt;""),"Follow-up overdue",""))</f>
        <v/>
      </c>
      <c r="AA35" s="54" t="str">
        <f aca="false">IF(A35="","",IF(COUNTIF(EV_ID,A35)&gt;1,"CHECK: duplicate ID",IF(B35="","CHECK: Supplier ID missing",IF(COUNTIF(INV_ID,B35)=0,"CHECK: Supplier ID not in inventory","OK"))))</f>
        <v/>
      </c>
      <c r="AB35" s="52" t="str">
        <f aca="false">IF(OR(A35="",B35=""),"",IF(B35=RptSup,B35&amp;"|"&amp;COUNTIF($B$7:B35,B35),""))</f>
        <v/>
      </c>
    </row>
    <row r="36" customFormat="false" ht="15" hidden="false" customHeight="false" outlineLevel="0" collapsed="false">
      <c r="A36" s="50"/>
      <c r="B36" s="50"/>
      <c r="C36" s="59" t="str">
        <f aca="false">IF(B36="","",IFERROR(INDEX(INV_NAME,MATCH(B36,INV_ID,0)),"CHECK: Supplier ID not found"))</f>
        <v/>
      </c>
      <c r="D36" s="34"/>
      <c r="E36" s="34"/>
      <c r="F36" s="34"/>
      <c r="G36" s="34"/>
      <c r="H36" s="51"/>
      <c r="I36" s="51"/>
      <c r="J36" s="51"/>
      <c r="K36" s="51"/>
      <c r="L36" s="34"/>
      <c r="M36" s="34"/>
      <c r="N36" s="34"/>
      <c r="O36" s="34"/>
      <c r="P36" s="34"/>
      <c r="Q36" s="34"/>
      <c r="R36" s="50"/>
      <c r="S36" s="50"/>
      <c r="T36" s="51"/>
      <c r="U36" s="34"/>
      <c r="V36" s="51"/>
      <c r="W36" s="54" t="str">
        <f aca="false">IF(A36="","",IF(ISNUMBER(I36),IF(I36&lt;AsOf,"Expired",IF(I36&lt;=AsOf+WarnEvidenceDays,"Approaching expiry","Current")),IF(ISNUMBER(K36),IF(K36&lt;AsOf,"Historical period ended "&amp;TEXT(K36,"yyyy-mm-dd")&amp;" - assess relevance; request update","Period current"),"No expiry or period recorded")))</f>
        <v/>
      </c>
      <c r="X36" s="52" t="str">
        <f aca="false">IF(A36="","",IF(OR(N36="Pending verification",N36=""),"Verification pending",""))</f>
        <v/>
      </c>
      <c r="Y36" s="54" t="str">
        <f aca="false">IF(A36="","",IF(R36="Yes","Scope limitation recorded",""))</f>
        <v/>
      </c>
      <c r="Z36" s="52" t="str">
        <f aca="false">IF(A36="","",IF(AND(ISNUMBER(V36),V36&lt;AsOf,U36&lt;&gt;""),"Follow-up overdue",""))</f>
        <v/>
      </c>
      <c r="AA36" s="54" t="str">
        <f aca="false">IF(A36="","",IF(COUNTIF(EV_ID,A36)&gt;1,"CHECK: duplicate ID",IF(B36="","CHECK: Supplier ID missing",IF(COUNTIF(INV_ID,B36)=0,"CHECK: Supplier ID not in inventory","OK"))))</f>
        <v/>
      </c>
      <c r="AB36" s="52" t="str">
        <f aca="false">IF(OR(A36="",B36=""),"",IF(B36=RptSup,B36&amp;"|"&amp;COUNTIF($B$7:B36,B36),""))</f>
        <v/>
      </c>
    </row>
    <row r="37" customFormat="false" ht="15" hidden="false" customHeight="false" outlineLevel="0" collapsed="false">
      <c r="A37" s="50"/>
      <c r="B37" s="50"/>
      <c r="C37" s="59" t="str">
        <f aca="false">IF(B37="","",IFERROR(INDEX(INV_NAME,MATCH(B37,INV_ID,0)),"CHECK: Supplier ID not found"))</f>
        <v/>
      </c>
      <c r="D37" s="34"/>
      <c r="E37" s="34"/>
      <c r="F37" s="34"/>
      <c r="G37" s="34"/>
      <c r="H37" s="51"/>
      <c r="I37" s="51"/>
      <c r="J37" s="51"/>
      <c r="K37" s="51"/>
      <c r="L37" s="34"/>
      <c r="M37" s="34"/>
      <c r="N37" s="34"/>
      <c r="O37" s="34"/>
      <c r="P37" s="34"/>
      <c r="Q37" s="34"/>
      <c r="R37" s="50"/>
      <c r="S37" s="50"/>
      <c r="T37" s="51"/>
      <c r="U37" s="34"/>
      <c r="V37" s="51"/>
      <c r="W37" s="54" t="str">
        <f aca="false">IF(A37="","",IF(ISNUMBER(I37),IF(I37&lt;AsOf,"Expired",IF(I37&lt;=AsOf+WarnEvidenceDays,"Approaching expiry","Current")),IF(ISNUMBER(K37),IF(K37&lt;AsOf,"Historical period ended "&amp;TEXT(K37,"yyyy-mm-dd")&amp;" - assess relevance; request update","Period current"),"No expiry or period recorded")))</f>
        <v/>
      </c>
      <c r="X37" s="52" t="str">
        <f aca="false">IF(A37="","",IF(OR(N37="Pending verification",N37=""),"Verification pending",""))</f>
        <v/>
      </c>
      <c r="Y37" s="54" t="str">
        <f aca="false">IF(A37="","",IF(R37="Yes","Scope limitation recorded",""))</f>
        <v/>
      </c>
      <c r="Z37" s="52" t="str">
        <f aca="false">IF(A37="","",IF(AND(ISNUMBER(V37),V37&lt;AsOf,U37&lt;&gt;""),"Follow-up overdue",""))</f>
        <v/>
      </c>
      <c r="AA37" s="54" t="str">
        <f aca="false">IF(A37="","",IF(COUNTIF(EV_ID,A37)&gt;1,"CHECK: duplicate ID",IF(B37="","CHECK: Supplier ID missing",IF(COUNTIF(INV_ID,B37)=0,"CHECK: Supplier ID not in inventory","OK"))))</f>
        <v/>
      </c>
      <c r="AB37" s="52" t="str">
        <f aca="false">IF(OR(A37="",B37=""),"",IF(B37=RptSup,B37&amp;"|"&amp;COUNTIF($B$7:B37,B37),""))</f>
        <v/>
      </c>
    </row>
    <row r="38" customFormat="false" ht="15" hidden="false" customHeight="false" outlineLevel="0" collapsed="false">
      <c r="A38" s="50"/>
      <c r="B38" s="50"/>
      <c r="C38" s="59" t="str">
        <f aca="false">IF(B38="","",IFERROR(INDEX(INV_NAME,MATCH(B38,INV_ID,0)),"CHECK: Supplier ID not found"))</f>
        <v/>
      </c>
      <c r="D38" s="34"/>
      <c r="E38" s="34"/>
      <c r="F38" s="34"/>
      <c r="G38" s="34"/>
      <c r="H38" s="51"/>
      <c r="I38" s="51"/>
      <c r="J38" s="51"/>
      <c r="K38" s="51"/>
      <c r="L38" s="34"/>
      <c r="M38" s="34"/>
      <c r="N38" s="34"/>
      <c r="O38" s="34"/>
      <c r="P38" s="34"/>
      <c r="Q38" s="34"/>
      <c r="R38" s="50"/>
      <c r="S38" s="50"/>
      <c r="T38" s="51"/>
      <c r="U38" s="34"/>
      <c r="V38" s="51"/>
      <c r="W38" s="54" t="str">
        <f aca="false">IF(A38="","",IF(ISNUMBER(I38),IF(I38&lt;AsOf,"Expired",IF(I38&lt;=AsOf+WarnEvidenceDays,"Approaching expiry","Current")),IF(ISNUMBER(K38),IF(K38&lt;AsOf,"Historical period ended "&amp;TEXT(K38,"yyyy-mm-dd")&amp;" - assess relevance; request update","Period current"),"No expiry or period recorded")))</f>
        <v/>
      </c>
      <c r="X38" s="52" t="str">
        <f aca="false">IF(A38="","",IF(OR(N38="Pending verification",N38=""),"Verification pending",""))</f>
        <v/>
      </c>
      <c r="Y38" s="54" t="str">
        <f aca="false">IF(A38="","",IF(R38="Yes","Scope limitation recorded",""))</f>
        <v/>
      </c>
      <c r="Z38" s="52" t="str">
        <f aca="false">IF(A38="","",IF(AND(ISNUMBER(V38),V38&lt;AsOf,U38&lt;&gt;""),"Follow-up overdue",""))</f>
        <v/>
      </c>
      <c r="AA38" s="54" t="str">
        <f aca="false">IF(A38="","",IF(COUNTIF(EV_ID,A38)&gt;1,"CHECK: duplicate ID",IF(B38="","CHECK: Supplier ID missing",IF(COUNTIF(INV_ID,B38)=0,"CHECK: Supplier ID not in inventory","OK"))))</f>
        <v/>
      </c>
      <c r="AB38" s="52" t="str">
        <f aca="false">IF(OR(A38="",B38=""),"",IF(B38=RptSup,B38&amp;"|"&amp;COUNTIF($B$7:B38,B38),""))</f>
        <v/>
      </c>
    </row>
    <row r="39" customFormat="false" ht="15" hidden="false" customHeight="false" outlineLevel="0" collapsed="false">
      <c r="A39" s="50"/>
      <c r="B39" s="50"/>
      <c r="C39" s="59" t="str">
        <f aca="false">IF(B39="","",IFERROR(INDEX(INV_NAME,MATCH(B39,INV_ID,0)),"CHECK: Supplier ID not found"))</f>
        <v/>
      </c>
      <c r="D39" s="34"/>
      <c r="E39" s="34"/>
      <c r="F39" s="34"/>
      <c r="G39" s="34"/>
      <c r="H39" s="51"/>
      <c r="I39" s="51"/>
      <c r="J39" s="51"/>
      <c r="K39" s="51"/>
      <c r="L39" s="34"/>
      <c r="M39" s="34"/>
      <c r="N39" s="34"/>
      <c r="O39" s="34"/>
      <c r="P39" s="34"/>
      <c r="Q39" s="34"/>
      <c r="R39" s="50"/>
      <c r="S39" s="50"/>
      <c r="T39" s="51"/>
      <c r="U39" s="34"/>
      <c r="V39" s="51"/>
      <c r="W39" s="54" t="str">
        <f aca="false">IF(A39="","",IF(ISNUMBER(I39),IF(I39&lt;AsOf,"Expired",IF(I39&lt;=AsOf+WarnEvidenceDays,"Approaching expiry","Current")),IF(ISNUMBER(K39),IF(K39&lt;AsOf,"Historical period ended "&amp;TEXT(K39,"yyyy-mm-dd")&amp;" - assess relevance; request update","Period current"),"No expiry or period recorded")))</f>
        <v/>
      </c>
      <c r="X39" s="52" t="str">
        <f aca="false">IF(A39="","",IF(OR(N39="Pending verification",N39=""),"Verification pending",""))</f>
        <v/>
      </c>
      <c r="Y39" s="54" t="str">
        <f aca="false">IF(A39="","",IF(R39="Yes","Scope limitation recorded",""))</f>
        <v/>
      </c>
      <c r="Z39" s="52" t="str">
        <f aca="false">IF(A39="","",IF(AND(ISNUMBER(V39),V39&lt;AsOf,U39&lt;&gt;""),"Follow-up overdue",""))</f>
        <v/>
      </c>
      <c r="AA39" s="54" t="str">
        <f aca="false">IF(A39="","",IF(COUNTIF(EV_ID,A39)&gt;1,"CHECK: duplicate ID",IF(B39="","CHECK: Supplier ID missing",IF(COUNTIF(INV_ID,B39)=0,"CHECK: Supplier ID not in inventory","OK"))))</f>
        <v/>
      </c>
      <c r="AB39" s="52" t="str">
        <f aca="false">IF(OR(A39="",B39=""),"",IF(B39=RptSup,B39&amp;"|"&amp;COUNTIF($B$7:B39,B39),""))</f>
        <v/>
      </c>
    </row>
    <row r="40" customFormat="false" ht="15" hidden="false" customHeight="false" outlineLevel="0" collapsed="false">
      <c r="A40" s="50"/>
      <c r="B40" s="50"/>
      <c r="C40" s="59" t="str">
        <f aca="false">IF(B40="","",IFERROR(INDEX(INV_NAME,MATCH(B40,INV_ID,0)),"CHECK: Supplier ID not found"))</f>
        <v/>
      </c>
      <c r="D40" s="34"/>
      <c r="E40" s="34"/>
      <c r="F40" s="34"/>
      <c r="G40" s="34"/>
      <c r="H40" s="51"/>
      <c r="I40" s="51"/>
      <c r="J40" s="51"/>
      <c r="K40" s="51"/>
      <c r="L40" s="34"/>
      <c r="M40" s="34"/>
      <c r="N40" s="34"/>
      <c r="O40" s="34"/>
      <c r="P40" s="34"/>
      <c r="Q40" s="34"/>
      <c r="R40" s="50"/>
      <c r="S40" s="50"/>
      <c r="T40" s="51"/>
      <c r="U40" s="34"/>
      <c r="V40" s="51"/>
      <c r="W40" s="54" t="str">
        <f aca="false">IF(A40="","",IF(ISNUMBER(I40),IF(I40&lt;AsOf,"Expired",IF(I40&lt;=AsOf+WarnEvidenceDays,"Approaching expiry","Current")),IF(ISNUMBER(K40),IF(K40&lt;AsOf,"Historical period ended "&amp;TEXT(K40,"yyyy-mm-dd")&amp;" - assess relevance; request update","Period current"),"No expiry or period recorded")))</f>
        <v/>
      </c>
      <c r="X40" s="52" t="str">
        <f aca="false">IF(A40="","",IF(OR(N40="Pending verification",N40=""),"Verification pending",""))</f>
        <v/>
      </c>
      <c r="Y40" s="54" t="str">
        <f aca="false">IF(A40="","",IF(R40="Yes","Scope limitation recorded",""))</f>
        <v/>
      </c>
      <c r="Z40" s="52" t="str">
        <f aca="false">IF(A40="","",IF(AND(ISNUMBER(V40),V40&lt;AsOf,U40&lt;&gt;""),"Follow-up overdue",""))</f>
        <v/>
      </c>
      <c r="AA40" s="54" t="str">
        <f aca="false">IF(A40="","",IF(COUNTIF(EV_ID,A40)&gt;1,"CHECK: duplicate ID",IF(B40="","CHECK: Supplier ID missing",IF(COUNTIF(INV_ID,B40)=0,"CHECK: Supplier ID not in inventory","OK"))))</f>
        <v/>
      </c>
      <c r="AB40" s="52" t="str">
        <f aca="false">IF(OR(A40="",B40=""),"",IF(B40=RptSup,B40&amp;"|"&amp;COUNTIF($B$7:B40,B40),""))</f>
        <v/>
      </c>
    </row>
    <row r="41" customFormat="false" ht="15" hidden="false" customHeight="false" outlineLevel="0" collapsed="false">
      <c r="A41" s="50"/>
      <c r="B41" s="50"/>
      <c r="C41" s="59" t="str">
        <f aca="false">IF(B41="","",IFERROR(INDEX(INV_NAME,MATCH(B41,INV_ID,0)),"CHECK: Supplier ID not found"))</f>
        <v/>
      </c>
      <c r="D41" s="34"/>
      <c r="E41" s="34"/>
      <c r="F41" s="34"/>
      <c r="G41" s="34"/>
      <c r="H41" s="51"/>
      <c r="I41" s="51"/>
      <c r="J41" s="51"/>
      <c r="K41" s="51"/>
      <c r="L41" s="34"/>
      <c r="M41" s="34"/>
      <c r="N41" s="34"/>
      <c r="O41" s="34"/>
      <c r="P41" s="34"/>
      <c r="Q41" s="34"/>
      <c r="R41" s="50"/>
      <c r="S41" s="50"/>
      <c r="T41" s="51"/>
      <c r="U41" s="34"/>
      <c r="V41" s="51"/>
      <c r="W41" s="54" t="str">
        <f aca="false">IF(A41="","",IF(ISNUMBER(I41),IF(I41&lt;AsOf,"Expired",IF(I41&lt;=AsOf+WarnEvidenceDays,"Approaching expiry","Current")),IF(ISNUMBER(K41),IF(K41&lt;AsOf,"Historical period ended "&amp;TEXT(K41,"yyyy-mm-dd")&amp;" - assess relevance; request update","Period current"),"No expiry or period recorded")))</f>
        <v/>
      </c>
      <c r="X41" s="52" t="str">
        <f aca="false">IF(A41="","",IF(OR(N41="Pending verification",N41=""),"Verification pending",""))</f>
        <v/>
      </c>
      <c r="Y41" s="54" t="str">
        <f aca="false">IF(A41="","",IF(R41="Yes","Scope limitation recorded",""))</f>
        <v/>
      </c>
      <c r="Z41" s="52" t="str">
        <f aca="false">IF(A41="","",IF(AND(ISNUMBER(V41),V41&lt;AsOf,U41&lt;&gt;""),"Follow-up overdue",""))</f>
        <v/>
      </c>
      <c r="AA41" s="54" t="str">
        <f aca="false">IF(A41="","",IF(COUNTIF(EV_ID,A41)&gt;1,"CHECK: duplicate ID",IF(B41="","CHECK: Supplier ID missing",IF(COUNTIF(INV_ID,B41)=0,"CHECK: Supplier ID not in inventory","OK"))))</f>
        <v/>
      </c>
      <c r="AB41" s="52" t="str">
        <f aca="false">IF(OR(A41="",B41=""),"",IF(B41=RptSup,B41&amp;"|"&amp;COUNTIF($B$7:B41,B41),""))</f>
        <v/>
      </c>
    </row>
    <row r="42" customFormat="false" ht="15" hidden="false" customHeight="false" outlineLevel="0" collapsed="false">
      <c r="A42" s="50"/>
      <c r="B42" s="50"/>
      <c r="C42" s="59" t="str">
        <f aca="false">IF(B42="","",IFERROR(INDEX(INV_NAME,MATCH(B42,INV_ID,0)),"CHECK: Supplier ID not found"))</f>
        <v/>
      </c>
      <c r="D42" s="34"/>
      <c r="E42" s="34"/>
      <c r="F42" s="34"/>
      <c r="G42" s="34"/>
      <c r="H42" s="51"/>
      <c r="I42" s="51"/>
      <c r="J42" s="51"/>
      <c r="K42" s="51"/>
      <c r="L42" s="34"/>
      <c r="M42" s="34"/>
      <c r="N42" s="34"/>
      <c r="O42" s="34"/>
      <c r="P42" s="34"/>
      <c r="Q42" s="34"/>
      <c r="R42" s="50"/>
      <c r="S42" s="50"/>
      <c r="T42" s="51"/>
      <c r="U42" s="34"/>
      <c r="V42" s="51"/>
      <c r="W42" s="54" t="str">
        <f aca="false">IF(A42="","",IF(ISNUMBER(I42),IF(I42&lt;AsOf,"Expired",IF(I42&lt;=AsOf+WarnEvidenceDays,"Approaching expiry","Current")),IF(ISNUMBER(K42),IF(K42&lt;AsOf,"Historical period ended "&amp;TEXT(K42,"yyyy-mm-dd")&amp;" - assess relevance; request update","Period current"),"No expiry or period recorded")))</f>
        <v/>
      </c>
      <c r="X42" s="52" t="str">
        <f aca="false">IF(A42="","",IF(OR(N42="Pending verification",N42=""),"Verification pending",""))</f>
        <v/>
      </c>
      <c r="Y42" s="54" t="str">
        <f aca="false">IF(A42="","",IF(R42="Yes","Scope limitation recorded",""))</f>
        <v/>
      </c>
      <c r="Z42" s="52" t="str">
        <f aca="false">IF(A42="","",IF(AND(ISNUMBER(V42),V42&lt;AsOf,U42&lt;&gt;""),"Follow-up overdue",""))</f>
        <v/>
      </c>
      <c r="AA42" s="54" t="str">
        <f aca="false">IF(A42="","",IF(COUNTIF(EV_ID,A42)&gt;1,"CHECK: duplicate ID",IF(B42="","CHECK: Supplier ID missing",IF(COUNTIF(INV_ID,B42)=0,"CHECK: Supplier ID not in inventory","OK"))))</f>
        <v/>
      </c>
      <c r="AB42" s="52" t="str">
        <f aca="false">IF(OR(A42="",B42=""),"",IF(B42=RptSup,B42&amp;"|"&amp;COUNTIF($B$7:B42,B42),""))</f>
        <v/>
      </c>
    </row>
    <row r="43" customFormat="false" ht="15" hidden="false" customHeight="false" outlineLevel="0" collapsed="false">
      <c r="A43" s="50"/>
      <c r="B43" s="50"/>
      <c r="C43" s="59" t="str">
        <f aca="false">IF(B43="","",IFERROR(INDEX(INV_NAME,MATCH(B43,INV_ID,0)),"CHECK: Supplier ID not found"))</f>
        <v/>
      </c>
      <c r="D43" s="34"/>
      <c r="E43" s="34"/>
      <c r="F43" s="34"/>
      <c r="G43" s="34"/>
      <c r="H43" s="51"/>
      <c r="I43" s="51"/>
      <c r="J43" s="51"/>
      <c r="K43" s="51"/>
      <c r="L43" s="34"/>
      <c r="M43" s="34"/>
      <c r="N43" s="34"/>
      <c r="O43" s="34"/>
      <c r="P43" s="34"/>
      <c r="Q43" s="34"/>
      <c r="R43" s="50"/>
      <c r="S43" s="50"/>
      <c r="T43" s="51"/>
      <c r="U43" s="34"/>
      <c r="V43" s="51"/>
      <c r="W43" s="54" t="str">
        <f aca="false">IF(A43="","",IF(ISNUMBER(I43),IF(I43&lt;AsOf,"Expired",IF(I43&lt;=AsOf+WarnEvidenceDays,"Approaching expiry","Current")),IF(ISNUMBER(K43),IF(K43&lt;AsOf,"Historical period ended "&amp;TEXT(K43,"yyyy-mm-dd")&amp;" - assess relevance; request update","Period current"),"No expiry or period recorded")))</f>
        <v/>
      </c>
      <c r="X43" s="52" t="str">
        <f aca="false">IF(A43="","",IF(OR(N43="Pending verification",N43=""),"Verification pending",""))</f>
        <v/>
      </c>
      <c r="Y43" s="54" t="str">
        <f aca="false">IF(A43="","",IF(R43="Yes","Scope limitation recorded",""))</f>
        <v/>
      </c>
      <c r="Z43" s="52" t="str">
        <f aca="false">IF(A43="","",IF(AND(ISNUMBER(V43),V43&lt;AsOf,U43&lt;&gt;""),"Follow-up overdue",""))</f>
        <v/>
      </c>
      <c r="AA43" s="54" t="str">
        <f aca="false">IF(A43="","",IF(COUNTIF(EV_ID,A43)&gt;1,"CHECK: duplicate ID",IF(B43="","CHECK: Supplier ID missing",IF(COUNTIF(INV_ID,B43)=0,"CHECK: Supplier ID not in inventory","OK"))))</f>
        <v/>
      </c>
      <c r="AB43" s="52" t="str">
        <f aca="false">IF(OR(A43="",B43=""),"",IF(B43=RptSup,B43&amp;"|"&amp;COUNTIF($B$7:B43,B43),""))</f>
        <v/>
      </c>
    </row>
    <row r="44" customFormat="false" ht="15" hidden="false" customHeight="false" outlineLevel="0" collapsed="false">
      <c r="A44" s="50"/>
      <c r="B44" s="50"/>
      <c r="C44" s="59" t="str">
        <f aca="false">IF(B44="","",IFERROR(INDEX(INV_NAME,MATCH(B44,INV_ID,0)),"CHECK: Supplier ID not found"))</f>
        <v/>
      </c>
      <c r="D44" s="34"/>
      <c r="E44" s="34"/>
      <c r="F44" s="34"/>
      <c r="G44" s="34"/>
      <c r="H44" s="51"/>
      <c r="I44" s="51"/>
      <c r="J44" s="51"/>
      <c r="K44" s="51"/>
      <c r="L44" s="34"/>
      <c r="M44" s="34"/>
      <c r="N44" s="34"/>
      <c r="O44" s="34"/>
      <c r="P44" s="34"/>
      <c r="Q44" s="34"/>
      <c r="R44" s="50"/>
      <c r="S44" s="50"/>
      <c r="T44" s="51"/>
      <c r="U44" s="34"/>
      <c r="V44" s="51"/>
      <c r="W44" s="54" t="str">
        <f aca="false">IF(A44="","",IF(ISNUMBER(I44),IF(I44&lt;AsOf,"Expired",IF(I44&lt;=AsOf+WarnEvidenceDays,"Approaching expiry","Current")),IF(ISNUMBER(K44),IF(K44&lt;AsOf,"Historical period ended "&amp;TEXT(K44,"yyyy-mm-dd")&amp;" - assess relevance; request update","Period current"),"No expiry or period recorded")))</f>
        <v/>
      </c>
      <c r="X44" s="52" t="str">
        <f aca="false">IF(A44="","",IF(OR(N44="Pending verification",N44=""),"Verification pending",""))</f>
        <v/>
      </c>
      <c r="Y44" s="54" t="str">
        <f aca="false">IF(A44="","",IF(R44="Yes","Scope limitation recorded",""))</f>
        <v/>
      </c>
      <c r="Z44" s="52" t="str">
        <f aca="false">IF(A44="","",IF(AND(ISNUMBER(V44),V44&lt;AsOf,U44&lt;&gt;""),"Follow-up overdue",""))</f>
        <v/>
      </c>
      <c r="AA44" s="54" t="str">
        <f aca="false">IF(A44="","",IF(COUNTIF(EV_ID,A44)&gt;1,"CHECK: duplicate ID",IF(B44="","CHECK: Supplier ID missing",IF(COUNTIF(INV_ID,B44)=0,"CHECK: Supplier ID not in inventory","OK"))))</f>
        <v/>
      </c>
      <c r="AB44" s="52" t="str">
        <f aca="false">IF(OR(A44="",B44=""),"",IF(B44=RptSup,B44&amp;"|"&amp;COUNTIF($B$7:B44,B44),""))</f>
        <v/>
      </c>
    </row>
    <row r="45" customFormat="false" ht="15" hidden="false" customHeight="false" outlineLevel="0" collapsed="false">
      <c r="A45" s="50"/>
      <c r="B45" s="50"/>
      <c r="C45" s="59" t="str">
        <f aca="false">IF(B45="","",IFERROR(INDEX(INV_NAME,MATCH(B45,INV_ID,0)),"CHECK: Supplier ID not found"))</f>
        <v/>
      </c>
      <c r="D45" s="34"/>
      <c r="E45" s="34"/>
      <c r="F45" s="34"/>
      <c r="G45" s="34"/>
      <c r="H45" s="51"/>
      <c r="I45" s="51"/>
      <c r="J45" s="51"/>
      <c r="K45" s="51"/>
      <c r="L45" s="34"/>
      <c r="M45" s="34"/>
      <c r="N45" s="34"/>
      <c r="O45" s="34"/>
      <c r="P45" s="34"/>
      <c r="Q45" s="34"/>
      <c r="R45" s="50"/>
      <c r="S45" s="50"/>
      <c r="T45" s="51"/>
      <c r="U45" s="34"/>
      <c r="V45" s="51"/>
      <c r="W45" s="54" t="str">
        <f aca="false">IF(A45="","",IF(ISNUMBER(I45),IF(I45&lt;AsOf,"Expired",IF(I45&lt;=AsOf+WarnEvidenceDays,"Approaching expiry","Current")),IF(ISNUMBER(K45),IF(K45&lt;AsOf,"Historical period ended "&amp;TEXT(K45,"yyyy-mm-dd")&amp;" - assess relevance; request update","Period current"),"No expiry or period recorded")))</f>
        <v/>
      </c>
      <c r="X45" s="52" t="str">
        <f aca="false">IF(A45="","",IF(OR(N45="Pending verification",N45=""),"Verification pending",""))</f>
        <v/>
      </c>
      <c r="Y45" s="54" t="str">
        <f aca="false">IF(A45="","",IF(R45="Yes","Scope limitation recorded",""))</f>
        <v/>
      </c>
      <c r="Z45" s="52" t="str">
        <f aca="false">IF(A45="","",IF(AND(ISNUMBER(V45),V45&lt;AsOf,U45&lt;&gt;""),"Follow-up overdue",""))</f>
        <v/>
      </c>
      <c r="AA45" s="54" t="str">
        <f aca="false">IF(A45="","",IF(COUNTIF(EV_ID,A45)&gt;1,"CHECK: duplicate ID",IF(B45="","CHECK: Supplier ID missing",IF(COUNTIF(INV_ID,B45)=0,"CHECK: Supplier ID not in inventory","OK"))))</f>
        <v/>
      </c>
      <c r="AB45" s="52" t="str">
        <f aca="false">IF(OR(A45="",B45=""),"",IF(B45=RptSup,B45&amp;"|"&amp;COUNTIF($B$7:B45,B45),""))</f>
        <v/>
      </c>
    </row>
    <row r="46" customFormat="false" ht="15" hidden="false" customHeight="false" outlineLevel="0" collapsed="false">
      <c r="A46" s="50"/>
      <c r="B46" s="50"/>
      <c r="C46" s="59" t="str">
        <f aca="false">IF(B46="","",IFERROR(INDEX(INV_NAME,MATCH(B46,INV_ID,0)),"CHECK: Supplier ID not found"))</f>
        <v/>
      </c>
      <c r="D46" s="34"/>
      <c r="E46" s="34"/>
      <c r="F46" s="34"/>
      <c r="G46" s="34"/>
      <c r="H46" s="51"/>
      <c r="I46" s="51"/>
      <c r="J46" s="51"/>
      <c r="K46" s="51"/>
      <c r="L46" s="34"/>
      <c r="M46" s="34"/>
      <c r="N46" s="34"/>
      <c r="O46" s="34"/>
      <c r="P46" s="34"/>
      <c r="Q46" s="34"/>
      <c r="R46" s="50"/>
      <c r="S46" s="50"/>
      <c r="T46" s="51"/>
      <c r="U46" s="34"/>
      <c r="V46" s="51"/>
      <c r="W46" s="54" t="str">
        <f aca="false">IF(A46="","",IF(ISNUMBER(I46),IF(I46&lt;AsOf,"Expired",IF(I46&lt;=AsOf+WarnEvidenceDays,"Approaching expiry","Current")),IF(ISNUMBER(K46),IF(K46&lt;AsOf,"Historical period ended "&amp;TEXT(K46,"yyyy-mm-dd")&amp;" - assess relevance; request update","Period current"),"No expiry or period recorded")))</f>
        <v/>
      </c>
      <c r="X46" s="52" t="str">
        <f aca="false">IF(A46="","",IF(OR(N46="Pending verification",N46=""),"Verification pending",""))</f>
        <v/>
      </c>
      <c r="Y46" s="54" t="str">
        <f aca="false">IF(A46="","",IF(R46="Yes","Scope limitation recorded",""))</f>
        <v/>
      </c>
      <c r="Z46" s="52" t="str">
        <f aca="false">IF(A46="","",IF(AND(ISNUMBER(V46),V46&lt;AsOf,U46&lt;&gt;""),"Follow-up overdue",""))</f>
        <v/>
      </c>
      <c r="AA46" s="54" t="str">
        <f aca="false">IF(A46="","",IF(COUNTIF(EV_ID,A46)&gt;1,"CHECK: duplicate ID",IF(B46="","CHECK: Supplier ID missing",IF(COUNTIF(INV_ID,B46)=0,"CHECK: Supplier ID not in inventory","OK"))))</f>
        <v/>
      </c>
      <c r="AB46" s="52" t="str">
        <f aca="false">IF(OR(A46="",B46=""),"",IF(B46=RptSup,B46&amp;"|"&amp;COUNTIF($B$7:B46,B46),""))</f>
        <v/>
      </c>
    </row>
    <row r="47" customFormat="false" ht="15" hidden="false" customHeight="false" outlineLevel="0" collapsed="false">
      <c r="A47" s="50"/>
      <c r="B47" s="50"/>
      <c r="C47" s="59" t="str">
        <f aca="false">IF(B47="","",IFERROR(INDEX(INV_NAME,MATCH(B47,INV_ID,0)),"CHECK: Supplier ID not found"))</f>
        <v/>
      </c>
      <c r="D47" s="34"/>
      <c r="E47" s="34"/>
      <c r="F47" s="34"/>
      <c r="G47" s="34"/>
      <c r="H47" s="51"/>
      <c r="I47" s="51"/>
      <c r="J47" s="51"/>
      <c r="K47" s="51"/>
      <c r="L47" s="34"/>
      <c r="M47" s="34"/>
      <c r="N47" s="34"/>
      <c r="O47" s="34"/>
      <c r="P47" s="34"/>
      <c r="Q47" s="34"/>
      <c r="R47" s="50"/>
      <c r="S47" s="50"/>
      <c r="T47" s="51"/>
      <c r="U47" s="34"/>
      <c r="V47" s="51"/>
      <c r="W47" s="54" t="str">
        <f aca="false">IF(A47="","",IF(ISNUMBER(I47),IF(I47&lt;AsOf,"Expired",IF(I47&lt;=AsOf+WarnEvidenceDays,"Approaching expiry","Current")),IF(ISNUMBER(K47),IF(K47&lt;AsOf,"Historical period ended "&amp;TEXT(K47,"yyyy-mm-dd")&amp;" - assess relevance; request update","Period current"),"No expiry or period recorded")))</f>
        <v/>
      </c>
      <c r="X47" s="52" t="str">
        <f aca="false">IF(A47="","",IF(OR(N47="Pending verification",N47=""),"Verification pending",""))</f>
        <v/>
      </c>
      <c r="Y47" s="54" t="str">
        <f aca="false">IF(A47="","",IF(R47="Yes","Scope limitation recorded",""))</f>
        <v/>
      </c>
      <c r="Z47" s="52" t="str">
        <f aca="false">IF(A47="","",IF(AND(ISNUMBER(V47),V47&lt;AsOf,U47&lt;&gt;""),"Follow-up overdue",""))</f>
        <v/>
      </c>
      <c r="AA47" s="54" t="str">
        <f aca="false">IF(A47="","",IF(COUNTIF(EV_ID,A47)&gt;1,"CHECK: duplicate ID",IF(B47="","CHECK: Supplier ID missing",IF(COUNTIF(INV_ID,B47)=0,"CHECK: Supplier ID not in inventory","OK"))))</f>
        <v/>
      </c>
      <c r="AB47" s="52" t="str">
        <f aca="false">IF(OR(A47="",B47=""),"",IF(B47=RptSup,B47&amp;"|"&amp;COUNTIF($B$7:B47,B47),""))</f>
        <v/>
      </c>
    </row>
    <row r="48" customFormat="false" ht="15" hidden="false" customHeight="false" outlineLevel="0" collapsed="false">
      <c r="A48" s="50"/>
      <c r="B48" s="50"/>
      <c r="C48" s="59" t="str">
        <f aca="false">IF(B48="","",IFERROR(INDEX(INV_NAME,MATCH(B48,INV_ID,0)),"CHECK: Supplier ID not found"))</f>
        <v/>
      </c>
      <c r="D48" s="34"/>
      <c r="E48" s="34"/>
      <c r="F48" s="34"/>
      <c r="G48" s="34"/>
      <c r="H48" s="51"/>
      <c r="I48" s="51"/>
      <c r="J48" s="51"/>
      <c r="K48" s="51"/>
      <c r="L48" s="34"/>
      <c r="M48" s="34"/>
      <c r="N48" s="34"/>
      <c r="O48" s="34"/>
      <c r="P48" s="34"/>
      <c r="Q48" s="34"/>
      <c r="R48" s="50"/>
      <c r="S48" s="50"/>
      <c r="T48" s="51"/>
      <c r="U48" s="34"/>
      <c r="V48" s="51"/>
      <c r="W48" s="54" t="str">
        <f aca="false">IF(A48="","",IF(ISNUMBER(I48),IF(I48&lt;AsOf,"Expired",IF(I48&lt;=AsOf+WarnEvidenceDays,"Approaching expiry","Current")),IF(ISNUMBER(K48),IF(K48&lt;AsOf,"Historical period ended "&amp;TEXT(K48,"yyyy-mm-dd")&amp;" - assess relevance; request update","Period current"),"No expiry or period recorded")))</f>
        <v/>
      </c>
      <c r="X48" s="52" t="str">
        <f aca="false">IF(A48="","",IF(OR(N48="Pending verification",N48=""),"Verification pending",""))</f>
        <v/>
      </c>
      <c r="Y48" s="54" t="str">
        <f aca="false">IF(A48="","",IF(R48="Yes","Scope limitation recorded",""))</f>
        <v/>
      </c>
      <c r="Z48" s="52" t="str">
        <f aca="false">IF(A48="","",IF(AND(ISNUMBER(V48),V48&lt;AsOf,U48&lt;&gt;""),"Follow-up overdue",""))</f>
        <v/>
      </c>
      <c r="AA48" s="54" t="str">
        <f aca="false">IF(A48="","",IF(COUNTIF(EV_ID,A48)&gt;1,"CHECK: duplicate ID",IF(B48="","CHECK: Supplier ID missing",IF(COUNTIF(INV_ID,B48)=0,"CHECK: Supplier ID not in inventory","OK"))))</f>
        <v/>
      </c>
      <c r="AB48" s="52" t="str">
        <f aca="false">IF(OR(A48="",B48=""),"",IF(B48=RptSup,B48&amp;"|"&amp;COUNTIF($B$7:B48,B48),""))</f>
        <v/>
      </c>
    </row>
    <row r="49" customFormat="false" ht="15" hidden="false" customHeight="false" outlineLevel="0" collapsed="false">
      <c r="A49" s="50"/>
      <c r="B49" s="50"/>
      <c r="C49" s="59" t="str">
        <f aca="false">IF(B49="","",IFERROR(INDEX(INV_NAME,MATCH(B49,INV_ID,0)),"CHECK: Supplier ID not found"))</f>
        <v/>
      </c>
      <c r="D49" s="34"/>
      <c r="E49" s="34"/>
      <c r="F49" s="34"/>
      <c r="G49" s="34"/>
      <c r="H49" s="51"/>
      <c r="I49" s="51"/>
      <c r="J49" s="51"/>
      <c r="K49" s="51"/>
      <c r="L49" s="34"/>
      <c r="M49" s="34"/>
      <c r="N49" s="34"/>
      <c r="O49" s="34"/>
      <c r="P49" s="34"/>
      <c r="Q49" s="34"/>
      <c r="R49" s="50"/>
      <c r="S49" s="50"/>
      <c r="T49" s="51"/>
      <c r="U49" s="34"/>
      <c r="V49" s="51"/>
      <c r="W49" s="54" t="str">
        <f aca="false">IF(A49="","",IF(ISNUMBER(I49),IF(I49&lt;AsOf,"Expired",IF(I49&lt;=AsOf+WarnEvidenceDays,"Approaching expiry","Current")),IF(ISNUMBER(K49),IF(K49&lt;AsOf,"Historical period ended "&amp;TEXT(K49,"yyyy-mm-dd")&amp;" - assess relevance; request update","Period current"),"No expiry or period recorded")))</f>
        <v/>
      </c>
      <c r="X49" s="52" t="str">
        <f aca="false">IF(A49="","",IF(OR(N49="Pending verification",N49=""),"Verification pending",""))</f>
        <v/>
      </c>
      <c r="Y49" s="54" t="str">
        <f aca="false">IF(A49="","",IF(R49="Yes","Scope limitation recorded",""))</f>
        <v/>
      </c>
      <c r="Z49" s="52" t="str">
        <f aca="false">IF(A49="","",IF(AND(ISNUMBER(V49),V49&lt;AsOf,U49&lt;&gt;""),"Follow-up overdue",""))</f>
        <v/>
      </c>
      <c r="AA49" s="54" t="str">
        <f aca="false">IF(A49="","",IF(COUNTIF(EV_ID,A49)&gt;1,"CHECK: duplicate ID",IF(B49="","CHECK: Supplier ID missing",IF(COUNTIF(INV_ID,B49)=0,"CHECK: Supplier ID not in inventory","OK"))))</f>
        <v/>
      </c>
      <c r="AB49" s="52" t="str">
        <f aca="false">IF(OR(A49="",B49=""),"",IF(B49=RptSup,B49&amp;"|"&amp;COUNTIF($B$7:B49,B49),""))</f>
        <v/>
      </c>
    </row>
    <row r="50" customFormat="false" ht="15" hidden="false" customHeight="false" outlineLevel="0" collapsed="false">
      <c r="A50" s="50"/>
      <c r="B50" s="50"/>
      <c r="C50" s="59" t="str">
        <f aca="false">IF(B50="","",IFERROR(INDEX(INV_NAME,MATCH(B50,INV_ID,0)),"CHECK: Supplier ID not found"))</f>
        <v/>
      </c>
      <c r="D50" s="34"/>
      <c r="E50" s="34"/>
      <c r="F50" s="34"/>
      <c r="G50" s="34"/>
      <c r="H50" s="51"/>
      <c r="I50" s="51"/>
      <c r="J50" s="51"/>
      <c r="K50" s="51"/>
      <c r="L50" s="34"/>
      <c r="M50" s="34"/>
      <c r="N50" s="34"/>
      <c r="O50" s="34"/>
      <c r="P50" s="34"/>
      <c r="Q50" s="34"/>
      <c r="R50" s="50"/>
      <c r="S50" s="50"/>
      <c r="T50" s="51"/>
      <c r="U50" s="34"/>
      <c r="V50" s="51"/>
      <c r="W50" s="54" t="str">
        <f aca="false">IF(A50="","",IF(ISNUMBER(I50),IF(I50&lt;AsOf,"Expired",IF(I50&lt;=AsOf+WarnEvidenceDays,"Approaching expiry","Current")),IF(ISNUMBER(K50),IF(K50&lt;AsOf,"Historical period ended "&amp;TEXT(K50,"yyyy-mm-dd")&amp;" - assess relevance; request update","Period current"),"No expiry or period recorded")))</f>
        <v/>
      </c>
      <c r="X50" s="52" t="str">
        <f aca="false">IF(A50="","",IF(OR(N50="Pending verification",N50=""),"Verification pending",""))</f>
        <v/>
      </c>
      <c r="Y50" s="54" t="str">
        <f aca="false">IF(A50="","",IF(R50="Yes","Scope limitation recorded",""))</f>
        <v/>
      </c>
      <c r="Z50" s="52" t="str">
        <f aca="false">IF(A50="","",IF(AND(ISNUMBER(V50),V50&lt;AsOf,U50&lt;&gt;""),"Follow-up overdue",""))</f>
        <v/>
      </c>
      <c r="AA50" s="54" t="str">
        <f aca="false">IF(A50="","",IF(COUNTIF(EV_ID,A50)&gt;1,"CHECK: duplicate ID",IF(B50="","CHECK: Supplier ID missing",IF(COUNTIF(INV_ID,B50)=0,"CHECK: Supplier ID not in inventory","OK"))))</f>
        <v/>
      </c>
      <c r="AB50" s="52" t="str">
        <f aca="false">IF(OR(A50="",B50=""),"",IF(B50=RptSup,B50&amp;"|"&amp;COUNTIF($B$7:B50,B50),""))</f>
        <v/>
      </c>
    </row>
    <row r="51" customFormat="false" ht="15" hidden="false" customHeight="false" outlineLevel="0" collapsed="false">
      <c r="A51" s="50"/>
      <c r="B51" s="50"/>
      <c r="C51" s="59" t="str">
        <f aca="false">IF(B51="","",IFERROR(INDEX(INV_NAME,MATCH(B51,INV_ID,0)),"CHECK: Supplier ID not found"))</f>
        <v/>
      </c>
      <c r="D51" s="34"/>
      <c r="E51" s="34"/>
      <c r="F51" s="34"/>
      <c r="G51" s="34"/>
      <c r="H51" s="51"/>
      <c r="I51" s="51"/>
      <c r="J51" s="51"/>
      <c r="K51" s="51"/>
      <c r="L51" s="34"/>
      <c r="M51" s="34"/>
      <c r="N51" s="34"/>
      <c r="O51" s="34"/>
      <c r="P51" s="34"/>
      <c r="Q51" s="34"/>
      <c r="R51" s="50"/>
      <c r="S51" s="50"/>
      <c r="T51" s="51"/>
      <c r="U51" s="34"/>
      <c r="V51" s="51"/>
      <c r="W51" s="54" t="str">
        <f aca="false">IF(A51="","",IF(ISNUMBER(I51),IF(I51&lt;AsOf,"Expired",IF(I51&lt;=AsOf+WarnEvidenceDays,"Approaching expiry","Current")),IF(ISNUMBER(K51),IF(K51&lt;AsOf,"Historical period ended "&amp;TEXT(K51,"yyyy-mm-dd")&amp;" - assess relevance; request update","Period current"),"No expiry or period recorded")))</f>
        <v/>
      </c>
      <c r="X51" s="52" t="str">
        <f aca="false">IF(A51="","",IF(OR(N51="Pending verification",N51=""),"Verification pending",""))</f>
        <v/>
      </c>
      <c r="Y51" s="54" t="str">
        <f aca="false">IF(A51="","",IF(R51="Yes","Scope limitation recorded",""))</f>
        <v/>
      </c>
      <c r="Z51" s="52" t="str">
        <f aca="false">IF(A51="","",IF(AND(ISNUMBER(V51),V51&lt;AsOf,U51&lt;&gt;""),"Follow-up overdue",""))</f>
        <v/>
      </c>
      <c r="AA51" s="54" t="str">
        <f aca="false">IF(A51="","",IF(COUNTIF(EV_ID,A51)&gt;1,"CHECK: duplicate ID",IF(B51="","CHECK: Supplier ID missing",IF(COUNTIF(INV_ID,B51)=0,"CHECK: Supplier ID not in inventory","OK"))))</f>
        <v/>
      </c>
      <c r="AB51" s="52" t="str">
        <f aca="false">IF(OR(A51="",B51=""),"",IF(B51=RptSup,B51&amp;"|"&amp;COUNTIF($B$7:B51,B51),""))</f>
        <v/>
      </c>
    </row>
    <row r="52" customFormat="false" ht="15" hidden="false" customHeight="false" outlineLevel="0" collapsed="false">
      <c r="A52" s="50"/>
      <c r="B52" s="50"/>
      <c r="C52" s="59" t="str">
        <f aca="false">IF(B52="","",IFERROR(INDEX(INV_NAME,MATCH(B52,INV_ID,0)),"CHECK: Supplier ID not found"))</f>
        <v/>
      </c>
      <c r="D52" s="34"/>
      <c r="E52" s="34"/>
      <c r="F52" s="34"/>
      <c r="G52" s="34"/>
      <c r="H52" s="51"/>
      <c r="I52" s="51"/>
      <c r="J52" s="51"/>
      <c r="K52" s="51"/>
      <c r="L52" s="34"/>
      <c r="M52" s="34"/>
      <c r="N52" s="34"/>
      <c r="O52" s="34"/>
      <c r="P52" s="34"/>
      <c r="Q52" s="34"/>
      <c r="R52" s="50"/>
      <c r="S52" s="50"/>
      <c r="T52" s="51"/>
      <c r="U52" s="34"/>
      <c r="V52" s="51"/>
      <c r="W52" s="54" t="str">
        <f aca="false">IF(A52="","",IF(ISNUMBER(I52),IF(I52&lt;AsOf,"Expired",IF(I52&lt;=AsOf+WarnEvidenceDays,"Approaching expiry","Current")),IF(ISNUMBER(K52),IF(K52&lt;AsOf,"Historical period ended "&amp;TEXT(K52,"yyyy-mm-dd")&amp;" - assess relevance; request update","Period current"),"No expiry or period recorded")))</f>
        <v/>
      </c>
      <c r="X52" s="52" t="str">
        <f aca="false">IF(A52="","",IF(OR(N52="Pending verification",N52=""),"Verification pending",""))</f>
        <v/>
      </c>
      <c r="Y52" s="54" t="str">
        <f aca="false">IF(A52="","",IF(R52="Yes","Scope limitation recorded",""))</f>
        <v/>
      </c>
      <c r="Z52" s="52" t="str">
        <f aca="false">IF(A52="","",IF(AND(ISNUMBER(V52),V52&lt;AsOf,U52&lt;&gt;""),"Follow-up overdue",""))</f>
        <v/>
      </c>
      <c r="AA52" s="54" t="str">
        <f aca="false">IF(A52="","",IF(COUNTIF(EV_ID,A52)&gt;1,"CHECK: duplicate ID",IF(B52="","CHECK: Supplier ID missing",IF(COUNTIF(INV_ID,B52)=0,"CHECK: Supplier ID not in inventory","OK"))))</f>
        <v/>
      </c>
      <c r="AB52" s="52" t="str">
        <f aca="false">IF(OR(A52="",B52=""),"",IF(B52=RptSup,B52&amp;"|"&amp;COUNTIF($B$7:B52,B52),""))</f>
        <v/>
      </c>
    </row>
    <row r="53" customFormat="false" ht="15" hidden="false" customHeight="false" outlineLevel="0" collapsed="false">
      <c r="A53" s="50"/>
      <c r="B53" s="50"/>
      <c r="C53" s="59" t="str">
        <f aca="false">IF(B53="","",IFERROR(INDEX(INV_NAME,MATCH(B53,INV_ID,0)),"CHECK: Supplier ID not found"))</f>
        <v/>
      </c>
      <c r="D53" s="34"/>
      <c r="E53" s="34"/>
      <c r="F53" s="34"/>
      <c r="G53" s="34"/>
      <c r="H53" s="51"/>
      <c r="I53" s="51"/>
      <c r="J53" s="51"/>
      <c r="K53" s="51"/>
      <c r="L53" s="34"/>
      <c r="M53" s="34"/>
      <c r="N53" s="34"/>
      <c r="O53" s="34"/>
      <c r="P53" s="34"/>
      <c r="Q53" s="34"/>
      <c r="R53" s="50"/>
      <c r="S53" s="50"/>
      <c r="T53" s="51"/>
      <c r="U53" s="34"/>
      <c r="V53" s="51"/>
      <c r="W53" s="54" t="str">
        <f aca="false">IF(A53="","",IF(ISNUMBER(I53),IF(I53&lt;AsOf,"Expired",IF(I53&lt;=AsOf+WarnEvidenceDays,"Approaching expiry","Current")),IF(ISNUMBER(K53),IF(K53&lt;AsOf,"Historical period ended "&amp;TEXT(K53,"yyyy-mm-dd")&amp;" - assess relevance; request update","Period current"),"No expiry or period recorded")))</f>
        <v/>
      </c>
      <c r="X53" s="52" t="str">
        <f aca="false">IF(A53="","",IF(OR(N53="Pending verification",N53=""),"Verification pending",""))</f>
        <v/>
      </c>
      <c r="Y53" s="54" t="str">
        <f aca="false">IF(A53="","",IF(R53="Yes","Scope limitation recorded",""))</f>
        <v/>
      </c>
      <c r="Z53" s="52" t="str">
        <f aca="false">IF(A53="","",IF(AND(ISNUMBER(V53),V53&lt;AsOf,U53&lt;&gt;""),"Follow-up overdue",""))</f>
        <v/>
      </c>
      <c r="AA53" s="54" t="str">
        <f aca="false">IF(A53="","",IF(COUNTIF(EV_ID,A53)&gt;1,"CHECK: duplicate ID",IF(B53="","CHECK: Supplier ID missing",IF(COUNTIF(INV_ID,B53)=0,"CHECK: Supplier ID not in inventory","OK"))))</f>
        <v/>
      </c>
      <c r="AB53" s="52" t="str">
        <f aca="false">IF(OR(A53="",B53=""),"",IF(B53=RptSup,B53&amp;"|"&amp;COUNTIF($B$7:B53,B53),""))</f>
        <v/>
      </c>
    </row>
    <row r="54" customFormat="false" ht="15" hidden="false" customHeight="false" outlineLevel="0" collapsed="false">
      <c r="A54" s="50"/>
      <c r="B54" s="50"/>
      <c r="C54" s="59" t="str">
        <f aca="false">IF(B54="","",IFERROR(INDEX(INV_NAME,MATCH(B54,INV_ID,0)),"CHECK: Supplier ID not found"))</f>
        <v/>
      </c>
      <c r="D54" s="34"/>
      <c r="E54" s="34"/>
      <c r="F54" s="34"/>
      <c r="G54" s="34"/>
      <c r="H54" s="51"/>
      <c r="I54" s="51"/>
      <c r="J54" s="51"/>
      <c r="K54" s="51"/>
      <c r="L54" s="34"/>
      <c r="M54" s="34"/>
      <c r="N54" s="34"/>
      <c r="O54" s="34"/>
      <c r="P54" s="34"/>
      <c r="Q54" s="34"/>
      <c r="R54" s="50"/>
      <c r="S54" s="50"/>
      <c r="T54" s="51"/>
      <c r="U54" s="34"/>
      <c r="V54" s="51"/>
      <c r="W54" s="54" t="str">
        <f aca="false">IF(A54="","",IF(ISNUMBER(I54),IF(I54&lt;AsOf,"Expired",IF(I54&lt;=AsOf+WarnEvidenceDays,"Approaching expiry","Current")),IF(ISNUMBER(K54),IF(K54&lt;AsOf,"Historical period ended "&amp;TEXT(K54,"yyyy-mm-dd")&amp;" - assess relevance; request update","Period current"),"No expiry or period recorded")))</f>
        <v/>
      </c>
      <c r="X54" s="52" t="str">
        <f aca="false">IF(A54="","",IF(OR(N54="Pending verification",N54=""),"Verification pending",""))</f>
        <v/>
      </c>
      <c r="Y54" s="54" t="str">
        <f aca="false">IF(A54="","",IF(R54="Yes","Scope limitation recorded",""))</f>
        <v/>
      </c>
      <c r="Z54" s="52" t="str">
        <f aca="false">IF(A54="","",IF(AND(ISNUMBER(V54),V54&lt;AsOf,U54&lt;&gt;""),"Follow-up overdue",""))</f>
        <v/>
      </c>
      <c r="AA54" s="54" t="str">
        <f aca="false">IF(A54="","",IF(COUNTIF(EV_ID,A54)&gt;1,"CHECK: duplicate ID",IF(B54="","CHECK: Supplier ID missing",IF(COUNTIF(INV_ID,B54)=0,"CHECK: Supplier ID not in inventory","OK"))))</f>
        <v/>
      </c>
      <c r="AB54" s="52" t="str">
        <f aca="false">IF(OR(A54="",B54=""),"",IF(B54=RptSup,B54&amp;"|"&amp;COUNTIF($B$7:B54,B54),""))</f>
        <v/>
      </c>
    </row>
    <row r="55" customFormat="false" ht="15" hidden="false" customHeight="false" outlineLevel="0" collapsed="false">
      <c r="A55" s="50"/>
      <c r="B55" s="50"/>
      <c r="C55" s="59" t="str">
        <f aca="false">IF(B55="","",IFERROR(INDEX(INV_NAME,MATCH(B55,INV_ID,0)),"CHECK: Supplier ID not found"))</f>
        <v/>
      </c>
      <c r="D55" s="34"/>
      <c r="E55" s="34"/>
      <c r="F55" s="34"/>
      <c r="G55" s="34"/>
      <c r="H55" s="51"/>
      <c r="I55" s="51"/>
      <c r="J55" s="51"/>
      <c r="K55" s="51"/>
      <c r="L55" s="34"/>
      <c r="M55" s="34"/>
      <c r="N55" s="34"/>
      <c r="O55" s="34"/>
      <c r="P55" s="34"/>
      <c r="Q55" s="34"/>
      <c r="R55" s="50"/>
      <c r="S55" s="50"/>
      <c r="T55" s="51"/>
      <c r="U55" s="34"/>
      <c r="V55" s="51"/>
      <c r="W55" s="54" t="str">
        <f aca="false">IF(A55="","",IF(ISNUMBER(I55),IF(I55&lt;AsOf,"Expired",IF(I55&lt;=AsOf+WarnEvidenceDays,"Approaching expiry","Current")),IF(ISNUMBER(K55),IF(K55&lt;AsOf,"Historical period ended "&amp;TEXT(K55,"yyyy-mm-dd")&amp;" - assess relevance; request update","Period current"),"No expiry or period recorded")))</f>
        <v/>
      </c>
      <c r="X55" s="52" t="str">
        <f aca="false">IF(A55="","",IF(OR(N55="Pending verification",N55=""),"Verification pending",""))</f>
        <v/>
      </c>
      <c r="Y55" s="54" t="str">
        <f aca="false">IF(A55="","",IF(R55="Yes","Scope limitation recorded",""))</f>
        <v/>
      </c>
      <c r="Z55" s="52" t="str">
        <f aca="false">IF(A55="","",IF(AND(ISNUMBER(V55),V55&lt;AsOf,U55&lt;&gt;""),"Follow-up overdue",""))</f>
        <v/>
      </c>
      <c r="AA55" s="54" t="str">
        <f aca="false">IF(A55="","",IF(COUNTIF(EV_ID,A55)&gt;1,"CHECK: duplicate ID",IF(B55="","CHECK: Supplier ID missing",IF(COUNTIF(INV_ID,B55)=0,"CHECK: Supplier ID not in inventory","OK"))))</f>
        <v/>
      </c>
      <c r="AB55" s="52" t="str">
        <f aca="false">IF(OR(A55="",B55=""),"",IF(B55=RptSup,B55&amp;"|"&amp;COUNTIF($B$7:B55,B55),""))</f>
        <v/>
      </c>
    </row>
    <row r="56" customFormat="false" ht="15" hidden="false" customHeight="false" outlineLevel="0" collapsed="false">
      <c r="A56" s="50"/>
      <c r="B56" s="50"/>
      <c r="C56" s="59" t="str">
        <f aca="false">IF(B56="","",IFERROR(INDEX(INV_NAME,MATCH(B56,INV_ID,0)),"CHECK: Supplier ID not found"))</f>
        <v/>
      </c>
      <c r="D56" s="34"/>
      <c r="E56" s="34"/>
      <c r="F56" s="34"/>
      <c r="G56" s="34"/>
      <c r="H56" s="51"/>
      <c r="I56" s="51"/>
      <c r="J56" s="51"/>
      <c r="K56" s="51"/>
      <c r="L56" s="34"/>
      <c r="M56" s="34"/>
      <c r="N56" s="34"/>
      <c r="O56" s="34"/>
      <c r="P56" s="34"/>
      <c r="Q56" s="34"/>
      <c r="R56" s="50"/>
      <c r="S56" s="50"/>
      <c r="T56" s="51"/>
      <c r="U56" s="34"/>
      <c r="V56" s="51"/>
      <c r="W56" s="54" t="str">
        <f aca="false">IF(A56="","",IF(ISNUMBER(I56),IF(I56&lt;AsOf,"Expired",IF(I56&lt;=AsOf+WarnEvidenceDays,"Approaching expiry","Current")),IF(ISNUMBER(K56),IF(K56&lt;AsOf,"Historical period ended "&amp;TEXT(K56,"yyyy-mm-dd")&amp;" - assess relevance; request update","Period current"),"No expiry or period recorded")))</f>
        <v/>
      </c>
      <c r="X56" s="52" t="str">
        <f aca="false">IF(A56="","",IF(OR(N56="Pending verification",N56=""),"Verification pending",""))</f>
        <v/>
      </c>
      <c r="Y56" s="54" t="str">
        <f aca="false">IF(A56="","",IF(R56="Yes","Scope limitation recorded",""))</f>
        <v/>
      </c>
      <c r="Z56" s="52" t="str">
        <f aca="false">IF(A56="","",IF(AND(ISNUMBER(V56),V56&lt;AsOf,U56&lt;&gt;""),"Follow-up overdue",""))</f>
        <v/>
      </c>
      <c r="AA56" s="54" t="str">
        <f aca="false">IF(A56="","",IF(COUNTIF(EV_ID,A56)&gt;1,"CHECK: duplicate ID",IF(B56="","CHECK: Supplier ID missing",IF(COUNTIF(INV_ID,B56)=0,"CHECK: Supplier ID not in inventory","OK"))))</f>
        <v/>
      </c>
      <c r="AB56" s="52" t="str">
        <f aca="false">IF(OR(A56="",B56=""),"",IF(B56=RptSup,B56&amp;"|"&amp;COUNTIF($B$7:B56,B56),""))</f>
        <v/>
      </c>
    </row>
    <row r="57" customFormat="false" ht="15" hidden="false" customHeight="false" outlineLevel="0" collapsed="false">
      <c r="A57" s="50"/>
      <c r="B57" s="50"/>
      <c r="C57" s="59" t="str">
        <f aca="false">IF(B57="","",IFERROR(INDEX(INV_NAME,MATCH(B57,INV_ID,0)),"CHECK: Supplier ID not found"))</f>
        <v/>
      </c>
      <c r="D57" s="34"/>
      <c r="E57" s="34"/>
      <c r="F57" s="34"/>
      <c r="G57" s="34"/>
      <c r="H57" s="51"/>
      <c r="I57" s="51"/>
      <c r="J57" s="51"/>
      <c r="K57" s="51"/>
      <c r="L57" s="34"/>
      <c r="M57" s="34"/>
      <c r="N57" s="34"/>
      <c r="O57" s="34"/>
      <c r="P57" s="34"/>
      <c r="Q57" s="34"/>
      <c r="R57" s="50"/>
      <c r="S57" s="50"/>
      <c r="T57" s="51"/>
      <c r="U57" s="34"/>
      <c r="V57" s="51"/>
      <c r="W57" s="54" t="str">
        <f aca="false">IF(A57="","",IF(ISNUMBER(I57),IF(I57&lt;AsOf,"Expired",IF(I57&lt;=AsOf+WarnEvidenceDays,"Approaching expiry","Current")),IF(ISNUMBER(K57),IF(K57&lt;AsOf,"Historical period ended "&amp;TEXT(K57,"yyyy-mm-dd")&amp;" - assess relevance; request update","Period current"),"No expiry or period recorded")))</f>
        <v/>
      </c>
      <c r="X57" s="52" t="str">
        <f aca="false">IF(A57="","",IF(OR(N57="Pending verification",N57=""),"Verification pending",""))</f>
        <v/>
      </c>
      <c r="Y57" s="54" t="str">
        <f aca="false">IF(A57="","",IF(R57="Yes","Scope limitation recorded",""))</f>
        <v/>
      </c>
      <c r="Z57" s="52" t="str">
        <f aca="false">IF(A57="","",IF(AND(ISNUMBER(V57),V57&lt;AsOf,U57&lt;&gt;""),"Follow-up overdue",""))</f>
        <v/>
      </c>
      <c r="AA57" s="54" t="str">
        <f aca="false">IF(A57="","",IF(COUNTIF(EV_ID,A57)&gt;1,"CHECK: duplicate ID",IF(B57="","CHECK: Supplier ID missing",IF(COUNTIF(INV_ID,B57)=0,"CHECK: Supplier ID not in inventory","OK"))))</f>
        <v/>
      </c>
      <c r="AB57" s="52" t="str">
        <f aca="false">IF(OR(A57="",B57=""),"",IF(B57=RptSup,B57&amp;"|"&amp;COUNTIF($B$7:B57,B57),""))</f>
        <v/>
      </c>
    </row>
    <row r="58" customFormat="false" ht="15" hidden="false" customHeight="false" outlineLevel="0" collapsed="false">
      <c r="A58" s="50"/>
      <c r="B58" s="50"/>
      <c r="C58" s="59" t="str">
        <f aca="false">IF(B58="","",IFERROR(INDEX(INV_NAME,MATCH(B58,INV_ID,0)),"CHECK: Supplier ID not found"))</f>
        <v/>
      </c>
      <c r="D58" s="34"/>
      <c r="E58" s="34"/>
      <c r="F58" s="34"/>
      <c r="G58" s="34"/>
      <c r="H58" s="51"/>
      <c r="I58" s="51"/>
      <c r="J58" s="51"/>
      <c r="K58" s="51"/>
      <c r="L58" s="34"/>
      <c r="M58" s="34"/>
      <c r="N58" s="34"/>
      <c r="O58" s="34"/>
      <c r="P58" s="34"/>
      <c r="Q58" s="34"/>
      <c r="R58" s="50"/>
      <c r="S58" s="50"/>
      <c r="T58" s="51"/>
      <c r="U58" s="34"/>
      <c r="V58" s="51"/>
      <c r="W58" s="54" t="str">
        <f aca="false">IF(A58="","",IF(ISNUMBER(I58),IF(I58&lt;AsOf,"Expired",IF(I58&lt;=AsOf+WarnEvidenceDays,"Approaching expiry","Current")),IF(ISNUMBER(K58),IF(K58&lt;AsOf,"Historical period ended "&amp;TEXT(K58,"yyyy-mm-dd")&amp;" - assess relevance; request update","Period current"),"No expiry or period recorded")))</f>
        <v/>
      </c>
      <c r="X58" s="52" t="str">
        <f aca="false">IF(A58="","",IF(OR(N58="Pending verification",N58=""),"Verification pending",""))</f>
        <v/>
      </c>
      <c r="Y58" s="54" t="str">
        <f aca="false">IF(A58="","",IF(R58="Yes","Scope limitation recorded",""))</f>
        <v/>
      </c>
      <c r="Z58" s="52" t="str">
        <f aca="false">IF(A58="","",IF(AND(ISNUMBER(V58),V58&lt;AsOf,U58&lt;&gt;""),"Follow-up overdue",""))</f>
        <v/>
      </c>
      <c r="AA58" s="54" t="str">
        <f aca="false">IF(A58="","",IF(COUNTIF(EV_ID,A58)&gt;1,"CHECK: duplicate ID",IF(B58="","CHECK: Supplier ID missing",IF(COUNTIF(INV_ID,B58)=0,"CHECK: Supplier ID not in inventory","OK"))))</f>
        <v/>
      </c>
      <c r="AB58" s="52" t="str">
        <f aca="false">IF(OR(A58="",B58=""),"",IF(B58=RptSup,B58&amp;"|"&amp;COUNTIF($B$7:B58,B58),""))</f>
        <v/>
      </c>
    </row>
    <row r="59" customFormat="false" ht="15" hidden="false" customHeight="false" outlineLevel="0" collapsed="false">
      <c r="A59" s="50"/>
      <c r="B59" s="50"/>
      <c r="C59" s="59" t="str">
        <f aca="false">IF(B59="","",IFERROR(INDEX(INV_NAME,MATCH(B59,INV_ID,0)),"CHECK: Supplier ID not found"))</f>
        <v/>
      </c>
      <c r="D59" s="34"/>
      <c r="E59" s="34"/>
      <c r="F59" s="34"/>
      <c r="G59" s="34"/>
      <c r="H59" s="51"/>
      <c r="I59" s="51"/>
      <c r="J59" s="51"/>
      <c r="K59" s="51"/>
      <c r="L59" s="34"/>
      <c r="M59" s="34"/>
      <c r="N59" s="34"/>
      <c r="O59" s="34"/>
      <c r="P59" s="34"/>
      <c r="Q59" s="34"/>
      <c r="R59" s="50"/>
      <c r="S59" s="50"/>
      <c r="T59" s="51"/>
      <c r="U59" s="34"/>
      <c r="V59" s="51"/>
      <c r="W59" s="54" t="str">
        <f aca="false">IF(A59="","",IF(ISNUMBER(I59),IF(I59&lt;AsOf,"Expired",IF(I59&lt;=AsOf+WarnEvidenceDays,"Approaching expiry","Current")),IF(ISNUMBER(K59),IF(K59&lt;AsOf,"Historical period ended "&amp;TEXT(K59,"yyyy-mm-dd")&amp;" - assess relevance; request update","Period current"),"No expiry or period recorded")))</f>
        <v/>
      </c>
      <c r="X59" s="52" t="str">
        <f aca="false">IF(A59="","",IF(OR(N59="Pending verification",N59=""),"Verification pending",""))</f>
        <v/>
      </c>
      <c r="Y59" s="54" t="str">
        <f aca="false">IF(A59="","",IF(R59="Yes","Scope limitation recorded",""))</f>
        <v/>
      </c>
      <c r="Z59" s="52" t="str">
        <f aca="false">IF(A59="","",IF(AND(ISNUMBER(V59),V59&lt;AsOf,U59&lt;&gt;""),"Follow-up overdue",""))</f>
        <v/>
      </c>
      <c r="AA59" s="54" t="str">
        <f aca="false">IF(A59="","",IF(COUNTIF(EV_ID,A59)&gt;1,"CHECK: duplicate ID",IF(B59="","CHECK: Supplier ID missing",IF(COUNTIF(INV_ID,B59)=0,"CHECK: Supplier ID not in inventory","OK"))))</f>
        <v/>
      </c>
      <c r="AB59" s="52" t="str">
        <f aca="false">IF(OR(A59="",B59=""),"",IF(B59=RptSup,B59&amp;"|"&amp;COUNTIF($B$7:B59,B59),""))</f>
        <v/>
      </c>
    </row>
    <row r="60" customFormat="false" ht="15" hidden="false" customHeight="false" outlineLevel="0" collapsed="false">
      <c r="A60" s="50"/>
      <c r="B60" s="50"/>
      <c r="C60" s="59" t="str">
        <f aca="false">IF(B60="","",IFERROR(INDEX(INV_NAME,MATCH(B60,INV_ID,0)),"CHECK: Supplier ID not found"))</f>
        <v/>
      </c>
      <c r="D60" s="34"/>
      <c r="E60" s="34"/>
      <c r="F60" s="34"/>
      <c r="G60" s="34"/>
      <c r="H60" s="51"/>
      <c r="I60" s="51"/>
      <c r="J60" s="51"/>
      <c r="K60" s="51"/>
      <c r="L60" s="34"/>
      <c r="M60" s="34"/>
      <c r="N60" s="34"/>
      <c r="O60" s="34"/>
      <c r="P60" s="34"/>
      <c r="Q60" s="34"/>
      <c r="R60" s="50"/>
      <c r="S60" s="50"/>
      <c r="T60" s="51"/>
      <c r="U60" s="34"/>
      <c r="V60" s="51"/>
      <c r="W60" s="54" t="str">
        <f aca="false">IF(A60="","",IF(ISNUMBER(I60),IF(I60&lt;AsOf,"Expired",IF(I60&lt;=AsOf+WarnEvidenceDays,"Approaching expiry","Current")),IF(ISNUMBER(K60),IF(K60&lt;AsOf,"Historical period ended "&amp;TEXT(K60,"yyyy-mm-dd")&amp;" - assess relevance; request update","Period current"),"No expiry or period recorded")))</f>
        <v/>
      </c>
      <c r="X60" s="52" t="str">
        <f aca="false">IF(A60="","",IF(OR(N60="Pending verification",N60=""),"Verification pending",""))</f>
        <v/>
      </c>
      <c r="Y60" s="54" t="str">
        <f aca="false">IF(A60="","",IF(R60="Yes","Scope limitation recorded",""))</f>
        <v/>
      </c>
      <c r="Z60" s="52" t="str">
        <f aca="false">IF(A60="","",IF(AND(ISNUMBER(V60),V60&lt;AsOf,U60&lt;&gt;""),"Follow-up overdue",""))</f>
        <v/>
      </c>
      <c r="AA60" s="54" t="str">
        <f aca="false">IF(A60="","",IF(COUNTIF(EV_ID,A60)&gt;1,"CHECK: duplicate ID",IF(B60="","CHECK: Supplier ID missing",IF(COUNTIF(INV_ID,B60)=0,"CHECK: Supplier ID not in inventory","OK"))))</f>
        <v/>
      </c>
      <c r="AB60" s="52" t="str">
        <f aca="false">IF(OR(A60="",B60=""),"",IF(B60=RptSup,B60&amp;"|"&amp;COUNTIF($B$7:B60,B60),""))</f>
        <v/>
      </c>
    </row>
    <row r="61" customFormat="false" ht="15" hidden="false" customHeight="false" outlineLevel="0" collapsed="false">
      <c r="A61" s="50"/>
      <c r="B61" s="50"/>
      <c r="C61" s="59" t="str">
        <f aca="false">IF(B61="","",IFERROR(INDEX(INV_NAME,MATCH(B61,INV_ID,0)),"CHECK: Supplier ID not found"))</f>
        <v/>
      </c>
      <c r="D61" s="34"/>
      <c r="E61" s="34"/>
      <c r="F61" s="34"/>
      <c r="G61" s="34"/>
      <c r="H61" s="51"/>
      <c r="I61" s="51"/>
      <c r="J61" s="51"/>
      <c r="K61" s="51"/>
      <c r="L61" s="34"/>
      <c r="M61" s="34"/>
      <c r="N61" s="34"/>
      <c r="O61" s="34"/>
      <c r="P61" s="34"/>
      <c r="Q61" s="34"/>
      <c r="R61" s="50"/>
      <c r="S61" s="50"/>
      <c r="T61" s="51"/>
      <c r="U61" s="34"/>
      <c r="V61" s="51"/>
      <c r="W61" s="54" t="str">
        <f aca="false">IF(A61="","",IF(ISNUMBER(I61),IF(I61&lt;AsOf,"Expired",IF(I61&lt;=AsOf+WarnEvidenceDays,"Approaching expiry","Current")),IF(ISNUMBER(K61),IF(K61&lt;AsOf,"Historical period ended "&amp;TEXT(K61,"yyyy-mm-dd")&amp;" - assess relevance; request update","Period current"),"No expiry or period recorded")))</f>
        <v/>
      </c>
      <c r="X61" s="52" t="str">
        <f aca="false">IF(A61="","",IF(OR(N61="Pending verification",N61=""),"Verification pending",""))</f>
        <v/>
      </c>
      <c r="Y61" s="54" t="str">
        <f aca="false">IF(A61="","",IF(R61="Yes","Scope limitation recorded",""))</f>
        <v/>
      </c>
      <c r="Z61" s="52" t="str">
        <f aca="false">IF(A61="","",IF(AND(ISNUMBER(V61),V61&lt;AsOf,U61&lt;&gt;""),"Follow-up overdue",""))</f>
        <v/>
      </c>
      <c r="AA61" s="54" t="str">
        <f aca="false">IF(A61="","",IF(COUNTIF(EV_ID,A61)&gt;1,"CHECK: duplicate ID",IF(B61="","CHECK: Supplier ID missing",IF(COUNTIF(INV_ID,B61)=0,"CHECK: Supplier ID not in inventory","OK"))))</f>
        <v/>
      </c>
      <c r="AB61" s="52" t="str">
        <f aca="false">IF(OR(A61="",B61=""),"",IF(B61=RptSup,B61&amp;"|"&amp;COUNTIF($B$7:B61,B61),""))</f>
        <v/>
      </c>
    </row>
    <row r="62" customFormat="false" ht="15" hidden="false" customHeight="false" outlineLevel="0" collapsed="false">
      <c r="A62" s="50"/>
      <c r="B62" s="50"/>
      <c r="C62" s="59" t="str">
        <f aca="false">IF(B62="","",IFERROR(INDEX(INV_NAME,MATCH(B62,INV_ID,0)),"CHECK: Supplier ID not found"))</f>
        <v/>
      </c>
      <c r="D62" s="34"/>
      <c r="E62" s="34"/>
      <c r="F62" s="34"/>
      <c r="G62" s="34"/>
      <c r="H62" s="51"/>
      <c r="I62" s="51"/>
      <c r="J62" s="51"/>
      <c r="K62" s="51"/>
      <c r="L62" s="34"/>
      <c r="M62" s="34"/>
      <c r="N62" s="34"/>
      <c r="O62" s="34"/>
      <c r="P62" s="34"/>
      <c r="Q62" s="34"/>
      <c r="R62" s="50"/>
      <c r="S62" s="50"/>
      <c r="T62" s="51"/>
      <c r="U62" s="34"/>
      <c r="V62" s="51"/>
      <c r="W62" s="54" t="str">
        <f aca="false">IF(A62="","",IF(ISNUMBER(I62),IF(I62&lt;AsOf,"Expired",IF(I62&lt;=AsOf+WarnEvidenceDays,"Approaching expiry","Current")),IF(ISNUMBER(K62),IF(K62&lt;AsOf,"Historical period ended "&amp;TEXT(K62,"yyyy-mm-dd")&amp;" - assess relevance; request update","Period current"),"No expiry or period recorded")))</f>
        <v/>
      </c>
      <c r="X62" s="52" t="str">
        <f aca="false">IF(A62="","",IF(OR(N62="Pending verification",N62=""),"Verification pending",""))</f>
        <v/>
      </c>
      <c r="Y62" s="54" t="str">
        <f aca="false">IF(A62="","",IF(R62="Yes","Scope limitation recorded",""))</f>
        <v/>
      </c>
      <c r="Z62" s="52" t="str">
        <f aca="false">IF(A62="","",IF(AND(ISNUMBER(V62),V62&lt;AsOf,U62&lt;&gt;""),"Follow-up overdue",""))</f>
        <v/>
      </c>
      <c r="AA62" s="54" t="str">
        <f aca="false">IF(A62="","",IF(COUNTIF(EV_ID,A62)&gt;1,"CHECK: duplicate ID",IF(B62="","CHECK: Supplier ID missing",IF(COUNTIF(INV_ID,B62)=0,"CHECK: Supplier ID not in inventory","OK"))))</f>
        <v/>
      </c>
      <c r="AB62" s="52" t="str">
        <f aca="false">IF(OR(A62="",B62=""),"",IF(B62=RptSup,B62&amp;"|"&amp;COUNTIF($B$7:B62,B62),""))</f>
        <v/>
      </c>
    </row>
    <row r="63" customFormat="false" ht="15" hidden="false" customHeight="false" outlineLevel="0" collapsed="false">
      <c r="A63" s="50"/>
      <c r="B63" s="50"/>
      <c r="C63" s="59" t="str">
        <f aca="false">IF(B63="","",IFERROR(INDEX(INV_NAME,MATCH(B63,INV_ID,0)),"CHECK: Supplier ID not found"))</f>
        <v/>
      </c>
      <c r="D63" s="34"/>
      <c r="E63" s="34"/>
      <c r="F63" s="34"/>
      <c r="G63" s="34"/>
      <c r="H63" s="51"/>
      <c r="I63" s="51"/>
      <c r="J63" s="51"/>
      <c r="K63" s="51"/>
      <c r="L63" s="34"/>
      <c r="M63" s="34"/>
      <c r="N63" s="34"/>
      <c r="O63" s="34"/>
      <c r="P63" s="34"/>
      <c r="Q63" s="34"/>
      <c r="R63" s="50"/>
      <c r="S63" s="50"/>
      <c r="T63" s="51"/>
      <c r="U63" s="34"/>
      <c r="V63" s="51"/>
      <c r="W63" s="54" t="str">
        <f aca="false">IF(A63="","",IF(ISNUMBER(I63),IF(I63&lt;AsOf,"Expired",IF(I63&lt;=AsOf+WarnEvidenceDays,"Approaching expiry","Current")),IF(ISNUMBER(K63),IF(K63&lt;AsOf,"Historical period ended "&amp;TEXT(K63,"yyyy-mm-dd")&amp;" - assess relevance; request update","Period current"),"No expiry or period recorded")))</f>
        <v/>
      </c>
      <c r="X63" s="52" t="str">
        <f aca="false">IF(A63="","",IF(OR(N63="Pending verification",N63=""),"Verification pending",""))</f>
        <v/>
      </c>
      <c r="Y63" s="54" t="str">
        <f aca="false">IF(A63="","",IF(R63="Yes","Scope limitation recorded",""))</f>
        <v/>
      </c>
      <c r="Z63" s="52" t="str">
        <f aca="false">IF(A63="","",IF(AND(ISNUMBER(V63),V63&lt;AsOf,U63&lt;&gt;""),"Follow-up overdue",""))</f>
        <v/>
      </c>
      <c r="AA63" s="54" t="str">
        <f aca="false">IF(A63="","",IF(COUNTIF(EV_ID,A63)&gt;1,"CHECK: duplicate ID",IF(B63="","CHECK: Supplier ID missing",IF(COUNTIF(INV_ID,B63)=0,"CHECK: Supplier ID not in inventory","OK"))))</f>
        <v/>
      </c>
      <c r="AB63" s="52" t="str">
        <f aca="false">IF(OR(A63="",B63=""),"",IF(B63=RptSup,B63&amp;"|"&amp;COUNTIF($B$7:B63,B63),""))</f>
        <v/>
      </c>
    </row>
    <row r="64" customFormat="false" ht="15" hidden="false" customHeight="false" outlineLevel="0" collapsed="false">
      <c r="A64" s="50"/>
      <c r="B64" s="50"/>
      <c r="C64" s="59" t="str">
        <f aca="false">IF(B64="","",IFERROR(INDEX(INV_NAME,MATCH(B64,INV_ID,0)),"CHECK: Supplier ID not found"))</f>
        <v/>
      </c>
      <c r="D64" s="34"/>
      <c r="E64" s="34"/>
      <c r="F64" s="34"/>
      <c r="G64" s="34"/>
      <c r="H64" s="51"/>
      <c r="I64" s="51"/>
      <c r="J64" s="51"/>
      <c r="K64" s="51"/>
      <c r="L64" s="34"/>
      <c r="M64" s="34"/>
      <c r="N64" s="34"/>
      <c r="O64" s="34"/>
      <c r="P64" s="34"/>
      <c r="Q64" s="34"/>
      <c r="R64" s="50"/>
      <c r="S64" s="50"/>
      <c r="T64" s="51"/>
      <c r="U64" s="34"/>
      <c r="V64" s="51"/>
      <c r="W64" s="54" t="str">
        <f aca="false">IF(A64="","",IF(ISNUMBER(I64),IF(I64&lt;AsOf,"Expired",IF(I64&lt;=AsOf+WarnEvidenceDays,"Approaching expiry","Current")),IF(ISNUMBER(K64),IF(K64&lt;AsOf,"Historical period ended "&amp;TEXT(K64,"yyyy-mm-dd")&amp;" - assess relevance; request update","Period current"),"No expiry or period recorded")))</f>
        <v/>
      </c>
      <c r="X64" s="52" t="str">
        <f aca="false">IF(A64="","",IF(OR(N64="Pending verification",N64=""),"Verification pending",""))</f>
        <v/>
      </c>
      <c r="Y64" s="54" t="str">
        <f aca="false">IF(A64="","",IF(R64="Yes","Scope limitation recorded",""))</f>
        <v/>
      </c>
      <c r="Z64" s="52" t="str">
        <f aca="false">IF(A64="","",IF(AND(ISNUMBER(V64),V64&lt;AsOf,U64&lt;&gt;""),"Follow-up overdue",""))</f>
        <v/>
      </c>
      <c r="AA64" s="54" t="str">
        <f aca="false">IF(A64="","",IF(COUNTIF(EV_ID,A64)&gt;1,"CHECK: duplicate ID",IF(B64="","CHECK: Supplier ID missing",IF(COUNTIF(INV_ID,B64)=0,"CHECK: Supplier ID not in inventory","OK"))))</f>
        <v/>
      </c>
      <c r="AB64" s="52" t="str">
        <f aca="false">IF(OR(A64="",B64=""),"",IF(B64=RptSup,B64&amp;"|"&amp;COUNTIF($B$7:B64,B64),""))</f>
        <v/>
      </c>
    </row>
    <row r="65" customFormat="false" ht="15" hidden="false" customHeight="false" outlineLevel="0" collapsed="false">
      <c r="A65" s="50"/>
      <c r="B65" s="50"/>
      <c r="C65" s="59" t="str">
        <f aca="false">IF(B65="","",IFERROR(INDEX(INV_NAME,MATCH(B65,INV_ID,0)),"CHECK: Supplier ID not found"))</f>
        <v/>
      </c>
      <c r="D65" s="34"/>
      <c r="E65" s="34"/>
      <c r="F65" s="34"/>
      <c r="G65" s="34"/>
      <c r="H65" s="51"/>
      <c r="I65" s="51"/>
      <c r="J65" s="51"/>
      <c r="K65" s="51"/>
      <c r="L65" s="34"/>
      <c r="M65" s="34"/>
      <c r="N65" s="34"/>
      <c r="O65" s="34"/>
      <c r="P65" s="34"/>
      <c r="Q65" s="34"/>
      <c r="R65" s="50"/>
      <c r="S65" s="50"/>
      <c r="T65" s="51"/>
      <c r="U65" s="34"/>
      <c r="V65" s="51"/>
      <c r="W65" s="54" t="str">
        <f aca="false">IF(A65="","",IF(ISNUMBER(I65),IF(I65&lt;AsOf,"Expired",IF(I65&lt;=AsOf+WarnEvidenceDays,"Approaching expiry","Current")),IF(ISNUMBER(K65),IF(K65&lt;AsOf,"Historical period ended "&amp;TEXT(K65,"yyyy-mm-dd")&amp;" - assess relevance; request update","Period current"),"No expiry or period recorded")))</f>
        <v/>
      </c>
      <c r="X65" s="52" t="str">
        <f aca="false">IF(A65="","",IF(OR(N65="Pending verification",N65=""),"Verification pending",""))</f>
        <v/>
      </c>
      <c r="Y65" s="54" t="str">
        <f aca="false">IF(A65="","",IF(R65="Yes","Scope limitation recorded",""))</f>
        <v/>
      </c>
      <c r="Z65" s="52" t="str">
        <f aca="false">IF(A65="","",IF(AND(ISNUMBER(V65),V65&lt;AsOf,U65&lt;&gt;""),"Follow-up overdue",""))</f>
        <v/>
      </c>
      <c r="AA65" s="54" t="str">
        <f aca="false">IF(A65="","",IF(COUNTIF(EV_ID,A65)&gt;1,"CHECK: duplicate ID",IF(B65="","CHECK: Supplier ID missing",IF(COUNTIF(INV_ID,B65)=0,"CHECK: Supplier ID not in inventory","OK"))))</f>
        <v/>
      </c>
      <c r="AB65" s="52" t="str">
        <f aca="false">IF(OR(A65="",B65=""),"",IF(B65=RptSup,B65&amp;"|"&amp;COUNTIF($B$7:B65,B65),""))</f>
        <v/>
      </c>
    </row>
    <row r="66" customFormat="false" ht="15" hidden="false" customHeight="false" outlineLevel="0" collapsed="false">
      <c r="A66" s="50"/>
      <c r="B66" s="50"/>
      <c r="C66" s="59" t="str">
        <f aca="false">IF(B66="","",IFERROR(INDEX(INV_NAME,MATCH(B66,INV_ID,0)),"CHECK: Supplier ID not found"))</f>
        <v/>
      </c>
      <c r="D66" s="34"/>
      <c r="E66" s="34"/>
      <c r="F66" s="34"/>
      <c r="G66" s="34"/>
      <c r="H66" s="51"/>
      <c r="I66" s="51"/>
      <c r="J66" s="51"/>
      <c r="K66" s="51"/>
      <c r="L66" s="34"/>
      <c r="M66" s="34"/>
      <c r="N66" s="34"/>
      <c r="O66" s="34"/>
      <c r="P66" s="34"/>
      <c r="Q66" s="34"/>
      <c r="R66" s="50"/>
      <c r="S66" s="50"/>
      <c r="T66" s="51"/>
      <c r="U66" s="34"/>
      <c r="V66" s="51"/>
      <c r="W66" s="54" t="str">
        <f aca="false">IF(A66="","",IF(ISNUMBER(I66),IF(I66&lt;AsOf,"Expired",IF(I66&lt;=AsOf+WarnEvidenceDays,"Approaching expiry","Current")),IF(ISNUMBER(K66),IF(K66&lt;AsOf,"Historical period ended "&amp;TEXT(K66,"yyyy-mm-dd")&amp;" - assess relevance; request update","Period current"),"No expiry or period recorded")))</f>
        <v/>
      </c>
      <c r="X66" s="52" t="str">
        <f aca="false">IF(A66="","",IF(OR(N66="Pending verification",N66=""),"Verification pending",""))</f>
        <v/>
      </c>
      <c r="Y66" s="54" t="str">
        <f aca="false">IF(A66="","",IF(R66="Yes","Scope limitation recorded",""))</f>
        <v/>
      </c>
      <c r="Z66" s="52" t="str">
        <f aca="false">IF(A66="","",IF(AND(ISNUMBER(V66),V66&lt;AsOf,U66&lt;&gt;""),"Follow-up overdue",""))</f>
        <v/>
      </c>
      <c r="AA66" s="54" t="str">
        <f aca="false">IF(A66="","",IF(COUNTIF(EV_ID,A66)&gt;1,"CHECK: duplicate ID",IF(B66="","CHECK: Supplier ID missing",IF(COUNTIF(INV_ID,B66)=0,"CHECK: Supplier ID not in inventory","OK"))))</f>
        <v/>
      </c>
      <c r="AB66" s="52" t="str">
        <f aca="false">IF(OR(A66="",B66=""),"",IF(B66=RptSup,B66&amp;"|"&amp;COUNTIF($B$7:B66,B66),""))</f>
        <v/>
      </c>
    </row>
    <row r="67" customFormat="false" ht="15" hidden="false" customHeight="false" outlineLevel="0" collapsed="false">
      <c r="A67" s="50"/>
      <c r="B67" s="50"/>
      <c r="C67" s="59" t="str">
        <f aca="false">IF(B67="","",IFERROR(INDEX(INV_NAME,MATCH(B67,INV_ID,0)),"CHECK: Supplier ID not found"))</f>
        <v/>
      </c>
      <c r="D67" s="34"/>
      <c r="E67" s="34"/>
      <c r="F67" s="34"/>
      <c r="G67" s="34"/>
      <c r="H67" s="51"/>
      <c r="I67" s="51"/>
      <c r="J67" s="51"/>
      <c r="K67" s="51"/>
      <c r="L67" s="34"/>
      <c r="M67" s="34"/>
      <c r="N67" s="34"/>
      <c r="O67" s="34"/>
      <c r="P67" s="34"/>
      <c r="Q67" s="34"/>
      <c r="R67" s="50"/>
      <c r="S67" s="50"/>
      <c r="T67" s="51"/>
      <c r="U67" s="34"/>
      <c r="V67" s="51"/>
      <c r="W67" s="54" t="str">
        <f aca="false">IF(A67="","",IF(ISNUMBER(I67),IF(I67&lt;AsOf,"Expired",IF(I67&lt;=AsOf+WarnEvidenceDays,"Approaching expiry","Current")),IF(ISNUMBER(K67),IF(K67&lt;AsOf,"Historical period ended "&amp;TEXT(K67,"yyyy-mm-dd")&amp;" - assess relevance; request update","Period current"),"No expiry or period recorded")))</f>
        <v/>
      </c>
      <c r="X67" s="52" t="str">
        <f aca="false">IF(A67="","",IF(OR(N67="Pending verification",N67=""),"Verification pending",""))</f>
        <v/>
      </c>
      <c r="Y67" s="54" t="str">
        <f aca="false">IF(A67="","",IF(R67="Yes","Scope limitation recorded",""))</f>
        <v/>
      </c>
      <c r="Z67" s="52" t="str">
        <f aca="false">IF(A67="","",IF(AND(ISNUMBER(V67),V67&lt;AsOf,U67&lt;&gt;""),"Follow-up overdue",""))</f>
        <v/>
      </c>
      <c r="AA67" s="54" t="str">
        <f aca="false">IF(A67="","",IF(COUNTIF(EV_ID,A67)&gt;1,"CHECK: duplicate ID",IF(B67="","CHECK: Supplier ID missing",IF(COUNTIF(INV_ID,B67)=0,"CHECK: Supplier ID not in inventory","OK"))))</f>
        <v/>
      </c>
      <c r="AB67" s="52" t="str">
        <f aca="false">IF(OR(A67="",B67=""),"",IF(B67=RptSup,B67&amp;"|"&amp;COUNTIF($B$7:B67,B67),""))</f>
        <v/>
      </c>
    </row>
    <row r="68" customFormat="false" ht="15" hidden="false" customHeight="false" outlineLevel="0" collapsed="false">
      <c r="A68" s="50"/>
      <c r="B68" s="50"/>
      <c r="C68" s="59" t="str">
        <f aca="false">IF(B68="","",IFERROR(INDEX(INV_NAME,MATCH(B68,INV_ID,0)),"CHECK: Supplier ID not found"))</f>
        <v/>
      </c>
      <c r="D68" s="34"/>
      <c r="E68" s="34"/>
      <c r="F68" s="34"/>
      <c r="G68" s="34"/>
      <c r="H68" s="51"/>
      <c r="I68" s="51"/>
      <c r="J68" s="51"/>
      <c r="K68" s="51"/>
      <c r="L68" s="34"/>
      <c r="M68" s="34"/>
      <c r="N68" s="34"/>
      <c r="O68" s="34"/>
      <c r="P68" s="34"/>
      <c r="Q68" s="34"/>
      <c r="R68" s="50"/>
      <c r="S68" s="50"/>
      <c r="T68" s="51"/>
      <c r="U68" s="34"/>
      <c r="V68" s="51"/>
      <c r="W68" s="54" t="str">
        <f aca="false">IF(A68="","",IF(ISNUMBER(I68),IF(I68&lt;AsOf,"Expired",IF(I68&lt;=AsOf+WarnEvidenceDays,"Approaching expiry","Current")),IF(ISNUMBER(K68),IF(K68&lt;AsOf,"Historical period ended "&amp;TEXT(K68,"yyyy-mm-dd")&amp;" - assess relevance; request update","Period current"),"No expiry or period recorded")))</f>
        <v/>
      </c>
      <c r="X68" s="52" t="str">
        <f aca="false">IF(A68="","",IF(OR(N68="Pending verification",N68=""),"Verification pending",""))</f>
        <v/>
      </c>
      <c r="Y68" s="54" t="str">
        <f aca="false">IF(A68="","",IF(R68="Yes","Scope limitation recorded",""))</f>
        <v/>
      </c>
      <c r="Z68" s="52" t="str">
        <f aca="false">IF(A68="","",IF(AND(ISNUMBER(V68),V68&lt;AsOf,U68&lt;&gt;""),"Follow-up overdue",""))</f>
        <v/>
      </c>
      <c r="AA68" s="54" t="str">
        <f aca="false">IF(A68="","",IF(COUNTIF(EV_ID,A68)&gt;1,"CHECK: duplicate ID",IF(B68="","CHECK: Supplier ID missing",IF(COUNTIF(INV_ID,B68)=0,"CHECK: Supplier ID not in inventory","OK"))))</f>
        <v/>
      </c>
      <c r="AB68" s="52" t="str">
        <f aca="false">IF(OR(A68="",B68=""),"",IF(B68=RptSup,B68&amp;"|"&amp;COUNTIF($B$7:B68,B68),""))</f>
        <v/>
      </c>
    </row>
    <row r="69" customFormat="false" ht="15" hidden="false" customHeight="false" outlineLevel="0" collapsed="false">
      <c r="A69" s="50"/>
      <c r="B69" s="50"/>
      <c r="C69" s="59" t="str">
        <f aca="false">IF(B69="","",IFERROR(INDEX(INV_NAME,MATCH(B69,INV_ID,0)),"CHECK: Supplier ID not found"))</f>
        <v/>
      </c>
      <c r="D69" s="34"/>
      <c r="E69" s="34"/>
      <c r="F69" s="34"/>
      <c r="G69" s="34"/>
      <c r="H69" s="51"/>
      <c r="I69" s="51"/>
      <c r="J69" s="51"/>
      <c r="K69" s="51"/>
      <c r="L69" s="34"/>
      <c r="M69" s="34"/>
      <c r="N69" s="34"/>
      <c r="O69" s="34"/>
      <c r="P69" s="34"/>
      <c r="Q69" s="34"/>
      <c r="R69" s="50"/>
      <c r="S69" s="50"/>
      <c r="T69" s="51"/>
      <c r="U69" s="34"/>
      <c r="V69" s="51"/>
      <c r="W69" s="54" t="str">
        <f aca="false">IF(A69="","",IF(ISNUMBER(I69),IF(I69&lt;AsOf,"Expired",IF(I69&lt;=AsOf+WarnEvidenceDays,"Approaching expiry","Current")),IF(ISNUMBER(K69),IF(K69&lt;AsOf,"Historical period ended "&amp;TEXT(K69,"yyyy-mm-dd")&amp;" - assess relevance; request update","Period current"),"No expiry or period recorded")))</f>
        <v/>
      </c>
      <c r="X69" s="52" t="str">
        <f aca="false">IF(A69="","",IF(OR(N69="Pending verification",N69=""),"Verification pending",""))</f>
        <v/>
      </c>
      <c r="Y69" s="54" t="str">
        <f aca="false">IF(A69="","",IF(R69="Yes","Scope limitation recorded",""))</f>
        <v/>
      </c>
      <c r="Z69" s="52" t="str">
        <f aca="false">IF(A69="","",IF(AND(ISNUMBER(V69),V69&lt;AsOf,U69&lt;&gt;""),"Follow-up overdue",""))</f>
        <v/>
      </c>
      <c r="AA69" s="54" t="str">
        <f aca="false">IF(A69="","",IF(COUNTIF(EV_ID,A69)&gt;1,"CHECK: duplicate ID",IF(B69="","CHECK: Supplier ID missing",IF(COUNTIF(INV_ID,B69)=0,"CHECK: Supplier ID not in inventory","OK"))))</f>
        <v/>
      </c>
      <c r="AB69" s="52" t="str">
        <f aca="false">IF(OR(A69="",B69=""),"",IF(B69=RptSup,B69&amp;"|"&amp;COUNTIF($B$7:B69,B69),""))</f>
        <v/>
      </c>
    </row>
    <row r="70" customFormat="false" ht="15" hidden="false" customHeight="false" outlineLevel="0" collapsed="false">
      <c r="A70" s="50"/>
      <c r="B70" s="50"/>
      <c r="C70" s="59" t="str">
        <f aca="false">IF(B70="","",IFERROR(INDEX(INV_NAME,MATCH(B70,INV_ID,0)),"CHECK: Supplier ID not found"))</f>
        <v/>
      </c>
      <c r="D70" s="34"/>
      <c r="E70" s="34"/>
      <c r="F70" s="34"/>
      <c r="G70" s="34"/>
      <c r="H70" s="51"/>
      <c r="I70" s="51"/>
      <c r="J70" s="51"/>
      <c r="K70" s="51"/>
      <c r="L70" s="34"/>
      <c r="M70" s="34"/>
      <c r="N70" s="34"/>
      <c r="O70" s="34"/>
      <c r="P70" s="34"/>
      <c r="Q70" s="34"/>
      <c r="R70" s="50"/>
      <c r="S70" s="50"/>
      <c r="T70" s="51"/>
      <c r="U70" s="34"/>
      <c r="V70" s="51"/>
      <c r="W70" s="54" t="str">
        <f aca="false">IF(A70="","",IF(ISNUMBER(I70),IF(I70&lt;AsOf,"Expired",IF(I70&lt;=AsOf+WarnEvidenceDays,"Approaching expiry","Current")),IF(ISNUMBER(K70),IF(K70&lt;AsOf,"Historical period ended "&amp;TEXT(K70,"yyyy-mm-dd")&amp;" - assess relevance; request update","Period current"),"No expiry or period recorded")))</f>
        <v/>
      </c>
      <c r="X70" s="52" t="str">
        <f aca="false">IF(A70="","",IF(OR(N70="Pending verification",N70=""),"Verification pending",""))</f>
        <v/>
      </c>
      <c r="Y70" s="54" t="str">
        <f aca="false">IF(A70="","",IF(R70="Yes","Scope limitation recorded",""))</f>
        <v/>
      </c>
      <c r="Z70" s="52" t="str">
        <f aca="false">IF(A70="","",IF(AND(ISNUMBER(V70),V70&lt;AsOf,U70&lt;&gt;""),"Follow-up overdue",""))</f>
        <v/>
      </c>
      <c r="AA70" s="54" t="str">
        <f aca="false">IF(A70="","",IF(COUNTIF(EV_ID,A70)&gt;1,"CHECK: duplicate ID",IF(B70="","CHECK: Supplier ID missing",IF(COUNTIF(INV_ID,B70)=0,"CHECK: Supplier ID not in inventory","OK"))))</f>
        <v/>
      </c>
      <c r="AB70" s="52" t="str">
        <f aca="false">IF(OR(A70="",B70=""),"",IF(B70=RptSup,B70&amp;"|"&amp;COUNTIF($B$7:B70,B70),""))</f>
        <v/>
      </c>
    </row>
    <row r="71" customFormat="false" ht="15" hidden="false" customHeight="false" outlineLevel="0" collapsed="false">
      <c r="A71" s="50"/>
      <c r="B71" s="50"/>
      <c r="C71" s="59" t="str">
        <f aca="false">IF(B71="","",IFERROR(INDEX(INV_NAME,MATCH(B71,INV_ID,0)),"CHECK: Supplier ID not found"))</f>
        <v/>
      </c>
      <c r="D71" s="34"/>
      <c r="E71" s="34"/>
      <c r="F71" s="34"/>
      <c r="G71" s="34"/>
      <c r="H71" s="51"/>
      <c r="I71" s="51"/>
      <c r="J71" s="51"/>
      <c r="K71" s="51"/>
      <c r="L71" s="34"/>
      <c r="M71" s="34"/>
      <c r="N71" s="34"/>
      <c r="O71" s="34"/>
      <c r="P71" s="34"/>
      <c r="Q71" s="34"/>
      <c r="R71" s="50"/>
      <c r="S71" s="50"/>
      <c r="T71" s="51"/>
      <c r="U71" s="34"/>
      <c r="V71" s="51"/>
      <c r="W71" s="54" t="str">
        <f aca="false">IF(A71="","",IF(ISNUMBER(I71),IF(I71&lt;AsOf,"Expired",IF(I71&lt;=AsOf+WarnEvidenceDays,"Approaching expiry","Current")),IF(ISNUMBER(K71),IF(K71&lt;AsOf,"Historical period ended "&amp;TEXT(K71,"yyyy-mm-dd")&amp;" - assess relevance; request update","Period current"),"No expiry or period recorded")))</f>
        <v/>
      </c>
      <c r="X71" s="52" t="str">
        <f aca="false">IF(A71="","",IF(OR(N71="Pending verification",N71=""),"Verification pending",""))</f>
        <v/>
      </c>
      <c r="Y71" s="54" t="str">
        <f aca="false">IF(A71="","",IF(R71="Yes","Scope limitation recorded",""))</f>
        <v/>
      </c>
      <c r="Z71" s="52" t="str">
        <f aca="false">IF(A71="","",IF(AND(ISNUMBER(V71),V71&lt;AsOf,U71&lt;&gt;""),"Follow-up overdue",""))</f>
        <v/>
      </c>
      <c r="AA71" s="54" t="str">
        <f aca="false">IF(A71="","",IF(COUNTIF(EV_ID,A71)&gt;1,"CHECK: duplicate ID",IF(B71="","CHECK: Supplier ID missing",IF(COUNTIF(INV_ID,B71)=0,"CHECK: Supplier ID not in inventory","OK"))))</f>
        <v/>
      </c>
      <c r="AB71" s="52" t="str">
        <f aca="false">IF(OR(A71="",B71=""),"",IF(B71=RptSup,B71&amp;"|"&amp;COUNTIF($B$7:B71,B71),""))</f>
        <v/>
      </c>
    </row>
    <row r="72" customFormat="false" ht="15" hidden="false" customHeight="false" outlineLevel="0" collapsed="false">
      <c r="A72" s="50"/>
      <c r="B72" s="50"/>
      <c r="C72" s="59" t="str">
        <f aca="false">IF(B72="","",IFERROR(INDEX(INV_NAME,MATCH(B72,INV_ID,0)),"CHECK: Supplier ID not found"))</f>
        <v/>
      </c>
      <c r="D72" s="34"/>
      <c r="E72" s="34"/>
      <c r="F72" s="34"/>
      <c r="G72" s="34"/>
      <c r="H72" s="51"/>
      <c r="I72" s="51"/>
      <c r="J72" s="51"/>
      <c r="K72" s="51"/>
      <c r="L72" s="34"/>
      <c r="M72" s="34"/>
      <c r="N72" s="34"/>
      <c r="O72" s="34"/>
      <c r="P72" s="34"/>
      <c r="Q72" s="34"/>
      <c r="R72" s="50"/>
      <c r="S72" s="50"/>
      <c r="T72" s="51"/>
      <c r="U72" s="34"/>
      <c r="V72" s="51"/>
      <c r="W72" s="54" t="str">
        <f aca="false">IF(A72="","",IF(ISNUMBER(I72),IF(I72&lt;AsOf,"Expired",IF(I72&lt;=AsOf+WarnEvidenceDays,"Approaching expiry","Current")),IF(ISNUMBER(K72),IF(K72&lt;AsOf,"Historical period ended "&amp;TEXT(K72,"yyyy-mm-dd")&amp;" - assess relevance; request update","Period current"),"No expiry or period recorded")))</f>
        <v/>
      </c>
      <c r="X72" s="52" t="str">
        <f aca="false">IF(A72="","",IF(OR(N72="Pending verification",N72=""),"Verification pending",""))</f>
        <v/>
      </c>
      <c r="Y72" s="54" t="str">
        <f aca="false">IF(A72="","",IF(R72="Yes","Scope limitation recorded",""))</f>
        <v/>
      </c>
      <c r="Z72" s="52" t="str">
        <f aca="false">IF(A72="","",IF(AND(ISNUMBER(V72),V72&lt;AsOf,U72&lt;&gt;""),"Follow-up overdue",""))</f>
        <v/>
      </c>
      <c r="AA72" s="54" t="str">
        <f aca="false">IF(A72="","",IF(COUNTIF(EV_ID,A72)&gt;1,"CHECK: duplicate ID",IF(B72="","CHECK: Supplier ID missing",IF(COUNTIF(INV_ID,B72)=0,"CHECK: Supplier ID not in inventory","OK"))))</f>
        <v/>
      </c>
      <c r="AB72" s="52" t="str">
        <f aca="false">IF(OR(A72="",B72=""),"",IF(B72=RptSup,B72&amp;"|"&amp;COUNTIF($B$7:B72,B72),""))</f>
        <v/>
      </c>
    </row>
    <row r="73" customFormat="false" ht="15" hidden="false" customHeight="false" outlineLevel="0" collapsed="false">
      <c r="A73" s="50"/>
      <c r="B73" s="50"/>
      <c r="C73" s="59" t="str">
        <f aca="false">IF(B73="","",IFERROR(INDEX(INV_NAME,MATCH(B73,INV_ID,0)),"CHECK: Supplier ID not found"))</f>
        <v/>
      </c>
      <c r="D73" s="34"/>
      <c r="E73" s="34"/>
      <c r="F73" s="34"/>
      <c r="G73" s="34"/>
      <c r="H73" s="51"/>
      <c r="I73" s="51"/>
      <c r="J73" s="51"/>
      <c r="K73" s="51"/>
      <c r="L73" s="34"/>
      <c r="M73" s="34"/>
      <c r="N73" s="34"/>
      <c r="O73" s="34"/>
      <c r="P73" s="34"/>
      <c r="Q73" s="34"/>
      <c r="R73" s="50"/>
      <c r="S73" s="50"/>
      <c r="T73" s="51"/>
      <c r="U73" s="34"/>
      <c r="V73" s="51"/>
      <c r="W73" s="54" t="str">
        <f aca="false">IF(A73="","",IF(ISNUMBER(I73),IF(I73&lt;AsOf,"Expired",IF(I73&lt;=AsOf+WarnEvidenceDays,"Approaching expiry","Current")),IF(ISNUMBER(K73),IF(K73&lt;AsOf,"Historical period ended "&amp;TEXT(K73,"yyyy-mm-dd")&amp;" - assess relevance; request update","Period current"),"No expiry or period recorded")))</f>
        <v/>
      </c>
      <c r="X73" s="52" t="str">
        <f aca="false">IF(A73="","",IF(OR(N73="Pending verification",N73=""),"Verification pending",""))</f>
        <v/>
      </c>
      <c r="Y73" s="54" t="str">
        <f aca="false">IF(A73="","",IF(R73="Yes","Scope limitation recorded",""))</f>
        <v/>
      </c>
      <c r="Z73" s="52" t="str">
        <f aca="false">IF(A73="","",IF(AND(ISNUMBER(V73),V73&lt;AsOf,U73&lt;&gt;""),"Follow-up overdue",""))</f>
        <v/>
      </c>
      <c r="AA73" s="54" t="str">
        <f aca="false">IF(A73="","",IF(COUNTIF(EV_ID,A73)&gt;1,"CHECK: duplicate ID",IF(B73="","CHECK: Supplier ID missing",IF(COUNTIF(INV_ID,B73)=0,"CHECK: Supplier ID not in inventory","OK"))))</f>
        <v/>
      </c>
      <c r="AB73" s="52" t="str">
        <f aca="false">IF(OR(A73="",B73=""),"",IF(B73=RptSup,B73&amp;"|"&amp;COUNTIF($B$7:B73,B73),""))</f>
        <v/>
      </c>
    </row>
    <row r="74" customFormat="false" ht="15" hidden="false" customHeight="false" outlineLevel="0" collapsed="false">
      <c r="A74" s="50"/>
      <c r="B74" s="50"/>
      <c r="C74" s="59" t="str">
        <f aca="false">IF(B74="","",IFERROR(INDEX(INV_NAME,MATCH(B74,INV_ID,0)),"CHECK: Supplier ID not found"))</f>
        <v/>
      </c>
      <c r="D74" s="34"/>
      <c r="E74" s="34"/>
      <c r="F74" s="34"/>
      <c r="G74" s="34"/>
      <c r="H74" s="51"/>
      <c r="I74" s="51"/>
      <c r="J74" s="51"/>
      <c r="K74" s="51"/>
      <c r="L74" s="34"/>
      <c r="M74" s="34"/>
      <c r="N74" s="34"/>
      <c r="O74" s="34"/>
      <c r="P74" s="34"/>
      <c r="Q74" s="34"/>
      <c r="R74" s="50"/>
      <c r="S74" s="50"/>
      <c r="T74" s="51"/>
      <c r="U74" s="34"/>
      <c r="V74" s="51"/>
      <c r="W74" s="54" t="str">
        <f aca="false">IF(A74="","",IF(ISNUMBER(I74),IF(I74&lt;AsOf,"Expired",IF(I74&lt;=AsOf+WarnEvidenceDays,"Approaching expiry","Current")),IF(ISNUMBER(K74),IF(K74&lt;AsOf,"Historical period ended "&amp;TEXT(K74,"yyyy-mm-dd")&amp;" - assess relevance; request update","Period current"),"No expiry or period recorded")))</f>
        <v/>
      </c>
      <c r="X74" s="52" t="str">
        <f aca="false">IF(A74="","",IF(OR(N74="Pending verification",N74=""),"Verification pending",""))</f>
        <v/>
      </c>
      <c r="Y74" s="54" t="str">
        <f aca="false">IF(A74="","",IF(R74="Yes","Scope limitation recorded",""))</f>
        <v/>
      </c>
      <c r="Z74" s="52" t="str">
        <f aca="false">IF(A74="","",IF(AND(ISNUMBER(V74),V74&lt;AsOf,U74&lt;&gt;""),"Follow-up overdue",""))</f>
        <v/>
      </c>
      <c r="AA74" s="54" t="str">
        <f aca="false">IF(A74="","",IF(COUNTIF(EV_ID,A74)&gt;1,"CHECK: duplicate ID",IF(B74="","CHECK: Supplier ID missing",IF(COUNTIF(INV_ID,B74)=0,"CHECK: Supplier ID not in inventory","OK"))))</f>
        <v/>
      </c>
      <c r="AB74" s="52" t="str">
        <f aca="false">IF(OR(A74="",B74=""),"",IF(B74=RptSup,B74&amp;"|"&amp;COUNTIF($B$7:B74,B74),""))</f>
        <v/>
      </c>
    </row>
    <row r="75" customFormat="false" ht="15" hidden="false" customHeight="false" outlineLevel="0" collapsed="false">
      <c r="A75" s="50"/>
      <c r="B75" s="50"/>
      <c r="C75" s="59" t="str">
        <f aca="false">IF(B75="","",IFERROR(INDEX(INV_NAME,MATCH(B75,INV_ID,0)),"CHECK: Supplier ID not found"))</f>
        <v/>
      </c>
      <c r="D75" s="34"/>
      <c r="E75" s="34"/>
      <c r="F75" s="34"/>
      <c r="G75" s="34"/>
      <c r="H75" s="51"/>
      <c r="I75" s="51"/>
      <c r="J75" s="51"/>
      <c r="K75" s="51"/>
      <c r="L75" s="34"/>
      <c r="M75" s="34"/>
      <c r="N75" s="34"/>
      <c r="O75" s="34"/>
      <c r="P75" s="34"/>
      <c r="Q75" s="34"/>
      <c r="R75" s="50"/>
      <c r="S75" s="50"/>
      <c r="T75" s="51"/>
      <c r="U75" s="34"/>
      <c r="V75" s="51"/>
      <c r="W75" s="54" t="str">
        <f aca="false">IF(A75="","",IF(ISNUMBER(I75),IF(I75&lt;AsOf,"Expired",IF(I75&lt;=AsOf+WarnEvidenceDays,"Approaching expiry","Current")),IF(ISNUMBER(K75),IF(K75&lt;AsOf,"Historical period ended "&amp;TEXT(K75,"yyyy-mm-dd")&amp;" - assess relevance; request update","Period current"),"No expiry or period recorded")))</f>
        <v/>
      </c>
      <c r="X75" s="52" t="str">
        <f aca="false">IF(A75="","",IF(OR(N75="Pending verification",N75=""),"Verification pending",""))</f>
        <v/>
      </c>
      <c r="Y75" s="54" t="str">
        <f aca="false">IF(A75="","",IF(R75="Yes","Scope limitation recorded",""))</f>
        <v/>
      </c>
      <c r="Z75" s="52" t="str">
        <f aca="false">IF(A75="","",IF(AND(ISNUMBER(V75),V75&lt;AsOf,U75&lt;&gt;""),"Follow-up overdue",""))</f>
        <v/>
      </c>
      <c r="AA75" s="54" t="str">
        <f aca="false">IF(A75="","",IF(COUNTIF(EV_ID,A75)&gt;1,"CHECK: duplicate ID",IF(B75="","CHECK: Supplier ID missing",IF(COUNTIF(INV_ID,B75)=0,"CHECK: Supplier ID not in inventory","OK"))))</f>
        <v/>
      </c>
      <c r="AB75" s="52" t="str">
        <f aca="false">IF(OR(A75="",B75=""),"",IF(B75=RptSup,B75&amp;"|"&amp;COUNTIF($B$7:B75,B75),""))</f>
        <v/>
      </c>
    </row>
    <row r="76" customFormat="false" ht="15" hidden="false" customHeight="false" outlineLevel="0" collapsed="false">
      <c r="A76" s="50"/>
      <c r="B76" s="50"/>
      <c r="C76" s="59" t="str">
        <f aca="false">IF(B76="","",IFERROR(INDEX(INV_NAME,MATCH(B76,INV_ID,0)),"CHECK: Supplier ID not found"))</f>
        <v/>
      </c>
      <c r="D76" s="34"/>
      <c r="E76" s="34"/>
      <c r="F76" s="34"/>
      <c r="G76" s="34"/>
      <c r="H76" s="51"/>
      <c r="I76" s="51"/>
      <c r="J76" s="51"/>
      <c r="K76" s="51"/>
      <c r="L76" s="34"/>
      <c r="M76" s="34"/>
      <c r="N76" s="34"/>
      <c r="O76" s="34"/>
      <c r="P76" s="34"/>
      <c r="Q76" s="34"/>
      <c r="R76" s="50"/>
      <c r="S76" s="50"/>
      <c r="T76" s="51"/>
      <c r="U76" s="34"/>
      <c r="V76" s="51"/>
      <c r="W76" s="54" t="str">
        <f aca="false">IF(A76="","",IF(ISNUMBER(I76),IF(I76&lt;AsOf,"Expired",IF(I76&lt;=AsOf+WarnEvidenceDays,"Approaching expiry","Current")),IF(ISNUMBER(K76),IF(K76&lt;AsOf,"Historical period ended "&amp;TEXT(K76,"yyyy-mm-dd")&amp;" - assess relevance; request update","Period current"),"No expiry or period recorded")))</f>
        <v/>
      </c>
      <c r="X76" s="52" t="str">
        <f aca="false">IF(A76="","",IF(OR(N76="Pending verification",N76=""),"Verification pending",""))</f>
        <v/>
      </c>
      <c r="Y76" s="54" t="str">
        <f aca="false">IF(A76="","",IF(R76="Yes","Scope limitation recorded",""))</f>
        <v/>
      </c>
      <c r="Z76" s="52" t="str">
        <f aca="false">IF(A76="","",IF(AND(ISNUMBER(V76),V76&lt;AsOf,U76&lt;&gt;""),"Follow-up overdue",""))</f>
        <v/>
      </c>
      <c r="AA76" s="54" t="str">
        <f aca="false">IF(A76="","",IF(COUNTIF(EV_ID,A76)&gt;1,"CHECK: duplicate ID",IF(B76="","CHECK: Supplier ID missing",IF(COUNTIF(INV_ID,B76)=0,"CHECK: Supplier ID not in inventory","OK"))))</f>
        <v/>
      </c>
      <c r="AB76" s="52" t="str">
        <f aca="false">IF(OR(A76="",B76=""),"",IF(B76=RptSup,B76&amp;"|"&amp;COUNTIF($B$7:B76,B76),""))</f>
        <v/>
      </c>
    </row>
    <row r="77" customFormat="false" ht="15" hidden="false" customHeight="false" outlineLevel="0" collapsed="false">
      <c r="A77" s="50"/>
      <c r="B77" s="50"/>
      <c r="C77" s="59" t="str">
        <f aca="false">IF(B77="","",IFERROR(INDEX(INV_NAME,MATCH(B77,INV_ID,0)),"CHECK: Supplier ID not found"))</f>
        <v/>
      </c>
      <c r="D77" s="34"/>
      <c r="E77" s="34"/>
      <c r="F77" s="34"/>
      <c r="G77" s="34"/>
      <c r="H77" s="51"/>
      <c r="I77" s="51"/>
      <c r="J77" s="51"/>
      <c r="K77" s="51"/>
      <c r="L77" s="34"/>
      <c r="M77" s="34"/>
      <c r="N77" s="34"/>
      <c r="O77" s="34"/>
      <c r="P77" s="34"/>
      <c r="Q77" s="34"/>
      <c r="R77" s="50"/>
      <c r="S77" s="50"/>
      <c r="T77" s="51"/>
      <c r="U77" s="34"/>
      <c r="V77" s="51"/>
      <c r="W77" s="54" t="str">
        <f aca="false">IF(A77="","",IF(ISNUMBER(I77),IF(I77&lt;AsOf,"Expired",IF(I77&lt;=AsOf+WarnEvidenceDays,"Approaching expiry","Current")),IF(ISNUMBER(K77),IF(K77&lt;AsOf,"Historical period ended "&amp;TEXT(K77,"yyyy-mm-dd")&amp;" - assess relevance; request update","Period current"),"No expiry or period recorded")))</f>
        <v/>
      </c>
      <c r="X77" s="52" t="str">
        <f aca="false">IF(A77="","",IF(OR(N77="Pending verification",N77=""),"Verification pending",""))</f>
        <v/>
      </c>
      <c r="Y77" s="54" t="str">
        <f aca="false">IF(A77="","",IF(R77="Yes","Scope limitation recorded",""))</f>
        <v/>
      </c>
      <c r="Z77" s="52" t="str">
        <f aca="false">IF(A77="","",IF(AND(ISNUMBER(V77),V77&lt;AsOf,U77&lt;&gt;""),"Follow-up overdue",""))</f>
        <v/>
      </c>
      <c r="AA77" s="54" t="str">
        <f aca="false">IF(A77="","",IF(COUNTIF(EV_ID,A77)&gt;1,"CHECK: duplicate ID",IF(B77="","CHECK: Supplier ID missing",IF(COUNTIF(INV_ID,B77)=0,"CHECK: Supplier ID not in inventory","OK"))))</f>
        <v/>
      </c>
      <c r="AB77" s="52" t="str">
        <f aca="false">IF(OR(A77="",B77=""),"",IF(B77=RptSup,B77&amp;"|"&amp;COUNTIF($B$7:B77,B77),""))</f>
        <v/>
      </c>
    </row>
    <row r="78" customFormat="false" ht="15" hidden="false" customHeight="false" outlineLevel="0" collapsed="false">
      <c r="A78" s="50"/>
      <c r="B78" s="50"/>
      <c r="C78" s="59" t="str">
        <f aca="false">IF(B78="","",IFERROR(INDEX(INV_NAME,MATCH(B78,INV_ID,0)),"CHECK: Supplier ID not found"))</f>
        <v/>
      </c>
      <c r="D78" s="34"/>
      <c r="E78" s="34"/>
      <c r="F78" s="34"/>
      <c r="G78" s="34"/>
      <c r="H78" s="51"/>
      <c r="I78" s="51"/>
      <c r="J78" s="51"/>
      <c r="K78" s="51"/>
      <c r="L78" s="34"/>
      <c r="M78" s="34"/>
      <c r="N78" s="34"/>
      <c r="O78" s="34"/>
      <c r="P78" s="34"/>
      <c r="Q78" s="34"/>
      <c r="R78" s="50"/>
      <c r="S78" s="50"/>
      <c r="T78" s="51"/>
      <c r="U78" s="34"/>
      <c r="V78" s="51"/>
      <c r="W78" s="54" t="str">
        <f aca="false">IF(A78="","",IF(ISNUMBER(I78),IF(I78&lt;AsOf,"Expired",IF(I78&lt;=AsOf+WarnEvidenceDays,"Approaching expiry","Current")),IF(ISNUMBER(K78),IF(K78&lt;AsOf,"Historical period ended "&amp;TEXT(K78,"yyyy-mm-dd")&amp;" - assess relevance; request update","Period current"),"No expiry or period recorded")))</f>
        <v/>
      </c>
      <c r="X78" s="52" t="str">
        <f aca="false">IF(A78="","",IF(OR(N78="Pending verification",N78=""),"Verification pending",""))</f>
        <v/>
      </c>
      <c r="Y78" s="54" t="str">
        <f aca="false">IF(A78="","",IF(R78="Yes","Scope limitation recorded",""))</f>
        <v/>
      </c>
      <c r="Z78" s="52" t="str">
        <f aca="false">IF(A78="","",IF(AND(ISNUMBER(V78),V78&lt;AsOf,U78&lt;&gt;""),"Follow-up overdue",""))</f>
        <v/>
      </c>
      <c r="AA78" s="54" t="str">
        <f aca="false">IF(A78="","",IF(COUNTIF(EV_ID,A78)&gt;1,"CHECK: duplicate ID",IF(B78="","CHECK: Supplier ID missing",IF(COUNTIF(INV_ID,B78)=0,"CHECK: Supplier ID not in inventory","OK"))))</f>
        <v/>
      </c>
      <c r="AB78" s="52" t="str">
        <f aca="false">IF(OR(A78="",B78=""),"",IF(B78=RptSup,B78&amp;"|"&amp;COUNTIF($B$7:B78,B78),""))</f>
        <v/>
      </c>
    </row>
    <row r="79" customFormat="false" ht="15" hidden="false" customHeight="false" outlineLevel="0" collapsed="false">
      <c r="A79" s="50"/>
      <c r="B79" s="50"/>
      <c r="C79" s="59" t="str">
        <f aca="false">IF(B79="","",IFERROR(INDEX(INV_NAME,MATCH(B79,INV_ID,0)),"CHECK: Supplier ID not found"))</f>
        <v/>
      </c>
      <c r="D79" s="34"/>
      <c r="E79" s="34"/>
      <c r="F79" s="34"/>
      <c r="G79" s="34"/>
      <c r="H79" s="51"/>
      <c r="I79" s="51"/>
      <c r="J79" s="51"/>
      <c r="K79" s="51"/>
      <c r="L79" s="34"/>
      <c r="M79" s="34"/>
      <c r="N79" s="34"/>
      <c r="O79" s="34"/>
      <c r="P79" s="34"/>
      <c r="Q79" s="34"/>
      <c r="R79" s="50"/>
      <c r="S79" s="50"/>
      <c r="T79" s="51"/>
      <c r="U79" s="34"/>
      <c r="V79" s="51"/>
      <c r="W79" s="54" t="str">
        <f aca="false">IF(A79="","",IF(ISNUMBER(I79),IF(I79&lt;AsOf,"Expired",IF(I79&lt;=AsOf+WarnEvidenceDays,"Approaching expiry","Current")),IF(ISNUMBER(K79),IF(K79&lt;AsOf,"Historical period ended "&amp;TEXT(K79,"yyyy-mm-dd")&amp;" - assess relevance; request update","Period current"),"No expiry or period recorded")))</f>
        <v/>
      </c>
      <c r="X79" s="52" t="str">
        <f aca="false">IF(A79="","",IF(OR(N79="Pending verification",N79=""),"Verification pending",""))</f>
        <v/>
      </c>
      <c r="Y79" s="54" t="str">
        <f aca="false">IF(A79="","",IF(R79="Yes","Scope limitation recorded",""))</f>
        <v/>
      </c>
      <c r="Z79" s="52" t="str">
        <f aca="false">IF(A79="","",IF(AND(ISNUMBER(V79),V79&lt;AsOf,U79&lt;&gt;""),"Follow-up overdue",""))</f>
        <v/>
      </c>
      <c r="AA79" s="54" t="str">
        <f aca="false">IF(A79="","",IF(COUNTIF(EV_ID,A79)&gt;1,"CHECK: duplicate ID",IF(B79="","CHECK: Supplier ID missing",IF(COUNTIF(INV_ID,B79)=0,"CHECK: Supplier ID not in inventory","OK"))))</f>
        <v/>
      </c>
      <c r="AB79" s="52" t="str">
        <f aca="false">IF(OR(A79="",B79=""),"",IF(B79=RptSup,B79&amp;"|"&amp;COUNTIF($B$7:B79,B79),""))</f>
        <v/>
      </c>
    </row>
    <row r="80" customFormat="false" ht="15" hidden="false" customHeight="false" outlineLevel="0" collapsed="false">
      <c r="A80" s="50"/>
      <c r="B80" s="50"/>
      <c r="C80" s="59" t="str">
        <f aca="false">IF(B80="","",IFERROR(INDEX(INV_NAME,MATCH(B80,INV_ID,0)),"CHECK: Supplier ID not found"))</f>
        <v/>
      </c>
      <c r="D80" s="34"/>
      <c r="E80" s="34"/>
      <c r="F80" s="34"/>
      <c r="G80" s="34"/>
      <c r="H80" s="51"/>
      <c r="I80" s="51"/>
      <c r="J80" s="51"/>
      <c r="K80" s="51"/>
      <c r="L80" s="34"/>
      <c r="M80" s="34"/>
      <c r="N80" s="34"/>
      <c r="O80" s="34"/>
      <c r="P80" s="34"/>
      <c r="Q80" s="34"/>
      <c r="R80" s="50"/>
      <c r="S80" s="50"/>
      <c r="T80" s="51"/>
      <c r="U80" s="34"/>
      <c r="V80" s="51"/>
      <c r="W80" s="54" t="str">
        <f aca="false">IF(A80="","",IF(ISNUMBER(I80),IF(I80&lt;AsOf,"Expired",IF(I80&lt;=AsOf+WarnEvidenceDays,"Approaching expiry","Current")),IF(ISNUMBER(K80),IF(K80&lt;AsOf,"Historical period ended "&amp;TEXT(K80,"yyyy-mm-dd")&amp;" - assess relevance; request update","Period current"),"No expiry or period recorded")))</f>
        <v/>
      </c>
      <c r="X80" s="52" t="str">
        <f aca="false">IF(A80="","",IF(OR(N80="Pending verification",N80=""),"Verification pending",""))</f>
        <v/>
      </c>
      <c r="Y80" s="54" t="str">
        <f aca="false">IF(A80="","",IF(R80="Yes","Scope limitation recorded",""))</f>
        <v/>
      </c>
      <c r="Z80" s="52" t="str">
        <f aca="false">IF(A80="","",IF(AND(ISNUMBER(V80),V80&lt;AsOf,U80&lt;&gt;""),"Follow-up overdue",""))</f>
        <v/>
      </c>
      <c r="AA80" s="54" t="str">
        <f aca="false">IF(A80="","",IF(COUNTIF(EV_ID,A80)&gt;1,"CHECK: duplicate ID",IF(B80="","CHECK: Supplier ID missing",IF(COUNTIF(INV_ID,B80)=0,"CHECK: Supplier ID not in inventory","OK"))))</f>
        <v/>
      </c>
      <c r="AB80" s="52" t="str">
        <f aca="false">IF(OR(A80="",B80=""),"",IF(B80=RptSup,B80&amp;"|"&amp;COUNTIF($B$7:B80,B80),""))</f>
        <v/>
      </c>
    </row>
    <row r="81" customFormat="false" ht="15" hidden="false" customHeight="false" outlineLevel="0" collapsed="false">
      <c r="A81" s="50"/>
      <c r="B81" s="50"/>
      <c r="C81" s="59" t="str">
        <f aca="false">IF(B81="","",IFERROR(INDEX(INV_NAME,MATCH(B81,INV_ID,0)),"CHECK: Supplier ID not found"))</f>
        <v/>
      </c>
      <c r="D81" s="34"/>
      <c r="E81" s="34"/>
      <c r="F81" s="34"/>
      <c r="G81" s="34"/>
      <c r="H81" s="51"/>
      <c r="I81" s="51"/>
      <c r="J81" s="51"/>
      <c r="K81" s="51"/>
      <c r="L81" s="34"/>
      <c r="M81" s="34"/>
      <c r="N81" s="34"/>
      <c r="O81" s="34"/>
      <c r="P81" s="34"/>
      <c r="Q81" s="34"/>
      <c r="R81" s="50"/>
      <c r="S81" s="50"/>
      <c r="T81" s="51"/>
      <c r="U81" s="34"/>
      <c r="V81" s="51"/>
      <c r="W81" s="54" t="str">
        <f aca="false">IF(A81="","",IF(ISNUMBER(I81),IF(I81&lt;AsOf,"Expired",IF(I81&lt;=AsOf+WarnEvidenceDays,"Approaching expiry","Current")),IF(ISNUMBER(K81),IF(K81&lt;AsOf,"Historical period ended "&amp;TEXT(K81,"yyyy-mm-dd")&amp;" - assess relevance; request update","Period current"),"No expiry or period recorded")))</f>
        <v/>
      </c>
      <c r="X81" s="52" t="str">
        <f aca="false">IF(A81="","",IF(OR(N81="Pending verification",N81=""),"Verification pending",""))</f>
        <v/>
      </c>
      <c r="Y81" s="54" t="str">
        <f aca="false">IF(A81="","",IF(R81="Yes","Scope limitation recorded",""))</f>
        <v/>
      </c>
      <c r="Z81" s="52" t="str">
        <f aca="false">IF(A81="","",IF(AND(ISNUMBER(V81),V81&lt;AsOf,U81&lt;&gt;""),"Follow-up overdue",""))</f>
        <v/>
      </c>
      <c r="AA81" s="54" t="str">
        <f aca="false">IF(A81="","",IF(COUNTIF(EV_ID,A81)&gt;1,"CHECK: duplicate ID",IF(B81="","CHECK: Supplier ID missing",IF(COUNTIF(INV_ID,B81)=0,"CHECK: Supplier ID not in inventory","OK"))))</f>
        <v/>
      </c>
      <c r="AB81" s="52" t="str">
        <f aca="false">IF(OR(A81="",B81=""),"",IF(B81=RptSup,B81&amp;"|"&amp;COUNTIF($B$7:B81,B81),""))</f>
        <v/>
      </c>
    </row>
    <row r="82" customFormat="false" ht="15" hidden="false" customHeight="false" outlineLevel="0" collapsed="false">
      <c r="A82" s="50"/>
      <c r="B82" s="50"/>
      <c r="C82" s="59" t="str">
        <f aca="false">IF(B82="","",IFERROR(INDEX(INV_NAME,MATCH(B82,INV_ID,0)),"CHECK: Supplier ID not found"))</f>
        <v/>
      </c>
      <c r="D82" s="34"/>
      <c r="E82" s="34"/>
      <c r="F82" s="34"/>
      <c r="G82" s="34"/>
      <c r="H82" s="51"/>
      <c r="I82" s="51"/>
      <c r="J82" s="51"/>
      <c r="K82" s="51"/>
      <c r="L82" s="34"/>
      <c r="M82" s="34"/>
      <c r="N82" s="34"/>
      <c r="O82" s="34"/>
      <c r="P82" s="34"/>
      <c r="Q82" s="34"/>
      <c r="R82" s="50"/>
      <c r="S82" s="50"/>
      <c r="T82" s="51"/>
      <c r="U82" s="34"/>
      <c r="V82" s="51"/>
      <c r="W82" s="54" t="str">
        <f aca="false">IF(A82="","",IF(ISNUMBER(I82),IF(I82&lt;AsOf,"Expired",IF(I82&lt;=AsOf+WarnEvidenceDays,"Approaching expiry","Current")),IF(ISNUMBER(K82),IF(K82&lt;AsOf,"Historical period ended "&amp;TEXT(K82,"yyyy-mm-dd")&amp;" - assess relevance; request update","Period current"),"No expiry or period recorded")))</f>
        <v/>
      </c>
      <c r="X82" s="52" t="str">
        <f aca="false">IF(A82="","",IF(OR(N82="Pending verification",N82=""),"Verification pending",""))</f>
        <v/>
      </c>
      <c r="Y82" s="54" t="str">
        <f aca="false">IF(A82="","",IF(R82="Yes","Scope limitation recorded",""))</f>
        <v/>
      </c>
      <c r="Z82" s="52" t="str">
        <f aca="false">IF(A82="","",IF(AND(ISNUMBER(V82),V82&lt;AsOf,U82&lt;&gt;""),"Follow-up overdue",""))</f>
        <v/>
      </c>
      <c r="AA82" s="54" t="str">
        <f aca="false">IF(A82="","",IF(COUNTIF(EV_ID,A82)&gt;1,"CHECK: duplicate ID",IF(B82="","CHECK: Supplier ID missing",IF(COUNTIF(INV_ID,B82)=0,"CHECK: Supplier ID not in inventory","OK"))))</f>
        <v/>
      </c>
      <c r="AB82" s="52" t="str">
        <f aca="false">IF(OR(A82="",B82=""),"",IF(B82=RptSup,B82&amp;"|"&amp;COUNTIF($B$7:B82,B82),""))</f>
        <v/>
      </c>
    </row>
    <row r="83" customFormat="false" ht="15" hidden="false" customHeight="false" outlineLevel="0" collapsed="false">
      <c r="A83" s="50"/>
      <c r="B83" s="50"/>
      <c r="C83" s="59" t="str">
        <f aca="false">IF(B83="","",IFERROR(INDEX(INV_NAME,MATCH(B83,INV_ID,0)),"CHECK: Supplier ID not found"))</f>
        <v/>
      </c>
      <c r="D83" s="34"/>
      <c r="E83" s="34"/>
      <c r="F83" s="34"/>
      <c r="G83" s="34"/>
      <c r="H83" s="51"/>
      <c r="I83" s="51"/>
      <c r="J83" s="51"/>
      <c r="K83" s="51"/>
      <c r="L83" s="34"/>
      <c r="M83" s="34"/>
      <c r="N83" s="34"/>
      <c r="O83" s="34"/>
      <c r="P83" s="34"/>
      <c r="Q83" s="34"/>
      <c r="R83" s="50"/>
      <c r="S83" s="50"/>
      <c r="T83" s="51"/>
      <c r="U83" s="34"/>
      <c r="V83" s="51"/>
      <c r="W83" s="54" t="str">
        <f aca="false">IF(A83="","",IF(ISNUMBER(I83),IF(I83&lt;AsOf,"Expired",IF(I83&lt;=AsOf+WarnEvidenceDays,"Approaching expiry","Current")),IF(ISNUMBER(K83),IF(K83&lt;AsOf,"Historical period ended "&amp;TEXT(K83,"yyyy-mm-dd")&amp;" - assess relevance; request update","Period current"),"No expiry or period recorded")))</f>
        <v/>
      </c>
      <c r="X83" s="52" t="str">
        <f aca="false">IF(A83="","",IF(OR(N83="Pending verification",N83=""),"Verification pending",""))</f>
        <v/>
      </c>
      <c r="Y83" s="54" t="str">
        <f aca="false">IF(A83="","",IF(R83="Yes","Scope limitation recorded",""))</f>
        <v/>
      </c>
      <c r="Z83" s="52" t="str">
        <f aca="false">IF(A83="","",IF(AND(ISNUMBER(V83),V83&lt;AsOf,U83&lt;&gt;""),"Follow-up overdue",""))</f>
        <v/>
      </c>
      <c r="AA83" s="54" t="str">
        <f aca="false">IF(A83="","",IF(COUNTIF(EV_ID,A83)&gt;1,"CHECK: duplicate ID",IF(B83="","CHECK: Supplier ID missing",IF(COUNTIF(INV_ID,B83)=0,"CHECK: Supplier ID not in inventory","OK"))))</f>
        <v/>
      </c>
      <c r="AB83" s="52" t="str">
        <f aca="false">IF(OR(A83="",B83=""),"",IF(B83=RptSup,B83&amp;"|"&amp;COUNTIF($B$7:B83,B83),""))</f>
        <v/>
      </c>
    </row>
    <row r="84" customFormat="false" ht="15" hidden="false" customHeight="false" outlineLevel="0" collapsed="false">
      <c r="A84" s="50"/>
      <c r="B84" s="50"/>
      <c r="C84" s="59" t="str">
        <f aca="false">IF(B84="","",IFERROR(INDEX(INV_NAME,MATCH(B84,INV_ID,0)),"CHECK: Supplier ID not found"))</f>
        <v/>
      </c>
      <c r="D84" s="34"/>
      <c r="E84" s="34"/>
      <c r="F84" s="34"/>
      <c r="G84" s="34"/>
      <c r="H84" s="51"/>
      <c r="I84" s="51"/>
      <c r="J84" s="51"/>
      <c r="K84" s="51"/>
      <c r="L84" s="34"/>
      <c r="M84" s="34"/>
      <c r="N84" s="34"/>
      <c r="O84" s="34"/>
      <c r="P84" s="34"/>
      <c r="Q84" s="34"/>
      <c r="R84" s="50"/>
      <c r="S84" s="50"/>
      <c r="T84" s="51"/>
      <c r="U84" s="34"/>
      <c r="V84" s="51"/>
      <c r="W84" s="54" t="str">
        <f aca="false">IF(A84="","",IF(ISNUMBER(I84),IF(I84&lt;AsOf,"Expired",IF(I84&lt;=AsOf+WarnEvidenceDays,"Approaching expiry","Current")),IF(ISNUMBER(K84),IF(K84&lt;AsOf,"Historical period ended "&amp;TEXT(K84,"yyyy-mm-dd")&amp;" - assess relevance; request update","Period current"),"No expiry or period recorded")))</f>
        <v/>
      </c>
      <c r="X84" s="52" t="str">
        <f aca="false">IF(A84="","",IF(OR(N84="Pending verification",N84=""),"Verification pending",""))</f>
        <v/>
      </c>
      <c r="Y84" s="54" t="str">
        <f aca="false">IF(A84="","",IF(R84="Yes","Scope limitation recorded",""))</f>
        <v/>
      </c>
      <c r="Z84" s="52" t="str">
        <f aca="false">IF(A84="","",IF(AND(ISNUMBER(V84),V84&lt;AsOf,U84&lt;&gt;""),"Follow-up overdue",""))</f>
        <v/>
      </c>
      <c r="AA84" s="54" t="str">
        <f aca="false">IF(A84="","",IF(COUNTIF(EV_ID,A84)&gt;1,"CHECK: duplicate ID",IF(B84="","CHECK: Supplier ID missing",IF(COUNTIF(INV_ID,B84)=0,"CHECK: Supplier ID not in inventory","OK"))))</f>
        <v/>
      </c>
      <c r="AB84" s="52" t="str">
        <f aca="false">IF(OR(A84="",B84=""),"",IF(B84=RptSup,B84&amp;"|"&amp;COUNTIF($B$7:B84,B84),""))</f>
        <v/>
      </c>
    </row>
    <row r="85" customFormat="false" ht="15" hidden="false" customHeight="false" outlineLevel="0" collapsed="false">
      <c r="A85" s="50"/>
      <c r="B85" s="50"/>
      <c r="C85" s="59" t="str">
        <f aca="false">IF(B85="","",IFERROR(INDEX(INV_NAME,MATCH(B85,INV_ID,0)),"CHECK: Supplier ID not found"))</f>
        <v/>
      </c>
      <c r="D85" s="34"/>
      <c r="E85" s="34"/>
      <c r="F85" s="34"/>
      <c r="G85" s="34"/>
      <c r="H85" s="51"/>
      <c r="I85" s="51"/>
      <c r="J85" s="51"/>
      <c r="K85" s="51"/>
      <c r="L85" s="34"/>
      <c r="M85" s="34"/>
      <c r="N85" s="34"/>
      <c r="O85" s="34"/>
      <c r="P85" s="34"/>
      <c r="Q85" s="34"/>
      <c r="R85" s="50"/>
      <c r="S85" s="50"/>
      <c r="T85" s="51"/>
      <c r="U85" s="34"/>
      <c r="V85" s="51"/>
      <c r="W85" s="54" t="str">
        <f aca="false">IF(A85="","",IF(ISNUMBER(I85),IF(I85&lt;AsOf,"Expired",IF(I85&lt;=AsOf+WarnEvidenceDays,"Approaching expiry","Current")),IF(ISNUMBER(K85),IF(K85&lt;AsOf,"Historical period ended "&amp;TEXT(K85,"yyyy-mm-dd")&amp;" - assess relevance; request update","Period current"),"No expiry or period recorded")))</f>
        <v/>
      </c>
      <c r="X85" s="52" t="str">
        <f aca="false">IF(A85="","",IF(OR(N85="Pending verification",N85=""),"Verification pending",""))</f>
        <v/>
      </c>
      <c r="Y85" s="54" t="str">
        <f aca="false">IF(A85="","",IF(R85="Yes","Scope limitation recorded",""))</f>
        <v/>
      </c>
      <c r="Z85" s="52" t="str">
        <f aca="false">IF(A85="","",IF(AND(ISNUMBER(V85),V85&lt;AsOf,U85&lt;&gt;""),"Follow-up overdue",""))</f>
        <v/>
      </c>
      <c r="AA85" s="54" t="str">
        <f aca="false">IF(A85="","",IF(COUNTIF(EV_ID,A85)&gt;1,"CHECK: duplicate ID",IF(B85="","CHECK: Supplier ID missing",IF(COUNTIF(INV_ID,B85)=0,"CHECK: Supplier ID not in inventory","OK"))))</f>
        <v/>
      </c>
      <c r="AB85" s="52" t="str">
        <f aca="false">IF(OR(A85="",B85=""),"",IF(B85=RptSup,B85&amp;"|"&amp;COUNTIF($B$7:B85,B85),""))</f>
        <v/>
      </c>
    </row>
    <row r="86" customFormat="false" ht="15" hidden="false" customHeight="false" outlineLevel="0" collapsed="false">
      <c r="A86" s="50"/>
      <c r="B86" s="50"/>
      <c r="C86" s="59" t="str">
        <f aca="false">IF(B86="","",IFERROR(INDEX(INV_NAME,MATCH(B86,INV_ID,0)),"CHECK: Supplier ID not found"))</f>
        <v/>
      </c>
      <c r="D86" s="34"/>
      <c r="E86" s="34"/>
      <c r="F86" s="34"/>
      <c r="G86" s="34"/>
      <c r="H86" s="51"/>
      <c r="I86" s="51"/>
      <c r="J86" s="51"/>
      <c r="K86" s="51"/>
      <c r="L86" s="34"/>
      <c r="M86" s="34"/>
      <c r="N86" s="34"/>
      <c r="O86" s="34"/>
      <c r="P86" s="34"/>
      <c r="Q86" s="34"/>
      <c r="R86" s="50"/>
      <c r="S86" s="50"/>
      <c r="T86" s="51"/>
      <c r="U86" s="34"/>
      <c r="V86" s="51"/>
      <c r="W86" s="54" t="str">
        <f aca="false">IF(A86="","",IF(ISNUMBER(I86),IF(I86&lt;AsOf,"Expired",IF(I86&lt;=AsOf+WarnEvidenceDays,"Approaching expiry","Current")),IF(ISNUMBER(K86),IF(K86&lt;AsOf,"Historical period ended "&amp;TEXT(K86,"yyyy-mm-dd")&amp;" - assess relevance; request update","Period current"),"No expiry or period recorded")))</f>
        <v/>
      </c>
      <c r="X86" s="52" t="str">
        <f aca="false">IF(A86="","",IF(OR(N86="Pending verification",N86=""),"Verification pending",""))</f>
        <v/>
      </c>
      <c r="Y86" s="54" t="str">
        <f aca="false">IF(A86="","",IF(R86="Yes","Scope limitation recorded",""))</f>
        <v/>
      </c>
      <c r="Z86" s="52" t="str">
        <f aca="false">IF(A86="","",IF(AND(ISNUMBER(V86),V86&lt;AsOf,U86&lt;&gt;""),"Follow-up overdue",""))</f>
        <v/>
      </c>
      <c r="AA86" s="54" t="str">
        <f aca="false">IF(A86="","",IF(COUNTIF(EV_ID,A86)&gt;1,"CHECK: duplicate ID",IF(B86="","CHECK: Supplier ID missing",IF(COUNTIF(INV_ID,B86)=0,"CHECK: Supplier ID not in inventory","OK"))))</f>
        <v/>
      </c>
      <c r="AB86" s="52" t="str">
        <f aca="false">IF(OR(A86="",B86=""),"",IF(B86=RptSup,B86&amp;"|"&amp;COUNTIF($B$7:B86,B86),""))</f>
        <v/>
      </c>
    </row>
    <row r="87" customFormat="false" ht="15" hidden="false" customHeight="false" outlineLevel="0" collapsed="false">
      <c r="A87" s="50"/>
      <c r="B87" s="50"/>
      <c r="C87" s="59" t="str">
        <f aca="false">IF(B87="","",IFERROR(INDEX(INV_NAME,MATCH(B87,INV_ID,0)),"CHECK: Supplier ID not found"))</f>
        <v/>
      </c>
      <c r="D87" s="34"/>
      <c r="E87" s="34"/>
      <c r="F87" s="34"/>
      <c r="G87" s="34"/>
      <c r="H87" s="51"/>
      <c r="I87" s="51"/>
      <c r="J87" s="51"/>
      <c r="K87" s="51"/>
      <c r="L87" s="34"/>
      <c r="M87" s="34"/>
      <c r="N87" s="34"/>
      <c r="O87" s="34"/>
      <c r="P87" s="34"/>
      <c r="Q87" s="34"/>
      <c r="R87" s="50"/>
      <c r="S87" s="50"/>
      <c r="T87" s="51"/>
      <c r="U87" s="34"/>
      <c r="V87" s="51"/>
      <c r="W87" s="54" t="str">
        <f aca="false">IF(A87="","",IF(ISNUMBER(I87),IF(I87&lt;AsOf,"Expired",IF(I87&lt;=AsOf+WarnEvidenceDays,"Approaching expiry","Current")),IF(ISNUMBER(K87),IF(K87&lt;AsOf,"Historical period ended "&amp;TEXT(K87,"yyyy-mm-dd")&amp;" - assess relevance; request update","Period current"),"No expiry or period recorded")))</f>
        <v/>
      </c>
      <c r="X87" s="52" t="str">
        <f aca="false">IF(A87="","",IF(OR(N87="Pending verification",N87=""),"Verification pending",""))</f>
        <v/>
      </c>
      <c r="Y87" s="54" t="str">
        <f aca="false">IF(A87="","",IF(R87="Yes","Scope limitation recorded",""))</f>
        <v/>
      </c>
      <c r="Z87" s="52" t="str">
        <f aca="false">IF(A87="","",IF(AND(ISNUMBER(V87),V87&lt;AsOf,U87&lt;&gt;""),"Follow-up overdue",""))</f>
        <v/>
      </c>
      <c r="AA87" s="54" t="str">
        <f aca="false">IF(A87="","",IF(COUNTIF(EV_ID,A87)&gt;1,"CHECK: duplicate ID",IF(B87="","CHECK: Supplier ID missing",IF(COUNTIF(INV_ID,B87)=0,"CHECK: Supplier ID not in inventory","OK"))))</f>
        <v/>
      </c>
      <c r="AB87" s="52" t="str">
        <f aca="false">IF(OR(A87="",B87=""),"",IF(B87=RptSup,B87&amp;"|"&amp;COUNTIF($B$7:B87,B87),""))</f>
        <v/>
      </c>
    </row>
    <row r="88" customFormat="false" ht="15" hidden="false" customHeight="false" outlineLevel="0" collapsed="false">
      <c r="A88" s="50"/>
      <c r="B88" s="50"/>
      <c r="C88" s="59" t="str">
        <f aca="false">IF(B88="","",IFERROR(INDEX(INV_NAME,MATCH(B88,INV_ID,0)),"CHECK: Supplier ID not found"))</f>
        <v/>
      </c>
      <c r="D88" s="34"/>
      <c r="E88" s="34"/>
      <c r="F88" s="34"/>
      <c r="G88" s="34"/>
      <c r="H88" s="51"/>
      <c r="I88" s="51"/>
      <c r="J88" s="51"/>
      <c r="K88" s="51"/>
      <c r="L88" s="34"/>
      <c r="M88" s="34"/>
      <c r="N88" s="34"/>
      <c r="O88" s="34"/>
      <c r="P88" s="34"/>
      <c r="Q88" s="34"/>
      <c r="R88" s="50"/>
      <c r="S88" s="50"/>
      <c r="T88" s="51"/>
      <c r="U88" s="34"/>
      <c r="V88" s="51"/>
      <c r="W88" s="54" t="str">
        <f aca="false">IF(A88="","",IF(ISNUMBER(I88),IF(I88&lt;AsOf,"Expired",IF(I88&lt;=AsOf+WarnEvidenceDays,"Approaching expiry","Current")),IF(ISNUMBER(K88),IF(K88&lt;AsOf,"Historical period ended "&amp;TEXT(K88,"yyyy-mm-dd")&amp;" - assess relevance; request update","Period current"),"No expiry or period recorded")))</f>
        <v/>
      </c>
      <c r="X88" s="52" t="str">
        <f aca="false">IF(A88="","",IF(OR(N88="Pending verification",N88=""),"Verification pending",""))</f>
        <v/>
      </c>
      <c r="Y88" s="54" t="str">
        <f aca="false">IF(A88="","",IF(R88="Yes","Scope limitation recorded",""))</f>
        <v/>
      </c>
      <c r="Z88" s="52" t="str">
        <f aca="false">IF(A88="","",IF(AND(ISNUMBER(V88),V88&lt;AsOf,U88&lt;&gt;""),"Follow-up overdue",""))</f>
        <v/>
      </c>
      <c r="AA88" s="54" t="str">
        <f aca="false">IF(A88="","",IF(COUNTIF(EV_ID,A88)&gt;1,"CHECK: duplicate ID",IF(B88="","CHECK: Supplier ID missing",IF(COUNTIF(INV_ID,B88)=0,"CHECK: Supplier ID not in inventory","OK"))))</f>
        <v/>
      </c>
      <c r="AB88" s="52" t="str">
        <f aca="false">IF(OR(A88="",B88=""),"",IF(B88=RptSup,B88&amp;"|"&amp;COUNTIF($B$7:B88,B88),""))</f>
        <v/>
      </c>
    </row>
    <row r="89" customFormat="false" ht="15" hidden="false" customHeight="false" outlineLevel="0" collapsed="false">
      <c r="A89" s="50"/>
      <c r="B89" s="50"/>
      <c r="C89" s="59" t="str">
        <f aca="false">IF(B89="","",IFERROR(INDEX(INV_NAME,MATCH(B89,INV_ID,0)),"CHECK: Supplier ID not found"))</f>
        <v/>
      </c>
      <c r="D89" s="34"/>
      <c r="E89" s="34"/>
      <c r="F89" s="34"/>
      <c r="G89" s="34"/>
      <c r="H89" s="51"/>
      <c r="I89" s="51"/>
      <c r="J89" s="51"/>
      <c r="K89" s="51"/>
      <c r="L89" s="34"/>
      <c r="M89" s="34"/>
      <c r="N89" s="34"/>
      <c r="O89" s="34"/>
      <c r="P89" s="34"/>
      <c r="Q89" s="34"/>
      <c r="R89" s="50"/>
      <c r="S89" s="50"/>
      <c r="T89" s="51"/>
      <c r="U89" s="34"/>
      <c r="V89" s="51"/>
      <c r="W89" s="54" t="str">
        <f aca="false">IF(A89="","",IF(ISNUMBER(I89),IF(I89&lt;AsOf,"Expired",IF(I89&lt;=AsOf+WarnEvidenceDays,"Approaching expiry","Current")),IF(ISNUMBER(K89),IF(K89&lt;AsOf,"Historical period ended "&amp;TEXT(K89,"yyyy-mm-dd")&amp;" - assess relevance; request update","Period current"),"No expiry or period recorded")))</f>
        <v/>
      </c>
      <c r="X89" s="52" t="str">
        <f aca="false">IF(A89="","",IF(OR(N89="Pending verification",N89=""),"Verification pending",""))</f>
        <v/>
      </c>
      <c r="Y89" s="54" t="str">
        <f aca="false">IF(A89="","",IF(R89="Yes","Scope limitation recorded",""))</f>
        <v/>
      </c>
      <c r="Z89" s="52" t="str">
        <f aca="false">IF(A89="","",IF(AND(ISNUMBER(V89),V89&lt;AsOf,U89&lt;&gt;""),"Follow-up overdue",""))</f>
        <v/>
      </c>
      <c r="AA89" s="54" t="str">
        <f aca="false">IF(A89="","",IF(COUNTIF(EV_ID,A89)&gt;1,"CHECK: duplicate ID",IF(B89="","CHECK: Supplier ID missing",IF(COUNTIF(INV_ID,B89)=0,"CHECK: Supplier ID not in inventory","OK"))))</f>
        <v/>
      </c>
      <c r="AB89" s="52" t="str">
        <f aca="false">IF(OR(A89="",B89=""),"",IF(B89=RptSup,B89&amp;"|"&amp;COUNTIF($B$7:B89,B89),""))</f>
        <v/>
      </c>
    </row>
    <row r="90" customFormat="false" ht="15" hidden="false" customHeight="false" outlineLevel="0" collapsed="false">
      <c r="A90" s="50"/>
      <c r="B90" s="50"/>
      <c r="C90" s="59" t="str">
        <f aca="false">IF(B90="","",IFERROR(INDEX(INV_NAME,MATCH(B90,INV_ID,0)),"CHECK: Supplier ID not found"))</f>
        <v/>
      </c>
      <c r="D90" s="34"/>
      <c r="E90" s="34"/>
      <c r="F90" s="34"/>
      <c r="G90" s="34"/>
      <c r="H90" s="51"/>
      <c r="I90" s="51"/>
      <c r="J90" s="51"/>
      <c r="K90" s="51"/>
      <c r="L90" s="34"/>
      <c r="M90" s="34"/>
      <c r="N90" s="34"/>
      <c r="O90" s="34"/>
      <c r="P90" s="34"/>
      <c r="Q90" s="34"/>
      <c r="R90" s="50"/>
      <c r="S90" s="50"/>
      <c r="T90" s="51"/>
      <c r="U90" s="34"/>
      <c r="V90" s="51"/>
      <c r="W90" s="54" t="str">
        <f aca="false">IF(A90="","",IF(ISNUMBER(I90),IF(I90&lt;AsOf,"Expired",IF(I90&lt;=AsOf+WarnEvidenceDays,"Approaching expiry","Current")),IF(ISNUMBER(K90),IF(K90&lt;AsOf,"Historical period ended "&amp;TEXT(K90,"yyyy-mm-dd")&amp;" - assess relevance; request update","Period current"),"No expiry or period recorded")))</f>
        <v/>
      </c>
      <c r="X90" s="52" t="str">
        <f aca="false">IF(A90="","",IF(OR(N90="Pending verification",N90=""),"Verification pending",""))</f>
        <v/>
      </c>
      <c r="Y90" s="54" t="str">
        <f aca="false">IF(A90="","",IF(R90="Yes","Scope limitation recorded",""))</f>
        <v/>
      </c>
      <c r="Z90" s="52" t="str">
        <f aca="false">IF(A90="","",IF(AND(ISNUMBER(V90),V90&lt;AsOf,U90&lt;&gt;""),"Follow-up overdue",""))</f>
        <v/>
      </c>
      <c r="AA90" s="54" t="str">
        <f aca="false">IF(A90="","",IF(COUNTIF(EV_ID,A90)&gt;1,"CHECK: duplicate ID",IF(B90="","CHECK: Supplier ID missing",IF(COUNTIF(INV_ID,B90)=0,"CHECK: Supplier ID not in inventory","OK"))))</f>
        <v/>
      </c>
      <c r="AB90" s="52" t="str">
        <f aca="false">IF(OR(A90="",B90=""),"",IF(B90=RptSup,B90&amp;"|"&amp;COUNTIF($B$7:B90,B90),""))</f>
        <v/>
      </c>
    </row>
    <row r="91" customFormat="false" ht="15" hidden="false" customHeight="false" outlineLevel="0" collapsed="false">
      <c r="A91" s="50"/>
      <c r="B91" s="50"/>
      <c r="C91" s="59" t="str">
        <f aca="false">IF(B91="","",IFERROR(INDEX(INV_NAME,MATCH(B91,INV_ID,0)),"CHECK: Supplier ID not found"))</f>
        <v/>
      </c>
      <c r="D91" s="34"/>
      <c r="E91" s="34"/>
      <c r="F91" s="34"/>
      <c r="G91" s="34"/>
      <c r="H91" s="51"/>
      <c r="I91" s="51"/>
      <c r="J91" s="51"/>
      <c r="K91" s="51"/>
      <c r="L91" s="34"/>
      <c r="M91" s="34"/>
      <c r="N91" s="34"/>
      <c r="O91" s="34"/>
      <c r="P91" s="34"/>
      <c r="Q91" s="34"/>
      <c r="R91" s="50"/>
      <c r="S91" s="50"/>
      <c r="T91" s="51"/>
      <c r="U91" s="34"/>
      <c r="V91" s="51"/>
      <c r="W91" s="54" t="str">
        <f aca="false">IF(A91="","",IF(ISNUMBER(I91),IF(I91&lt;AsOf,"Expired",IF(I91&lt;=AsOf+WarnEvidenceDays,"Approaching expiry","Current")),IF(ISNUMBER(K91),IF(K91&lt;AsOf,"Historical period ended "&amp;TEXT(K91,"yyyy-mm-dd")&amp;" - assess relevance; request update","Period current"),"No expiry or period recorded")))</f>
        <v/>
      </c>
      <c r="X91" s="52" t="str">
        <f aca="false">IF(A91="","",IF(OR(N91="Pending verification",N91=""),"Verification pending",""))</f>
        <v/>
      </c>
      <c r="Y91" s="54" t="str">
        <f aca="false">IF(A91="","",IF(R91="Yes","Scope limitation recorded",""))</f>
        <v/>
      </c>
      <c r="Z91" s="52" t="str">
        <f aca="false">IF(A91="","",IF(AND(ISNUMBER(V91),V91&lt;AsOf,U91&lt;&gt;""),"Follow-up overdue",""))</f>
        <v/>
      </c>
      <c r="AA91" s="54" t="str">
        <f aca="false">IF(A91="","",IF(COUNTIF(EV_ID,A91)&gt;1,"CHECK: duplicate ID",IF(B91="","CHECK: Supplier ID missing",IF(COUNTIF(INV_ID,B91)=0,"CHECK: Supplier ID not in inventory","OK"))))</f>
        <v/>
      </c>
      <c r="AB91" s="52" t="str">
        <f aca="false">IF(OR(A91="",B91=""),"",IF(B91=RptSup,B91&amp;"|"&amp;COUNTIF($B$7:B91,B91),""))</f>
        <v/>
      </c>
    </row>
    <row r="92" customFormat="false" ht="15" hidden="false" customHeight="false" outlineLevel="0" collapsed="false">
      <c r="A92" s="50"/>
      <c r="B92" s="50"/>
      <c r="C92" s="59" t="str">
        <f aca="false">IF(B92="","",IFERROR(INDEX(INV_NAME,MATCH(B92,INV_ID,0)),"CHECK: Supplier ID not found"))</f>
        <v/>
      </c>
      <c r="D92" s="34"/>
      <c r="E92" s="34"/>
      <c r="F92" s="34"/>
      <c r="G92" s="34"/>
      <c r="H92" s="51"/>
      <c r="I92" s="51"/>
      <c r="J92" s="51"/>
      <c r="K92" s="51"/>
      <c r="L92" s="34"/>
      <c r="M92" s="34"/>
      <c r="N92" s="34"/>
      <c r="O92" s="34"/>
      <c r="P92" s="34"/>
      <c r="Q92" s="34"/>
      <c r="R92" s="50"/>
      <c r="S92" s="50"/>
      <c r="T92" s="51"/>
      <c r="U92" s="34"/>
      <c r="V92" s="51"/>
      <c r="W92" s="54" t="str">
        <f aca="false">IF(A92="","",IF(ISNUMBER(I92),IF(I92&lt;AsOf,"Expired",IF(I92&lt;=AsOf+WarnEvidenceDays,"Approaching expiry","Current")),IF(ISNUMBER(K92),IF(K92&lt;AsOf,"Historical period ended "&amp;TEXT(K92,"yyyy-mm-dd")&amp;" - assess relevance; request update","Period current"),"No expiry or period recorded")))</f>
        <v/>
      </c>
      <c r="X92" s="52" t="str">
        <f aca="false">IF(A92="","",IF(OR(N92="Pending verification",N92=""),"Verification pending",""))</f>
        <v/>
      </c>
      <c r="Y92" s="54" t="str">
        <f aca="false">IF(A92="","",IF(R92="Yes","Scope limitation recorded",""))</f>
        <v/>
      </c>
      <c r="Z92" s="52" t="str">
        <f aca="false">IF(A92="","",IF(AND(ISNUMBER(V92),V92&lt;AsOf,U92&lt;&gt;""),"Follow-up overdue",""))</f>
        <v/>
      </c>
      <c r="AA92" s="54" t="str">
        <f aca="false">IF(A92="","",IF(COUNTIF(EV_ID,A92)&gt;1,"CHECK: duplicate ID",IF(B92="","CHECK: Supplier ID missing",IF(COUNTIF(INV_ID,B92)=0,"CHECK: Supplier ID not in inventory","OK"))))</f>
        <v/>
      </c>
      <c r="AB92" s="52" t="str">
        <f aca="false">IF(OR(A92="",B92=""),"",IF(B92=RptSup,B92&amp;"|"&amp;COUNTIF($B$7:B92,B92),""))</f>
        <v/>
      </c>
    </row>
    <row r="93" customFormat="false" ht="15" hidden="false" customHeight="false" outlineLevel="0" collapsed="false">
      <c r="A93" s="50"/>
      <c r="B93" s="50"/>
      <c r="C93" s="59" t="str">
        <f aca="false">IF(B93="","",IFERROR(INDEX(INV_NAME,MATCH(B93,INV_ID,0)),"CHECK: Supplier ID not found"))</f>
        <v/>
      </c>
      <c r="D93" s="34"/>
      <c r="E93" s="34"/>
      <c r="F93" s="34"/>
      <c r="G93" s="34"/>
      <c r="H93" s="51"/>
      <c r="I93" s="51"/>
      <c r="J93" s="51"/>
      <c r="K93" s="51"/>
      <c r="L93" s="34"/>
      <c r="M93" s="34"/>
      <c r="N93" s="34"/>
      <c r="O93" s="34"/>
      <c r="P93" s="34"/>
      <c r="Q93" s="34"/>
      <c r="R93" s="50"/>
      <c r="S93" s="50"/>
      <c r="T93" s="51"/>
      <c r="U93" s="34"/>
      <c r="V93" s="51"/>
      <c r="W93" s="54" t="str">
        <f aca="false">IF(A93="","",IF(ISNUMBER(I93),IF(I93&lt;AsOf,"Expired",IF(I93&lt;=AsOf+WarnEvidenceDays,"Approaching expiry","Current")),IF(ISNUMBER(K93),IF(K93&lt;AsOf,"Historical period ended "&amp;TEXT(K93,"yyyy-mm-dd")&amp;" - assess relevance; request update","Period current"),"No expiry or period recorded")))</f>
        <v/>
      </c>
      <c r="X93" s="52" t="str">
        <f aca="false">IF(A93="","",IF(OR(N93="Pending verification",N93=""),"Verification pending",""))</f>
        <v/>
      </c>
      <c r="Y93" s="54" t="str">
        <f aca="false">IF(A93="","",IF(R93="Yes","Scope limitation recorded",""))</f>
        <v/>
      </c>
      <c r="Z93" s="52" t="str">
        <f aca="false">IF(A93="","",IF(AND(ISNUMBER(V93),V93&lt;AsOf,U93&lt;&gt;""),"Follow-up overdue",""))</f>
        <v/>
      </c>
      <c r="AA93" s="54" t="str">
        <f aca="false">IF(A93="","",IF(COUNTIF(EV_ID,A93)&gt;1,"CHECK: duplicate ID",IF(B93="","CHECK: Supplier ID missing",IF(COUNTIF(INV_ID,B93)=0,"CHECK: Supplier ID not in inventory","OK"))))</f>
        <v/>
      </c>
      <c r="AB93" s="52" t="str">
        <f aca="false">IF(OR(A93="",B93=""),"",IF(B93=RptSup,B93&amp;"|"&amp;COUNTIF($B$7:B93,B93),""))</f>
        <v/>
      </c>
    </row>
    <row r="94" customFormat="false" ht="15" hidden="false" customHeight="false" outlineLevel="0" collapsed="false">
      <c r="A94" s="50"/>
      <c r="B94" s="50"/>
      <c r="C94" s="59" t="str">
        <f aca="false">IF(B94="","",IFERROR(INDEX(INV_NAME,MATCH(B94,INV_ID,0)),"CHECK: Supplier ID not found"))</f>
        <v/>
      </c>
      <c r="D94" s="34"/>
      <c r="E94" s="34"/>
      <c r="F94" s="34"/>
      <c r="G94" s="34"/>
      <c r="H94" s="51"/>
      <c r="I94" s="51"/>
      <c r="J94" s="51"/>
      <c r="K94" s="51"/>
      <c r="L94" s="34"/>
      <c r="M94" s="34"/>
      <c r="N94" s="34"/>
      <c r="O94" s="34"/>
      <c r="P94" s="34"/>
      <c r="Q94" s="34"/>
      <c r="R94" s="50"/>
      <c r="S94" s="50"/>
      <c r="T94" s="51"/>
      <c r="U94" s="34"/>
      <c r="V94" s="51"/>
      <c r="W94" s="54" t="str">
        <f aca="false">IF(A94="","",IF(ISNUMBER(I94),IF(I94&lt;AsOf,"Expired",IF(I94&lt;=AsOf+WarnEvidenceDays,"Approaching expiry","Current")),IF(ISNUMBER(K94),IF(K94&lt;AsOf,"Historical period ended "&amp;TEXT(K94,"yyyy-mm-dd")&amp;" - assess relevance; request update","Period current"),"No expiry or period recorded")))</f>
        <v/>
      </c>
      <c r="X94" s="52" t="str">
        <f aca="false">IF(A94="","",IF(OR(N94="Pending verification",N94=""),"Verification pending",""))</f>
        <v/>
      </c>
      <c r="Y94" s="54" t="str">
        <f aca="false">IF(A94="","",IF(R94="Yes","Scope limitation recorded",""))</f>
        <v/>
      </c>
      <c r="Z94" s="52" t="str">
        <f aca="false">IF(A94="","",IF(AND(ISNUMBER(V94),V94&lt;AsOf,U94&lt;&gt;""),"Follow-up overdue",""))</f>
        <v/>
      </c>
      <c r="AA94" s="54" t="str">
        <f aca="false">IF(A94="","",IF(COUNTIF(EV_ID,A94)&gt;1,"CHECK: duplicate ID",IF(B94="","CHECK: Supplier ID missing",IF(COUNTIF(INV_ID,B94)=0,"CHECK: Supplier ID not in inventory","OK"))))</f>
        <v/>
      </c>
      <c r="AB94" s="52" t="str">
        <f aca="false">IF(OR(A94="",B94=""),"",IF(B94=RptSup,B94&amp;"|"&amp;COUNTIF($B$7:B94,B94),""))</f>
        <v/>
      </c>
    </row>
    <row r="95" customFormat="false" ht="15" hidden="false" customHeight="false" outlineLevel="0" collapsed="false">
      <c r="A95" s="50"/>
      <c r="B95" s="50"/>
      <c r="C95" s="59" t="str">
        <f aca="false">IF(B95="","",IFERROR(INDEX(INV_NAME,MATCH(B95,INV_ID,0)),"CHECK: Supplier ID not found"))</f>
        <v/>
      </c>
      <c r="D95" s="34"/>
      <c r="E95" s="34"/>
      <c r="F95" s="34"/>
      <c r="G95" s="34"/>
      <c r="H95" s="51"/>
      <c r="I95" s="51"/>
      <c r="J95" s="51"/>
      <c r="K95" s="51"/>
      <c r="L95" s="34"/>
      <c r="M95" s="34"/>
      <c r="N95" s="34"/>
      <c r="O95" s="34"/>
      <c r="P95" s="34"/>
      <c r="Q95" s="34"/>
      <c r="R95" s="50"/>
      <c r="S95" s="50"/>
      <c r="T95" s="51"/>
      <c r="U95" s="34"/>
      <c r="V95" s="51"/>
      <c r="W95" s="54" t="str">
        <f aca="false">IF(A95="","",IF(ISNUMBER(I95),IF(I95&lt;AsOf,"Expired",IF(I95&lt;=AsOf+WarnEvidenceDays,"Approaching expiry","Current")),IF(ISNUMBER(K95),IF(K95&lt;AsOf,"Historical period ended "&amp;TEXT(K95,"yyyy-mm-dd")&amp;" - assess relevance; request update","Period current"),"No expiry or period recorded")))</f>
        <v/>
      </c>
      <c r="X95" s="52" t="str">
        <f aca="false">IF(A95="","",IF(OR(N95="Pending verification",N95=""),"Verification pending",""))</f>
        <v/>
      </c>
      <c r="Y95" s="54" t="str">
        <f aca="false">IF(A95="","",IF(R95="Yes","Scope limitation recorded",""))</f>
        <v/>
      </c>
      <c r="Z95" s="52" t="str">
        <f aca="false">IF(A95="","",IF(AND(ISNUMBER(V95),V95&lt;AsOf,U95&lt;&gt;""),"Follow-up overdue",""))</f>
        <v/>
      </c>
      <c r="AA95" s="54" t="str">
        <f aca="false">IF(A95="","",IF(COUNTIF(EV_ID,A95)&gt;1,"CHECK: duplicate ID",IF(B95="","CHECK: Supplier ID missing",IF(COUNTIF(INV_ID,B95)=0,"CHECK: Supplier ID not in inventory","OK"))))</f>
        <v/>
      </c>
      <c r="AB95" s="52" t="str">
        <f aca="false">IF(OR(A95="",B95=""),"",IF(B95=RptSup,B95&amp;"|"&amp;COUNTIF($B$7:B95,B95),""))</f>
        <v/>
      </c>
    </row>
    <row r="96" customFormat="false" ht="15" hidden="false" customHeight="false" outlineLevel="0" collapsed="false">
      <c r="A96" s="50"/>
      <c r="B96" s="50"/>
      <c r="C96" s="59" t="str">
        <f aca="false">IF(B96="","",IFERROR(INDEX(INV_NAME,MATCH(B96,INV_ID,0)),"CHECK: Supplier ID not found"))</f>
        <v/>
      </c>
      <c r="D96" s="34"/>
      <c r="E96" s="34"/>
      <c r="F96" s="34"/>
      <c r="G96" s="34"/>
      <c r="H96" s="51"/>
      <c r="I96" s="51"/>
      <c r="J96" s="51"/>
      <c r="K96" s="51"/>
      <c r="L96" s="34"/>
      <c r="M96" s="34"/>
      <c r="N96" s="34"/>
      <c r="O96" s="34"/>
      <c r="P96" s="34"/>
      <c r="Q96" s="34"/>
      <c r="R96" s="50"/>
      <c r="S96" s="50"/>
      <c r="T96" s="51"/>
      <c r="U96" s="34"/>
      <c r="V96" s="51"/>
      <c r="W96" s="54" t="str">
        <f aca="false">IF(A96="","",IF(ISNUMBER(I96),IF(I96&lt;AsOf,"Expired",IF(I96&lt;=AsOf+WarnEvidenceDays,"Approaching expiry","Current")),IF(ISNUMBER(K96),IF(K96&lt;AsOf,"Historical period ended "&amp;TEXT(K96,"yyyy-mm-dd")&amp;" - assess relevance; request update","Period current"),"No expiry or period recorded")))</f>
        <v/>
      </c>
      <c r="X96" s="52" t="str">
        <f aca="false">IF(A96="","",IF(OR(N96="Pending verification",N96=""),"Verification pending",""))</f>
        <v/>
      </c>
      <c r="Y96" s="54" t="str">
        <f aca="false">IF(A96="","",IF(R96="Yes","Scope limitation recorded",""))</f>
        <v/>
      </c>
      <c r="Z96" s="52" t="str">
        <f aca="false">IF(A96="","",IF(AND(ISNUMBER(V96),V96&lt;AsOf,U96&lt;&gt;""),"Follow-up overdue",""))</f>
        <v/>
      </c>
      <c r="AA96" s="54" t="str">
        <f aca="false">IF(A96="","",IF(COUNTIF(EV_ID,A96)&gt;1,"CHECK: duplicate ID",IF(B96="","CHECK: Supplier ID missing",IF(COUNTIF(INV_ID,B96)=0,"CHECK: Supplier ID not in inventory","OK"))))</f>
        <v/>
      </c>
      <c r="AB96" s="52" t="str">
        <f aca="false">IF(OR(A96="",B96=""),"",IF(B96=RptSup,B96&amp;"|"&amp;COUNTIF($B$7:B96,B96),""))</f>
        <v/>
      </c>
    </row>
    <row r="97" customFormat="false" ht="15" hidden="false" customHeight="false" outlineLevel="0" collapsed="false">
      <c r="A97" s="50"/>
      <c r="B97" s="50"/>
      <c r="C97" s="59" t="str">
        <f aca="false">IF(B97="","",IFERROR(INDEX(INV_NAME,MATCH(B97,INV_ID,0)),"CHECK: Supplier ID not found"))</f>
        <v/>
      </c>
      <c r="D97" s="34"/>
      <c r="E97" s="34"/>
      <c r="F97" s="34"/>
      <c r="G97" s="34"/>
      <c r="H97" s="51"/>
      <c r="I97" s="51"/>
      <c r="J97" s="51"/>
      <c r="K97" s="51"/>
      <c r="L97" s="34"/>
      <c r="M97" s="34"/>
      <c r="N97" s="34"/>
      <c r="O97" s="34"/>
      <c r="P97" s="34"/>
      <c r="Q97" s="34"/>
      <c r="R97" s="50"/>
      <c r="S97" s="50"/>
      <c r="T97" s="51"/>
      <c r="U97" s="34"/>
      <c r="V97" s="51"/>
      <c r="W97" s="54" t="str">
        <f aca="false">IF(A97="","",IF(ISNUMBER(I97),IF(I97&lt;AsOf,"Expired",IF(I97&lt;=AsOf+WarnEvidenceDays,"Approaching expiry","Current")),IF(ISNUMBER(K97),IF(K97&lt;AsOf,"Historical period ended "&amp;TEXT(K97,"yyyy-mm-dd")&amp;" - assess relevance; request update","Period current"),"No expiry or period recorded")))</f>
        <v/>
      </c>
      <c r="X97" s="52" t="str">
        <f aca="false">IF(A97="","",IF(OR(N97="Pending verification",N97=""),"Verification pending",""))</f>
        <v/>
      </c>
      <c r="Y97" s="54" t="str">
        <f aca="false">IF(A97="","",IF(R97="Yes","Scope limitation recorded",""))</f>
        <v/>
      </c>
      <c r="Z97" s="52" t="str">
        <f aca="false">IF(A97="","",IF(AND(ISNUMBER(V97),V97&lt;AsOf,U97&lt;&gt;""),"Follow-up overdue",""))</f>
        <v/>
      </c>
      <c r="AA97" s="54" t="str">
        <f aca="false">IF(A97="","",IF(COUNTIF(EV_ID,A97)&gt;1,"CHECK: duplicate ID",IF(B97="","CHECK: Supplier ID missing",IF(COUNTIF(INV_ID,B97)=0,"CHECK: Supplier ID not in inventory","OK"))))</f>
        <v/>
      </c>
      <c r="AB97" s="52" t="str">
        <f aca="false">IF(OR(A97="",B97=""),"",IF(B97=RptSup,B97&amp;"|"&amp;COUNTIF($B$7:B97,B97),""))</f>
        <v/>
      </c>
    </row>
    <row r="98" customFormat="false" ht="15" hidden="false" customHeight="false" outlineLevel="0" collapsed="false">
      <c r="A98" s="50"/>
      <c r="B98" s="50"/>
      <c r="C98" s="59" t="str">
        <f aca="false">IF(B98="","",IFERROR(INDEX(INV_NAME,MATCH(B98,INV_ID,0)),"CHECK: Supplier ID not found"))</f>
        <v/>
      </c>
      <c r="D98" s="34"/>
      <c r="E98" s="34"/>
      <c r="F98" s="34"/>
      <c r="G98" s="34"/>
      <c r="H98" s="51"/>
      <c r="I98" s="51"/>
      <c r="J98" s="51"/>
      <c r="K98" s="51"/>
      <c r="L98" s="34"/>
      <c r="M98" s="34"/>
      <c r="N98" s="34"/>
      <c r="O98" s="34"/>
      <c r="P98" s="34"/>
      <c r="Q98" s="34"/>
      <c r="R98" s="50"/>
      <c r="S98" s="50"/>
      <c r="T98" s="51"/>
      <c r="U98" s="34"/>
      <c r="V98" s="51"/>
      <c r="W98" s="54" t="str">
        <f aca="false">IF(A98="","",IF(ISNUMBER(I98),IF(I98&lt;AsOf,"Expired",IF(I98&lt;=AsOf+WarnEvidenceDays,"Approaching expiry","Current")),IF(ISNUMBER(K98),IF(K98&lt;AsOf,"Historical period ended "&amp;TEXT(K98,"yyyy-mm-dd")&amp;" - assess relevance; request update","Period current"),"No expiry or period recorded")))</f>
        <v/>
      </c>
      <c r="X98" s="52" t="str">
        <f aca="false">IF(A98="","",IF(OR(N98="Pending verification",N98=""),"Verification pending",""))</f>
        <v/>
      </c>
      <c r="Y98" s="54" t="str">
        <f aca="false">IF(A98="","",IF(R98="Yes","Scope limitation recorded",""))</f>
        <v/>
      </c>
      <c r="Z98" s="52" t="str">
        <f aca="false">IF(A98="","",IF(AND(ISNUMBER(V98),V98&lt;AsOf,U98&lt;&gt;""),"Follow-up overdue",""))</f>
        <v/>
      </c>
      <c r="AA98" s="54" t="str">
        <f aca="false">IF(A98="","",IF(COUNTIF(EV_ID,A98)&gt;1,"CHECK: duplicate ID",IF(B98="","CHECK: Supplier ID missing",IF(COUNTIF(INV_ID,B98)=0,"CHECK: Supplier ID not in inventory","OK"))))</f>
        <v/>
      </c>
      <c r="AB98" s="52" t="str">
        <f aca="false">IF(OR(A98="",B98=""),"",IF(B98=RptSup,B98&amp;"|"&amp;COUNTIF($B$7:B98,B98),""))</f>
        <v/>
      </c>
    </row>
    <row r="99" customFormat="false" ht="15" hidden="false" customHeight="false" outlineLevel="0" collapsed="false">
      <c r="A99" s="50"/>
      <c r="B99" s="50"/>
      <c r="C99" s="59" t="str">
        <f aca="false">IF(B99="","",IFERROR(INDEX(INV_NAME,MATCH(B99,INV_ID,0)),"CHECK: Supplier ID not found"))</f>
        <v/>
      </c>
      <c r="D99" s="34"/>
      <c r="E99" s="34"/>
      <c r="F99" s="34"/>
      <c r="G99" s="34"/>
      <c r="H99" s="51"/>
      <c r="I99" s="51"/>
      <c r="J99" s="51"/>
      <c r="K99" s="51"/>
      <c r="L99" s="34"/>
      <c r="M99" s="34"/>
      <c r="N99" s="34"/>
      <c r="O99" s="34"/>
      <c r="P99" s="34"/>
      <c r="Q99" s="34"/>
      <c r="R99" s="50"/>
      <c r="S99" s="50"/>
      <c r="T99" s="51"/>
      <c r="U99" s="34"/>
      <c r="V99" s="51"/>
      <c r="W99" s="54" t="str">
        <f aca="false">IF(A99="","",IF(ISNUMBER(I99),IF(I99&lt;AsOf,"Expired",IF(I99&lt;=AsOf+WarnEvidenceDays,"Approaching expiry","Current")),IF(ISNUMBER(K99),IF(K99&lt;AsOf,"Historical period ended "&amp;TEXT(K99,"yyyy-mm-dd")&amp;" - assess relevance; request update","Period current"),"No expiry or period recorded")))</f>
        <v/>
      </c>
      <c r="X99" s="52" t="str">
        <f aca="false">IF(A99="","",IF(OR(N99="Pending verification",N99=""),"Verification pending",""))</f>
        <v/>
      </c>
      <c r="Y99" s="54" t="str">
        <f aca="false">IF(A99="","",IF(R99="Yes","Scope limitation recorded",""))</f>
        <v/>
      </c>
      <c r="Z99" s="52" t="str">
        <f aca="false">IF(A99="","",IF(AND(ISNUMBER(V99),V99&lt;AsOf,U99&lt;&gt;""),"Follow-up overdue",""))</f>
        <v/>
      </c>
      <c r="AA99" s="54" t="str">
        <f aca="false">IF(A99="","",IF(COUNTIF(EV_ID,A99)&gt;1,"CHECK: duplicate ID",IF(B99="","CHECK: Supplier ID missing",IF(COUNTIF(INV_ID,B99)=0,"CHECK: Supplier ID not in inventory","OK"))))</f>
        <v/>
      </c>
      <c r="AB99" s="52" t="str">
        <f aca="false">IF(OR(A99="",B99=""),"",IF(B99=RptSup,B99&amp;"|"&amp;COUNTIF($B$7:B99,B99),""))</f>
        <v/>
      </c>
    </row>
    <row r="100" customFormat="false" ht="15" hidden="false" customHeight="false" outlineLevel="0" collapsed="false">
      <c r="A100" s="50"/>
      <c r="B100" s="50"/>
      <c r="C100" s="59" t="str">
        <f aca="false">IF(B100="","",IFERROR(INDEX(INV_NAME,MATCH(B100,INV_ID,0)),"CHECK: Supplier ID not found"))</f>
        <v/>
      </c>
      <c r="D100" s="34"/>
      <c r="E100" s="34"/>
      <c r="F100" s="34"/>
      <c r="G100" s="34"/>
      <c r="H100" s="51"/>
      <c r="I100" s="51"/>
      <c r="J100" s="51"/>
      <c r="K100" s="51"/>
      <c r="L100" s="34"/>
      <c r="M100" s="34"/>
      <c r="N100" s="34"/>
      <c r="O100" s="34"/>
      <c r="P100" s="34"/>
      <c r="Q100" s="34"/>
      <c r="R100" s="50"/>
      <c r="S100" s="50"/>
      <c r="T100" s="51"/>
      <c r="U100" s="34"/>
      <c r="V100" s="51"/>
      <c r="W100" s="54" t="str">
        <f aca="false">IF(A100="","",IF(ISNUMBER(I100),IF(I100&lt;AsOf,"Expired",IF(I100&lt;=AsOf+WarnEvidenceDays,"Approaching expiry","Current")),IF(ISNUMBER(K100),IF(K100&lt;AsOf,"Historical period ended "&amp;TEXT(K100,"yyyy-mm-dd")&amp;" - assess relevance; request update","Period current"),"No expiry or period recorded")))</f>
        <v/>
      </c>
      <c r="X100" s="52" t="str">
        <f aca="false">IF(A100="","",IF(OR(N100="Pending verification",N100=""),"Verification pending",""))</f>
        <v/>
      </c>
      <c r="Y100" s="54" t="str">
        <f aca="false">IF(A100="","",IF(R100="Yes","Scope limitation recorded",""))</f>
        <v/>
      </c>
      <c r="Z100" s="52" t="str">
        <f aca="false">IF(A100="","",IF(AND(ISNUMBER(V100),V100&lt;AsOf,U100&lt;&gt;""),"Follow-up overdue",""))</f>
        <v/>
      </c>
      <c r="AA100" s="54" t="str">
        <f aca="false">IF(A100="","",IF(COUNTIF(EV_ID,A100)&gt;1,"CHECK: duplicate ID",IF(B100="","CHECK: Supplier ID missing",IF(COUNTIF(INV_ID,B100)=0,"CHECK: Supplier ID not in inventory","OK"))))</f>
        <v/>
      </c>
      <c r="AB100" s="52" t="str">
        <f aca="false">IF(OR(A100="",B100=""),"",IF(B100=RptSup,B100&amp;"|"&amp;COUNTIF($B$7:B100,B100),""))</f>
        <v/>
      </c>
    </row>
    <row r="101" customFormat="false" ht="15" hidden="false" customHeight="false" outlineLevel="0" collapsed="false">
      <c r="A101" s="50"/>
      <c r="B101" s="50"/>
      <c r="C101" s="59" t="str">
        <f aca="false">IF(B101="","",IFERROR(INDEX(INV_NAME,MATCH(B101,INV_ID,0)),"CHECK: Supplier ID not found"))</f>
        <v/>
      </c>
      <c r="D101" s="34"/>
      <c r="E101" s="34"/>
      <c r="F101" s="34"/>
      <c r="G101" s="34"/>
      <c r="H101" s="51"/>
      <c r="I101" s="51"/>
      <c r="J101" s="51"/>
      <c r="K101" s="51"/>
      <c r="L101" s="34"/>
      <c r="M101" s="34"/>
      <c r="N101" s="34"/>
      <c r="O101" s="34"/>
      <c r="P101" s="34"/>
      <c r="Q101" s="34"/>
      <c r="R101" s="50"/>
      <c r="S101" s="50"/>
      <c r="T101" s="51"/>
      <c r="U101" s="34"/>
      <c r="V101" s="51"/>
      <c r="W101" s="54" t="str">
        <f aca="false">IF(A101="","",IF(ISNUMBER(I101),IF(I101&lt;AsOf,"Expired",IF(I101&lt;=AsOf+WarnEvidenceDays,"Approaching expiry","Current")),IF(ISNUMBER(K101),IF(K101&lt;AsOf,"Historical period ended "&amp;TEXT(K101,"yyyy-mm-dd")&amp;" - assess relevance; request update","Period current"),"No expiry or period recorded")))</f>
        <v/>
      </c>
      <c r="X101" s="52" t="str">
        <f aca="false">IF(A101="","",IF(OR(N101="Pending verification",N101=""),"Verification pending",""))</f>
        <v/>
      </c>
      <c r="Y101" s="54" t="str">
        <f aca="false">IF(A101="","",IF(R101="Yes","Scope limitation recorded",""))</f>
        <v/>
      </c>
      <c r="Z101" s="52" t="str">
        <f aca="false">IF(A101="","",IF(AND(ISNUMBER(V101),V101&lt;AsOf,U101&lt;&gt;""),"Follow-up overdue",""))</f>
        <v/>
      </c>
      <c r="AA101" s="54" t="str">
        <f aca="false">IF(A101="","",IF(COUNTIF(EV_ID,A101)&gt;1,"CHECK: duplicate ID",IF(B101="","CHECK: Supplier ID missing",IF(COUNTIF(INV_ID,B101)=0,"CHECK: Supplier ID not in inventory","OK"))))</f>
        <v/>
      </c>
      <c r="AB101" s="52" t="str">
        <f aca="false">IF(OR(A101="",B101=""),"",IF(B101=RptSup,B101&amp;"|"&amp;COUNTIF($B$7:B101,B101),""))</f>
        <v/>
      </c>
    </row>
    <row r="102" customFormat="false" ht="15" hidden="false" customHeight="false" outlineLevel="0" collapsed="false">
      <c r="A102" s="50"/>
      <c r="B102" s="50"/>
      <c r="C102" s="59" t="str">
        <f aca="false">IF(B102="","",IFERROR(INDEX(INV_NAME,MATCH(B102,INV_ID,0)),"CHECK: Supplier ID not found"))</f>
        <v/>
      </c>
      <c r="D102" s="34"/>
      <c r="E102" s="34"/>
      <c r="F102" s="34"/>
      <c r="G102" s="34"/>
      <c r="H102" s="51"/>
      <c r="I102" s="51"/>
      <c r="J102" s="51"/>
      <c r="K102" s="51"/>
      <c r="L102" s="34"/>
      <c r="M102" s="34"/>
      <c r="N102" s="34"/>
      <c r="O102" s="34"/>
      <c r="P102" s="34"/>
      <c r="Q102" s="34"/>
      <c r="R102" s="50"/>
      <c r="S102" s="50"/>
      <c r="T102" s="51"/>
      <c r="U102" s="34"/>
      <c r="V102" s="51"/>
      <c r="W102" s="54" t="str">
        <f aca="false">IF(A102="","",IF(ISNUMBER(I102),IF(I102&lt;AsOf,"Expired",IF(I102&lt;=AsOf+WarnEvidenceDays,"Approaching expiry","Current")),IF(ISNUMBER(K102),IF(K102&lt;AsOf,"Historical period ended "&amp;TEXT(K102,"yyyy-mm-dd")&amp;" - assess relevance; request update","Period current"),"No expiry or period recorded")))</f>
        <v/>
      </c>
      <c r="X102" s="52" t="str">
        <f aca="false">IF(A102="","",IF(OR(N102="Pending verification",N102=""),"Verification pending",""))</f>
        <v/>
      </c>
      <c r="Y102" s="54" t="str">
        <f aca="false">IF(A102="","",IF(R102="Yes","Scope limitation recorded",""))</f>
        <v/>
      </c>
      <c r="Z102" s="52" t="str">
        <f aca="false">IF(A102="","",IF(AND(ISNUMBER(V102),V102&lt;AsOf,U102&lt;&gt;""),"Follow-up overdue",""))</f>
        <v/>
      </c>
      <c r="AA102" s="54" t="str">
        <f aca="false">IF(A102="","",IF(COUNTIF(EV_ID,A102)&gt;1,"CHECK: duplicate ID",IF(B102="","CHECK: Supplier ID missing",IF(COUNTIF(INV_ID,B102)=0,"CHECK: Supplier ID not in inventory","OK"))))</f>
        <v/>
      </c>
      <c r="AB102" s="52" t="str">
        <f aca="false">IF(OR(A102="",B102=""),"",IF(B102=RptSup,B102&amp;"|"&amp;COUNTIF($B$7:B102,B102),""))</f>
        <v/>
      </c>
    </row>
    <row r="103" customFormat="false" ht="15" hidden="false" customHeight="false" outlineLevel="0" collapsed="false">
      <c r="A103" s="50"/>
      <c r="B103" s="50"/>
      <c r="C103" s="59" t="str">
        <f aca="false">IF(B103="","",IFERROR(INDEX(INV_NAME,MATCH(B103,INV_ID,0)),"CHECK: Supplier ID not found"))</f>
        <v/>
      </c>
      <c r="D103" s="34"/>
      <c r="E103" s="34"/>
      <c r="F103" s="34"/>
      <c r="G103" s="34"/>
      <c r="H103" s="51"/>
      <c r="I103" s="51"/>
      <c r="J103" s="51"/>
      <c r="K103" s="51"/>
      <c r="L103" s="34"/>
      <c r="M103" s="34"/>
      <c r="N103" s="34"/>
      <c r="O103" s="34"/>
      <c r="P103" s="34"/>
      <c r="Q103" s="34"/>
      <c r="R103" s="50"/>
      <c r="S103" s="50"/>
      <c r="T103" s="51"/>
      <c r="U103" s="34"/>
      <c r="V103" s="51"/>
      <c r="W103" s="54" t="str">
        <f aca="false">IF(A103="","",IF(ISNUMBER(I103),IF(I103&lt;AsOf,"Expired",IF(I103&lt;=AsOf+WarnEvidenceDays,"Approaching expiry","Current")),IF(ISNUMBER(K103),IF(K103&lt;AsOf,"Historical period ended "&amp;TEXT(K103,"yyyy-mm-dd")&amp;" - assess relevance; request update","Period current"),"No expiry or period recorded")))</f>
        <v/>
      </c>
      <c r="X103" s="52" t="str">
        <f aca="false">IF(A103="","",IF(OR(N103="Pending verification",N103=""),"Verification pending",""))</f>
        <v/>
      </c>
      <c r="Y103" s="54" t="str">
        <f aca="false">IF(A103="","",IF(R103="Yes","Scope limitation recorded",""))</f>
        <v/>
      </c>
      <c r="Z103" s="52" t="str">
        <f aca="false">IF(A103="","",IF(AND(ISNUMBER(V103),V103&lt;AsOf,U103&lt;&gt;""),"Follow-up overdue",""))</f>
        <v/>
      </c>
      <c r="AA103" s="54" t="str">
        <f aca="false">IF(A103="","",IF(COUNTIF(EV_ID,A103)&gt;1,"CHECK: duplicate ID",IF(B103="","CHECK: Supplier ID missing",IF(COUNTIF(INV_ID,B103)=0,"CHECK: Supplier ID not in inventory","OK"))))</f>
        <v/>
      </c>
      <c r="AB103" s="52" t="str">
        <f aca="false">IF(OR(A103="",B103=""),"",IF(B103=RptSup,B103&amp;"|"&amp;COUNTIF($B$7:B103,B103),""))</f>
        <v/>
      </c>
    </row>
    <row r="104" customFormat="false" ht="15" hidden="false" customHeight="false" outlineLevel="0" collapsed="false">
      <c r="A104" s="50"/>
      <c r="B104" s="50"/>
      <c r="C104" s="59" t="str">
        <f aca="false">IF(B104="","",IFERROR(INDEX(INV_NAME,MATCH(B104,INV_ID,0)),"CHECK: Supplier ID not found"))</f>
        <v/>
      </c>
      <c r="D104" s="34"/>
      <c r="E104" s="34"/>
      <c r="F104" s="34"/>
      <c r="G104" s="34"/>
      <c r="H104" s="51"/>
      <c r="I104" s="51"/>
      <c r="J104" s="51"/>
      <c r="K104" s="51"/>
      <c r="L104" s="34"/>
      <c r="M104" s="34"/>
      <c r="N104" s="34"/>
      <c r="O104" s="34"/>
      <c r="P104" s="34"/>
      <c r="Q104" s="34"/>
      <c r="R104" s="50"/>
      <c r="S104" s="50"/>
      <c r="T104" s="51"/>
      <c r="U104" s="34"/>
      <c r="V104" s="51"/>
      <c r="W104" s="54" t="str">
        <f aca="false">IF(A104="","",IF(ISNUMBER(I104),IF(I104&lt;AsOf,"Expired",IF(I104&lt;=AsOf+WarnEvidenceDays,"Approaching expiry","Current")),IF(ISNUMBER(K104),IF(K104&lt;AsOf,"Historical period ended "&amp;TEXT(K104,"yyyy-mm-dd")&amp;" - assess relevance; request update","Period current"),"No expiry or period recorded")))</f>
        <v/>
      </c>
      <c r="X104" s="52" t="str">
        <f aca="false">IF(A104="","",IF(OR(N104="Pending verification",N104=""),"Verification pending",""))</f>
        <v/>
      </c>
      <c r="Y104" s="54" t="str">
        <f aca="false">IF(A104="","",IF(R104="Yes","Scope limitation recorded",""))</f>
        <v/>
      </c>
      <c r="Z104" s="52" t="str">
        <f aca="false">IF(A104="","",IF(AND(ISNUMBER(V104),V104&lt;AsOf,U104&lt;&gt;""),"Follow-up overdue",""))</f>
        <v/>
      </c>
      <c r="AA104" s="54" t="str">
        <f aca="false">IF(A104="","",IF(COUNTIF(EV_ID,A104)&gt;1,"CHECK: duplicate ID",IF(B104="","CHECK: Supplier ID missing",IF(COUNTIF(INV_ID,B104)=0,"CHECK: Supplier ID not in inventory","OK"))))</f>
        <v/>
      </c>
      <c r="AB104" s="52" t="str">
        <f aca="false">IF(OR(A104="",B104=""),"",IF(B104=RptSup,B104&amp;"|"&amp;COUNTIF($B$7:B104,B104),""))</f>
        <v/>
      </c>
    </row>
    <row r="105" customFormat="false" ht="15" hidden="false" customHeight="false" outlineLevel="0" collapsed="false">
      <c r="A105" s="50"/>
      <c r="B105" s="50"/>
      <c r="C105" s="59" t="str">
        <f aca="false">IF(B105="","",IFERROR(INDEX(INV_NAME,MATCH(B105,INV_ID,0)),"CHECK: Supplier ID not found"))</f>
        <v/>
      </c>
      <c r="D105" s="34"/>
      <c r="E105" s="34"/>
      <c r="F105" s="34"/>
      <c r="G105" s="34"/>
      <c r="H105" s="51"/>
      <c r="I105" s="51"/>
      <c r="J105" s="51"/>
      <c r="K105" s="51"/>
      <c r="L105" s="34"/>
      <c r="M105" s="34"/>
      <c r="N105" s="34"/>
      <c r="O105" s="34"/>
      <c r="P105" s="34"/>
      <c r="Q105" s="34"/>
      <c r="R105" s="50"/>
      <c r="S105" s="50"/>
      <c r="T105" s="51"/>
      <c r="U105" s="34"/>
      <c r="V105" s="51"/>
      <c r="W105" s="54" t="str">
        <f aca="false">IF(A105="","",IF(ISNUMBER(I105),IF(I105&lt;AsOf,"Expired",IF(I105&lt;=AsOf+WarnEvidenceDays,"Approaching expiry","Current")),IF(ISNUMBER(K105),IF(K105&lt;AsOf,"Historical period ended "&amp;TEXT(K105,"yyyy-mm-dd")&amp;" - assess relevance; request update","Period current"),"No expiry or period recorded")))</f>
        <v/>
      </c>
      <c r="X105" s="52" t="str">
        <f aca="false">IF(A105="","",IF(OR(N105="Pending verification",N105=""),"Verification pending",""))</f>
        <v/>
      </c>
      <c r="Y105" s="54" t="str">
        <f aca="false">IF(A105="","",IF(R105="Yes","Scope limitation recorded",""))</f>
        <v/>
      </c>
      <c r="Z105" s="52" t="str">
        <f aca="false">IF(A105="","",IF(AND(ISNUMBER(V105),V105&lt;AsOf,U105&lt;&gt;""),"Follow-up overdue",""))</f>
        <v/>
      </c>
      <c r="AA105" s="54" t="str">
        <f aca="false">IF(A105="","",IF(COUNTIF(EV_ID,A105)&gt;1,"CHECK: duplicate ID",IF(B105="","CHECK: Supplier ID missing",IF(COUNTIF(INV_ID,B105)=0,"CHECK: Supplier ID not in inventory","OK"))))</f>
        <v/>
      </c>
      <c r="AB105" s="52" t="str">
        <f aca="false">IF(OR(A105="",B105=""),"",IF(B105=RptSup,B105&amp;"|"&amp;COUNTIF($B$7:B105,B105),""))</f>
        <v/>
      </c>
    </row>
    <row r="106" customFormat="false" ht="15" hidden="false" customHeight="false" outlineLevel="0" collapsed="false">
      <c r="A106" s="50"/>
      <c r="B106" s="50"/>
      <c r="C106" s="59" t="str">
        <f aca="false">IF(B106="","",IFERROR(INDEX(INV_NAME,MATCH(B106,INV_ID,0)),"CHECK: Supplier ID not found"))</f>
        <v/>
      </c>
      <c r="D106" s="34"/>
      <c r="E106" s="34"/>
      <c r="F106" s="34"/>
      <c r="G106" s="34"/>
      <c r="H106" s="51"/>
      <c r="I106" s="51"/>
      <c r="J106" s="51"/>
      <c r="K106" s="51"/>
      <c r="L106" s="34"/>
      <c r="M106" s="34"/>
      <c r="N106" s="34"/>
      <c r="O106" s="34"/>
      <c r="P106" s="34"/>
      <c r="Q106" s="34"/>
      <c r="R106" s="50"/>
      <c r="S106" s="50"/>
      <c r="T106" s="51"/>
      <c r="U106" s="34"/>
      <c r="V106" s="51"/>
      <c r="W106" s="54" t="str">
        <f aca="false">IF(A106="","",IF(ISNUMBER(I106),IF(I106&lt;AsOf,"Expired",IF(I106&lt;=AsOf+WarnEvidenceDays,"Approaching expiry","Current")),IF(ISNUMBER(K106),IF(K106&lt;AsOf,"Historical period ended "&amp;TEXT(K106,"yyyy-mm-dd")&amp;" - assess relevance; request update","Period current"),"No expiry or period recorded")))</f>
        <v/>
      </c>
      <c r="X106" s="52" t="str">
        <f aca="false">IF(A106="","",IF(OR(N106="Pending verification",N106=""),"Verification pending",""))</f>
        <v/>
      </c>
      <c r="Y106" s="54" t="str">
        <f aca="false">IF(A106="","",IF(R106="Yes","Scope limitation recorded",""))</f>
        <v/>
      </c>
      <c r="Z106" s="52" t="str">
        <f aca="false">IF(A106="","",IF(AND(ISNUMBER(V106),V106&lt;AsOf,U106&lt;&gt;""),"Follow-up overdue",""))</f>
        <v/>
      </c>
      <c r="AA106" s="54" t="str">
        <f aca="false">IF(A106="","",IF(COUNTIF(EV_ID,A106)&gt;1,"CHECK: duplicate ID",IF(B106="","CHECK: Supplier ID missing",IF(COUNTIF(INV_ID,B106)=0,"CHECK: Supplier ID not in inventory","OK"))))</f>
        <v/>
      </c>
      <c r="AB106" s="52" t="str">
        <f aca="false">IF(OR(A106="",B106=""),"",IF(B106=RptSup,B106&amp;"|"&amp;COUNTIF($B$7:B106,B106),""))</f>
        <v/>
      </c>
    </row>
    <row r="107" customFormat="false" ht="15" hidden="false" customHeight="false" outlineLevel="0" collapsed="false">
      <c r="A107" s="50"/>
      <c r="B107" s="50"/>
      <c r="C107" s="59" t="str">
        <f aca="false">IF(B107="","",IFERROR(INDEX(INV_NAME,MATCH(B107,INV_ID,0)),"CHECK: Supplier ID not found"))</f>
        <v/>
      </c>
      <c r="D107" s="34"/>
      <c r="E107" s="34"/>
      <c r="F107" s="34"/>
      <c r="G107" s="34"/>
      <c r="H107" s="51"/>
      <c r="I107" s="51"/>
      <c r="J107" s="51"/>
      <c r="K107" s="51"/>
      <c r="L107" s="34"/>
      <c r="M107" s="34"/>
      <c r="N107" s="34"/>
      <c r="O107" s="34"/>
      <c r="P107" s="34"/>
      <c r="Q107" s="34"/>
      <c r="R107" s="50"/>
      <c r="S107" s="50"/>
      <c r="T107" s="51"/>
      <c r="U107" s="34"/>
      <c r="V107" s="51"/>
      <c r="W107" s="54" t="str">
        <f aca="false">IF(A107="","",IF(ISNUMBER(I107),IF(I107&lt;AsOf,"Expired",IF(I107&lt;=AsOf+WarnEvidenceDays,"Approaching expiry","Current")),IF(ISNUMBER(K107),IF(K107&lt;AsOf,"Historical period ended "&amp;TEXT(K107,"yyyy-mm-dd")&amp;" - assess relevance; request update","Period current"),"No expiry or period recorded")))</f>
        <v/>
      </c>
      <c r="X107" s="52" t="str">
        <f aca="false">IF(A107="","",IF(OR(N107="Pending verification",N107=""),"Verification pending",""))</f>
        <v/>
      </c>
      <c r="Y107" s="54" t="str">
        <f aca="false">IF(A107="","",IF(R107="Yes","Scope limitation recorded",""))</f>
        <v/>
      </c>
      <c r="Z107" s="52" t="str">
        <f aca="false">IF(A107="","",IF(AND(ISNUMBER(V107),V107&lt;AsOf,U107&lt;&gt;""),"Follow-up overdue",""))</f>
        <v/>
      </c>
      <c r="AA107" s="54" t="str">
        <f aca="false">IF(A107="","",IF(COUNTIF(EV_ID,A107)&gt;1,"CHECK: duplicate ID",IF(B107="","CHECK: Supplier ID missing",IF(COUNTIF(INV_ID,B107)=0,"CHECK: Supplier ID not in inventory","OK"))))</f>
        <v/>
      </c>
      <c r="AB107" s="52" t="str">
        <f aca="false">IF(OR(A107="",B107=""),"",IF(B107=RptSup,B107&amp;"|"&amp;COUNTIF($B$7:B107,B107),""))</f>
        <v/>
      </c>
    </row>
    <row r="108" customFormat="false" ht="15" hidden="false" customHeight="false" outlineLevel="0" collapsed="false">
      <c r="A108" s="50"/>
      <c r="B108" s="50"/>
      <c r="C108" s="59" t="str">
        <f aca="false">IF(B108="","",IFERROR(INDEX(INV_NAME,MATCH(B108,INV_ID,0)),"CHECK: Supplier ID not found"))</f>
        <v/>
      </c>
      <c r="D108" s="34"/>
      <c r="E108" s="34"/>
      <c r="F108" s="34"/>
      <c r="G108" s="34"/>
      <c r="H108" s="51"/>
      <c r="I108" s="51"/>
      <c r="J108" s="51"/>
      <c r="K108" s="51"/>
      <c r="L108" s="34"/>
      <c r="M108" s="34"/>
      <c r="N108" s="34"/>
      <c r="O108" s="34"/>
      <c r="P108" s="34"/>
      <c r="Q108" s="34"/>
      <c r="R108" s="50"/>
      <c r="S108" s="50"/>
      <c r="T108" s="51"/>
      <c r="U108" s="34"/>
      <c r="V108" s="51"/>
      <c r="W108" s="54" t="str">
        <f aca="false">IF(A108="","",IF(ISNUMBER(I108),IF(I108&lt;AsOf,"Expired",IF(I108&lt;=AsOf+WarnEvidenceDays,"Approaching expiry","Current")),IF(ISNUMBER(K108),IF(K108&lt;AsOf,"Historical period ended "&amp;TEXT(K108,"yyyy-mm-dd")&amp;" - assess relevance; request update","Period current"),"No expiry or period recorded")))</f>
        <v/>
      </c>
      <c r="X108" s="52" t="str">
        <f aca="false">IF(A108="","",IF(OR(N108="Pending verification",N108=""),"Verification pending",""))</f>
        <v/>
      </c>
      <c r="Y108" s="54" t="str">
        <f aca="false">IF(A108="","",IF(R108="Yes","Scope limitation recorded",""))</f>
        <v/>
      </c>
      <c r="Z108" s="52" t="str">
        <f aca="false">IF(A108="","",IF(AND(ISNUMBER(V108),V108&lt;AsOf,U108&lt;&gt;""),"Follow-up overdue",""))</f>
        <v/>
      </c>
      <c r="AA108" s="54" t="str">
        <f aca="false">IF(A108="","",IF(COUNTIF(EV_ID,A108)&gt;1,"CHECK: duplicate ID",IF(B108="","CHECK: Supplier ID missing",IF(COUNTIF(INV_ID,B108)=0,"CHECK: Supplier ID not in inventory","OK"))))</f>
        <v/>
      </c>
      <c r="AB108" s="52" t="str">
        <f aca="false">IF(OR(A108="",B108=""),"",IF(B108=RptSup,B108&amp;"|"&amp;COUNTIF($B$7:B108,B108),""))</f>
        <v/>
      </c>
    </row>
    <row r="109" customFormat="false" ht="15" hidden="false" customHeight="false" outlineLevel="0" collapsed="false">
      <c r="A109" s="50"/>
      <c r="B109" s="50"/>
      <c r="C109" s="59" t="str">
        <f aca="false">IF(B109="","",IFERROR(INDEX(INV_NAME,MATCH(B109,INV_ID,0)),"CHECK: Supplier ID not found"))</f>
        <v/>
      </c>
      <c r="D109" s="34"/>
      <c r="E109" s="34"/>
      <c r="F109" s="34"/>
      <c r="G109" s="34"/>
      <c r="H109" s="51"/>
      <c r="I109" s="51"/>
      <c r="J109" s="51"/>
      <c r="K109" s="51"/>
      <c r="L109" s="34"/>
      <c r="M109" s="34"/>
      <c r="N109" s="34"/>
      <c r="O109" s="34"/>
      <c r="P109" s="34"/>
      <c r="Q109" s="34"/>
      <c r="R109" s="50"/>
      <c r="S109" s="50"/>
      <c r="T109" s="51"/>
      <c r="U109" s="34"/>
      <c r="V109" s="51"/>
      <c r="W109" s="54" t="str">
        <f aca="false">IF(A109="","",IF(ISNUMBER(I109),IF(I109&lt;AsOf,"Expired",IF(I109&lt;=AsOf+WarnEvidenceDays,"Approaching expiry","Current")),IF(ISNUMBER(K109),IF(K109&lt;AsOf,"Historical period ended "&amp;TEXT(K109,"yyyy-mm-dd")&amp;" - assess relevance; request update","Period current"),"No expiry or period recorded")))</f>
        <v/>
      </c>
      <c r="X109" s="52" t="str">
        <f aca="false">IF(A109="","",IF(OR(N109="Pending verification",N109=""),"Verification pending",""))</f>
        <v/>
      </c>
      <c r="Y109" s="54" t="str">
        <f aca="false">IF(A109="","",IF(R109="Yes","Scope limitation recorded",""))</f>
        <v/>
      </c>
      <c r="Z109" s="52" t="str">
        <f aca="false">IF(A109="","",IF(AND(ISNUMBER(V109),V109&lt;AsOf,U109&lt;&gt;""),"Follow-up overdue",""))</f>
        <v/>
      </c>
      <c r="AA109" s="54" t="str">
        <f aca="false">IF(A109="","",IF(COUNTIF(EV_ID,A109)&gt;1,"CHECK: duplicate ID",IF(B109="","CHECK: Supplier ID missing",IF(COUNTIF(INV_ID,B109)=0,"CHECK: Supplier ID not in inventory","OK"))))</f>
        <v/>
      </c>
      <c r="AB109" s="52" t="str">
        <f aca="false">IF(OR(A109="",B109=""),"",IF(B109=RptSup,B109&amp;"|"&amp;COUNTIF($B$7:B109,B109),""))</f>
        <v/>
      </c>
    </row>
    <row r="110" customFormat="false" ht="15" hidden="false" customHeight="false" outlineLevel="0" collapsed="false">
      <c r="A110" s="50"/>
      <c r="B110" s="50"/>
      <c r="C110" s="59" t="str">
        <f aca="false">IF(B110="","",IFERROR(INDEX(INV_NAME,MATCH(B110,INV_ID,0)),"CHECK: Supplier ID not found"))</f>
        <v/>
      </c>
      <c r="D110" s="34"/>
      <c r="E110" s="34"/>
      <c r="F110" s="34"/>
      <c r="G110" s="34"/>
      <c r="H110" s="51"/>
      <c r="I110" s="51"/>
      <c r="J110" s="51"/>
      <c r="K110" s="51"/>
      <c r="L110" s="34"/>
      <c r="M110" s="34"/>
      <c r="N110" s="34"/>
      <c r="O110" s="34"/>
      <c r="P110" s="34"/>
      <c r="Q110" s="34"/>
      <c r="R110" s="50"/>
      <c r="S110" s="50"/>
      <c r="T110" s="51"/>
      <c r="U110" s="34"/>
      <c r="V110" s="51"/>
      <c r="W110" s="54" t="str">
        <f aca="false">IF(A110="","",IF(ISNUMBER(I110),IF(I110&lt;AsOf,"Expired",IF(I110&lt;=AsOf+WarnEvidenceDays,"Approaching expiry","Current")),IF(ISNUMBER(K110),IF(K110&lt;AsOf,"Historical period ended "&amp;TEXT(K110,"yyyy-mm-dd")&amp;" - assess relevance; request update","Period current"),"No expiry or period recorded")))</f>
        <v/>
      </c>
      <c r="X110" s="52" t="str">
        <f aca="false">IF(A110="","",IF(OR(N110="Pending verification",N110=""),"Verification pending",""))</f>
        <v/>
      </c>
      <c r="Y110" s="54" t="str">
        <f aca="false">IF(A110="","",IF(R110="Yes","Scope limitation recorded",""))</f>
        <v/>
      </c>
      <c r="Z110" s="52" t="str">
        <f aca="false">IF(A110="","",IF(AND(ISNUMBER(V110),V110&lt;AsOf,U110&lt;&gt;""),"Follow-up overdue",""))</f>
        <v/>
      </c>
      <c r="AA110" s="54" t="str">
        <f aca="false">IF(A110="","",IF(COUNTIF(EV_ID,A110)&gt;1,"CHECK: duplicate ID",IF(B110="","CHECK: Supplier ID missing",IF(COUNTIF(INV_ID,B110)=0,"CHECK: Supplier ID not in inventory","OK"))))</f>
        <v/>
      </c>
      <c r="AB110" s="52" t="str">
        <f aca="false">IF(OR(A110="",B110=""),"",IF(B110=RptSup,B110&amp;"|"&amp;COUNTIF($B$7:B110,B110),""))</f>
        <v/>
      </c>
    </row>
    <row r="111" customFormat="false" ht="15" hidden="false" customHeight="false" outlineLevel="0" collapsed="false">
      <c r="A111" s="50"/>
      <c r="B111" s="50"/>
      <c r="C111" s="59" t="str">
        <f aca="false">IF(B111="","",IFERROR(INDEX(INV_NAME,MATCH(B111,INV_ID,0)),"CHECK: Supplier ID not found"))</f>
        <v/>
      </c>
      <c r="D111" s="34"/>
      <c r="E111" s="34"/>
      <c r="F111" s="34"/>
      <c r="G111" s="34"/>
      <c r="H111" s="51"/>
      <c r="I111" s="51"/>
      <c r="J111" s="51"/>
      <c r="K111" s="51"/>
      <c r="L111" s="34"/>
      <c r="M111" s="34"/>
      <c r="N111" s="34"/>
      <c r="O111" s="34"/>
      <c r="P111" s="34"/>
      <c r="Q111" s="34"/>
      <c r="R111" s="50"/>
      <c r="S111" s="50"/>
      <c r="T111" s="51"/>
      <c r="U111" s="34"/>
      <c r="V111" s="51"/>
      <c r="W111" s="54" t="str">
        <f aca="false">IF(A111="","",IF(ISNUMBER(I111),IF(I111&lt;AsOf,"Expired",IF(I111&lt;=AsOf+WarnEvidenceDays,"Approaching expiry","Current")),IF(ISNUMBER(K111),IF(K111&lt;AsOf,"Historical period ended "&amp;TEXT(K111,"yyyy-mm-dd")&amp;" - assess relevance; request update","Period current"),"No expiry or period recorded")))</f>
        <v/>
      </c>
      <c r="X111" s="52" t="str">
        <f aca="false">IF(A111="","",IF(OR(N111="Pending verification",N111=""),"Verification pending",""))</f>
        <v/>
      </c>
      <c r="Y111" s="54" t="str">
        <f aca="false">IF(A111="","",IF(R111="Yes","Scope limitation recorded",""))</f>
        <v/>
      </c>
      <c r="Z111" s="52" t="str">
        <f aca="false">IF(A111="","",IF(AND(ISNUMBER(V111),V111&lt;AsOf,U111&lt;&gt;""),"Follow-up overdue",""))</f>
        <v/>
      </c>
      <c r="AA111" s="54" t="str">
        <f aca="false">IF(A111="","",IF(COUNTIF(EV_ID,A111)&gt;1,"CHECK: duplicate ID",IF(B111="","CHECK: Supplier ID missing",IF(COUNTIF(INV_ID,B111)=0,"CHECK: Supplier ID not in inventory","OK"))))</f>
        <v/>
      </c>
      <c r="AB111" s="52" t="str">
        <f aca="false">IF(OR(A111="",B111=""),"",IF(B111=RptSup,B111&amp;"|"&amp;COUNTIF($B$7:B111,B111),""))</f>
        <v/>
      </c>
    </row>
    <row r="112" customFormat="false" ht="15" hidden="false" customHeight="false" outlineLevel="0" collapsed="false">
      <c r="A112" s="50"/>
      <c r="B112" s="50"/>
      <c r="C112" s="59" t="str">
        <f aca="false">IF(B112="","",IFERROR(INDEX(INV_NAME,MATCH(B112,INV_ID,0)),"CHECK: Supplier ID not found"))</f>
        <v/>
      </c>
      <c r="D112" s="34"/>
      <c r="E112" s="34"/>
      <c r="F112" s="34"/>
      <c r="G112" s="34"/>
      <c r="H112" s="51"/>
      <c r="I112" s="51"/>
      <c r="J112" s="51"/>
      <c r="K112" s="51"/>
      <c r="L112" s="34"/>
      <c r="M112" s="34"/>
      <c r="N112" s="34"/>
      <c r="O112" s="34"/>
      <c r="P112" s="34"/>
      <c r="Q112" s="34"/>
      <c r="R112" s="50"/>
      <c r="S112" s="50"/>
      <c r="T112" s="51"/>
      <c r="U112" s="34"/>
      <c r="V112" s="51"/>
      <c r="W112" s="54" t="str">
        <f aca="false">IF(A112="","",IF(ISNUMBER(I112),IF(I112&lt;AsOf,"Expired",IF(I112&lt;=AsOf+WarnEvidenceDays,"Approaching expiry","Current")),IF(ISNUMBER(K112),IF(K112&lt;AsOf,"Historical period ended "&amp;TEXT(K112,"yyyy-mm-dd")&amp;" - assess relevance; request update","Period current"),"No expiry or period recorded")))</f>
        <v/>
      </c>
      <c r="X112" s="52" t="str">
        <f aca="false">IF(A112="","",IF(OR(N112="Pending verification",N112=""),"Verification pending",""))</f>
        <v/>
      </c>
      <c r="Y112" s="54" t="str">
        <f aca="false">IF(A112="","",IF(R112="Yes","Scope limitation recorded",""))</f>
        <v/>
      </c>
      <c r="Z112" s="52" t="str">
        <f aca="false">IF(A112="","",IF(AND(ISNUMBER(V112),V112&lt;AsOf,U112&lt;&gt;""),"Follow-up overdue",""))</f>
        <v/>
      </c>
      <c r="AA112" s="54" t="str">
        <f aca="false">IF(A112="","",IF(COUNTIF(EV_ID,A112)&gt;1,"CHECK: duplicate ID",IF(B112="","CHECK: Supplier ID missing",IF(COUNTIF(INV_ID,B112)=0,"CHECK: Supplier ID not in inventory","OK"))))</f>
        <v/>
      </c>
      <c r="AB112" s="52" t="str">
        <f aca="false">IF(OR(A112="",B112=""),"",IF(B112=RptSup,B112&amp;"|"&amp;COUNTIF($B$7:B112,B112),""))</f>
        <v/>
      </c>
    </row>
    <row r="113" customFormat="false" ht="15" hidden="false" customHeight="false" outlineLevel="0" collapsed="false">
      <c r="A113" s="50"/>
      <c r="B113" s="50"/>
      <c r="C113" s="59" t="str">
        <f aca="false">IF(B113="","",IFERROR(INDEX(INV_NAME,MATCH(B113,INV_ID,0)),"CHECK: Supplier ID not found"))</f>
        <v/>
      </c>
      <c r="D113" s="34"/>
      <c r="E113" s="34"/>
      <c r="F113" s="34"/>
      <c r="G113" s="34"/>
      <c r="H113" s="51"/>
      <c r="I113" s="51"/>
      <c r="J113" s="51"/>
      <c r="K113" s="51"/>
      <c r="L113" s="34"/>
      <c r="M113" s="34"/>
      <c r="N113" s="34"/>
      <c r="O113" s="34"/>
      <c r="P113" s="34"/>
      <c r="Q113" s="34"/>
      <c r="R113" s="50"/>
      <c r="S113" s="50"/>
      <c r="T113" s="51"/>
      <c r="U113" s="34"/>
      <c r="V113" s="51"/>
      <c r="W113" s="54" t="str">
        <f aca="false">IF(A113="","",IF(ISNUMBER(I113),IF(I113&lt;AsOf,"Expired",IF(I113&lt;=AsOf+WarnEvidenceDays,"Approaching expiry","Current")),IF(ISNUMBER(K113),IF(K113&lt;AsOf,"Historical period ended "&amp;TEXT(K113,"yyyy-mm-dd")&amp;" - assess relevance; request update","Period current"),"No expiry or period recorded")))</f>
        <v/>
      </c>
      <c r="X113" s="52" t="str">
        <f aca="false">IF(A113="","",IF(OR(N113="Pending verification",N113=""),"Verification pending",""))</f>
        <v/>
      </c>
      <c r="Y113" s="54" t="str">
        <f aca="false">IF(A113="","",IF(R113="Yes","Scope limitation recorded",""))</f>
        <v/>
      </c>
      <c r="Z113" s="52" t="str">
        <f aca="false">IF(A113="","",IF(AND(ISNUMBER(V113),V113&lt;AsOf,U113&lt;&gt;""),"Follow-up overdue",""))</f>
        <v/>
      </c>
      <c r="AA113" s="54" t="str">
        <f aca="false">IF(A113="","",IF(COUNTIF(EV_ID,A113)&gt;1,"CHECK: duplicate ID",IF(B113="","CHECK: Supplier ID missing",IF(COUNTIF(INV_ID,B113)=0,"CHECK: Supplier ID not in inventory","OK"))))</f>
        <v/>
      </c>
      <c r="AB113" s="52" t="str">
        <f aca="false">IF(OR(A113="",B113=""),"",IF(B113=RptSup,B113&amp;"|"&amp;COUNTIF($B$7:B113,B113),""))</f>
        <v/>
      </c>
    </row>
    <row r="114" customFormat="false" ht="15" hidden="false" customHeight="false" outlineLevel="0" collapsed="false">
      <c r="A114" s="50"/>
      <c r="B114" s="50"/>
      <c r="C114" s="59" t="str">
        <f aca="false">IF(B114="","",IFERROR(INDEX(INV_NAME,MATCH(B114,INV_ID,0)),"CHECK: Supplier ID not found"))</f>
        <v/>
      </c>
      <c r="D114" s="34"/>
      <c r="E114" s="34"/>
      <c r="F114" s="34"/>
      <c r="G114" s="34"/>
      <c r="H114" s="51"/>
      <c r="I114" s="51"/>
      <c r="J114" s="51"/>
      <c r="K114" s="51"/>
      <c r="L114" s="34"/>
      <c r="M114" s="34"/>
      <c r="N114" s="34"/>
      <c r="O114" s="34"/>
      <c r="P114" s="34"/>
      <c r="Q114" s="34"/>
      <c r="R114" s="50"/>
      <c r="S114" s="50"/>
      <c r="T114" s="51"/>
      <c r="U114" s="34"/>
      <c r="V114" s="51"/>
      <c r="W114" s="54" t="str">
        <f aca="false">IF(A114="","",IF(ISNUMBER(I114),IF(I114&lt;AsOf,"Expired",IF(I114&lt;=AsOf+WarnEvidenceDays,"Approaching expiry","Current")),IF(ISNUMBER(K114),IF(K114&lt;AsOf,"Historical period ended "&amp;TEXT(K114,"yyyy-mm-dd")&amp;" - assess relevance; request update","Period current"),"No expiry or period recorded")))</f>
        <v/>
      </c>
      <c r="X114" s="52" t="str">
        <f aca="false">IF(A114="","",IF(OR(N114="Pending verification",N114=""),"Verification pending",""))</f>
        <v/>
      </c>
      <c r="Y114" s="54" t="str">
        <f aca="false">IF(A114="","",IF(R114="Yes","Scope limitation recorded",""))</f>
        <v/>
      </c>
      <c r="Z114" s="52" t="str">
        <f aca="false">IF(A114="","",IF(AND(ISNUMBER(V114),V114&lt;AsOf,U114&lt;&gt;""),"Follow-up overdue",""))</f>
        <v/>
      </c>
      <c r="AA114" s="54" t="str">
        <f aca="false">IF(A114="","",IF(COUNTIF(EV_ID,A114)&gt;1,"CHECK: duplicate ID",IF(B114="","CHECK: Supplier ID missing",IF(COUNTIF(INV_ID,B114)=0,"CHECK: Supplier ID not in inventory","OK"))))</f>
        <v/>
      </c>
      <c r="AB114" s="52" t="str">
        <f aca="false">IF(OR(A114="",B114=""),"",IF(B114=RptSup,B114&amp;"|"&amp;COUNTIF($B$7:B114,B114),""))</f>
        <v/>
      </c>
    </row>
    <row r="115" customFormat="false" ht="15" hidden="false" customHeight="false" outlineLevel="0" collapsed="false">
      <c r="A115" s="50"/>
      <c r="B115" s="50"/>
      <c r="C115" s="59" t="str">
        <f aca="false">IF(B115="","",IFERROR(INDEX(INV_NAME,MATCH(B115,INV_ID,0)),"CHECK: Supplier ID not found"))</f>
        <v/>
      </c>
      <c r="D115" s="34"/>
      <c r="E115" s="34"/>
      <c r="F115" s="34"/>
      <c r="G115" s="34"/>
      <c r="H115" s="51"/>
      <c r="I115" s="51"/>
      <c r="J115" s="51"/>
      <c r="K115" s="51"/>
      <c r="L115" s="34"/>
      <c r="M115" s="34"/>
      <c r="N115" s="34"/>
      <c r="O115" s="34"/>
      <c r="P115" s="34"/>
      <c r="Q115" s="34"/>
      <c r="R115" s="50"/>
      <c r="S115" s="50"/>
      <c r="T115" s="51"/>
      <c r="U115" s="34"/>
      <c r="V115" s="51"/>
      <c r="W115" s="54" t="str">
        <f aca="false">IF(A115="","",IF(ISNUMBER(I115),IF(I115&lt;AsOf,"Expired",IF(I115&lt;=AsOf+WarnEvidenceDays,"Approaching expiry","Current")),IF(ISNUMBER(K115),IF(K115&lt;AsOf,"Historical period ended "&amp;TEXT(K115,"yyyy-mm-dd")&amp;" - assess relevance; request update","Period current"),"No expiry or period recorded")))</f>
        <v/>
      </c>
      <c r="X115" s="52" t="str">
        <f aca="false">IF(A115="","",IF(OR(N115="Pending verification",N115=""),"Verification pending",""))</f>
        <v/>
      </c>
      <c r="Y115" s="54" t="str">
        <f aca="false">IF(A115="","",IF(R115="Yes","Scope limitation recorded",""))</f>
        <v/>
      </c>
      <c r="Z115" s="52" t="str">
        <f aca="false">IF(A115="","",IF(AND(ISNUMBER(V115),V115&lt;AsOf,U115&lt;&gt;""),"Follow-up overdue",""))</f>
        <v/>
      </c>
      <c r="AA115" s="54" t="str">
        <f aca="false">IF(A115="","",IF(COUNTIF(EV_ID,A115)&gt;1,"CHECK: duplicate ID",IF(B115="","CHECK: Supplier ID missing",IF(COUNTIF(INV_ID,B115)=0,"CHECK: Supplier ID not in inventory","OK"))))</f>
        <v/>
      </c>
      <c r="AB115" s="52" t="str">
        <f aca="false">IF(OR(A115="",B115=""),"",IF(B115=RptSup,B115&amp;"|"&amp;COUNTIF($B$7:B115,B115),""))</f>
        <v/>
      </c>
    </row>
    <row r="116" customFormat="false" ht="15" hidden="false" customHeight="false" outlineLevel="0" collapsed="false">
      <c r="A116" s="50"/>
      <c r="B116" s="50"/>
      <c r="C116" s="59" t="str">
        <f aca="false">IF(B116="","",IFERROR(INDEX(INV_NAME,MATCH(B116,INV_ID,0)),"CHECK: Supplier ID not found"))</f>
        <v/>
      </c>
      <c r="D116" s="34"/>
      <c r="E116" s="34"/>
      <c r="F116" s="34"/>
      <c r="G116" s="34"/>
      <c r="H116" s="51"/>
      <c r="I116" s="51"/>
      <c r="J116" s="51"/>
      <c r="K116" s="51"/>
      <c r="L116" s="34"/>
      <c r="M116" s="34"/>
      <c r="N116" s="34"/>
      <c r="O116" s="34"/>
      <c r="P116" s="34"/>
      <c r="Q116" s="34"/>
      <c r="R116" s="50"/>
      <c r="S116" s="50"/>
      <c r="T116" s="51"/>
      <c r="U116" s="34"/>
      <c r="V116" s="51"/>
      <c r="W116" s="54" t="str">
        <f aca="false">IF(A116="","",IF(ISNUMBER(I116),IF(I116&lt;AsOf,"Expired",IF(I116&lt;=AsOf+WarnEvidenceDays,"Approaching expiry","Current")),IF(ISNUMBER(K116),IF(K116&lt;AsOf,"Historical period ended "&amp;TEXT(K116,"yyyy-mm-dd")&amp;" - assess relevance; request update","Period current"),"No expiry or period recorded")))</f>
        <v/>
      </c>
      <c r="X116" s="52" t="str">
        <f aca="false">IF(A116="","",IF(OR(N116="Pending verification",N116=""),"Verification pending",""))</f>
        <v/>
      </c>
      <c r="Y116" s="54" t="str">
        <f aca="false">IF(A116="","",IF(R116="Yes","Scope limitation recorded",""))</f>
        <v/>
      </c>
      <c r="Z116" s="52" t="str">
        <f aca="false">IF(A116="","",IF(AND(ISNUMBER(V116),V116&lt;AsOf,U116&lt;&gt;""),"Follow-up overdue",""))</f>
        <v/>
      </c>
      <c r="AA116" s="54" t="str">
        <f aca="false">IF(A116="","",IF(COUNTIF(EV_ID,A116)&gt;1,"CHECK: duplicate ID",IF(B116="","CHECK: Supplier ID missing",IF(COUNTIF(INV_ID,B116)=0,"CHECK: Supplier ID not in inventory","OK"))))</f>
        <v/>
      </c>
      <c r="AB116" s="52" t="str">
        <f aca="false">IF(OR(A116="",B116=""),"",IF(B116=RptSup,B116&amp;"|"&amp;COUNTIF($B$7:B116,B116),""))</f>
        <v/>
      </c>
    </row>
    <row r="117" customFormat="false" ht="15" hidden="false" customHeight="false" outlineLevel="0" collapsed="false">
      <c r="A117" s="50"/>
      <c r="B117" s="50"/>
      <c r="C117" s="59" t="str">
        <f aca="false">IF(B117="","",IFERROR(INDEX(INV_NAME,MATCH(B117,INV_ID,0)),"CHECK: Supplier ID not found"))</f>
        <v/>
      </c>
      <c r="D117" s="34"/>
      <c r="E117" s="34"/>
      <c r="F117" s="34"/>
      <c r="G117" s="34"/>
      <c r="H117" s="51"/>
      <c r="I117" s="51"/>
      <c r="J117" s="51"/>
      <c r="K117" s="51"/>
      <c r="L117" s="34"/>
      <c r="M117" s="34"/>
      <c r="N117" s="34"/>
      <c r="O117" s="34"/>
      <c r="P117" s="34"/>
      <c r="Q117" s="34"/>
      <c r="R117" s="50"/>
      <c r="S117" s="50"/>
      <c r="T117" s="51"/>
      <c r="U117" s="34"/>
      <c r="V117" s="51"/>
      <c r="W117" s="54" t="str">
        <f aca="false">IF(A117="","",IF(ISNUMBER(I117),IF(I117&lt;AsOf,"Expired",IF(I117&lt;=AsOf+WarnEvidenceDays,"Approaching expiry","Current")),IF(ISNUMBER(K117),IF(K117&lt;AsOf,"Historical period ended "&amp;TEXT(K117,"yyyy-mm-dd")&amp;" - assess relevance; request update","Period current"),"No expiry or period recorded")))</f>
        <v/>
      </c>
      <c r="X117" s="52" t="str">
        <f aca="false">IF(A117="","",IF(OR(N117="Pending verification",N117=""),"Verification pending",""))</f>
        <v/>
      </c>
      <c r="Y117" s="54" t="str">
        <f aca="false">IF(A117="","",IF(R117="Yes","Scope limitation recorded",""))</f>
        <v/>
      </c>
      <c r="Z117" s="52" t="str">
        <f aca="false">IF(A117="","",IF(AND(ISNUMBER(V117),V117&lt;AsOf,U117&lt;&gt;""),"Follow-up overdue",""))</f>
        <v/>
      </c>
      <c r="AA117" s="54" t="str">
        <f aca="false">IF(A117="","",IF(COUNTIF(EV_ID,A117)&gt;1,"CHECK: duplicate ID",IF(B117="","CHECK: Supplier ID missing",IF(COUNTIF(INV_ID,B117)=0,"CHECK: Supplier ID not in inventory","OK"))))</f>
        <v/>
      </c>
      <c r="AB117" s="52" t="str">
        <f aca="false">IF(OR(A117="",B117=""),"",IF(B117=RptSup,B117&amp;"|"&amp;COUNTIF($B$7:B117,B117),""))</f>
        <v/>
      </c>
    </row>
    <row r="118" customFormat="false" ht="15" hidden="false" customHeight="false" outlineLevel="0" collapsed="false">
      <c r="A118" s="50"/>
      <c r="B118" s="50"/>
      <c r="C118" s="59" t="str">
        <f aca="false">IF(B118="","",IFERROR(INDEX(INV_NAME,MATCH(B118,INV_ID,0)),"CHECK: Supplier ID not found"))</f>
        <v/>
      </c>
      <c r="D118" s="34"/>
      <c r="E118" s="34"/>
      <c r="F118" s="34"/>
      <c r="G118" s="34"/>
      <c r="H118" s="51"/>
      <c r="I118" s="51"/>
      <c r="J118" s="51"/>
      <c r="K118" s="51"/>
      <c r="L118" s="34"/>
      <c r="M118" s="34"/>
      <c r="N118" s="34"/>
      <c r="O118" s="34"/>
      <c r="P118" s="34"/>
      <c r="Q118" s="34"/>
      <c r="R118" s="50"/>
      <c r="S118" s="50"/>
      <c r="T118" s="51"/>
      <c r="U118" s="34"/>
      <c r="V118" s="51"/>
      <c r="W118" s="54" t="str">
        <f aca="false">IF(A118="","",IF(ISNUMBER(I118),IF(I118&lt;AsOf,"Expired",IF(I118&lt;=AsOf+WarnEvidenceDays,"Approaching expiry","Current")),IF(ISNUMBER(K118),IF(K118&lt;AsOf,"Historical period ended "&amp;TEXT(K118,"yyyy-mm-dd")&amp;" - assess relevance; request update","Period current"),"No expiry or period recorded")))</f>
        <v/>
      </c>
      <c r="X118" s="52" t="str">
        <f aca="false">IF(A118="","",IF(OR(N118="Pending verification",N118=""),"Verification pending",""))</f>
        <v/>
      </c>
      <c r="Y118" s="54" t="str">
        <f aca="false">IF(A118="","",IF(R118="Yes","Scope limitation recorded",""))</f>
        <v/>
      </c>
      <c r="Z118" s="52" t="str">
        <f aca="false">IF(A118="","",IF(AND(ISNUMBER(V118),V118&lt;AsOf,U118&lt;&gt;""),"Follow-up overdue",""))</f>
        <v/>
      </c>
      <c r="AA118" s="54" t="str">
        <f aca="false">IF(A118="","",IF(COUNTIF(EV_ID,A118)&gt;1,"CHECK: duplicate ID",IF(B118="","CHECK: Supplier ID missing",IF(COUNTIF(INV_ID,B118)=0,"CHECK: Supplier ID not in inventory","OK"))))</f>
        <v/>
      </c>
      <c r="AB118" s="52" t="str">
        <f aca="false">IF(OR(A118="",B118=""),"",IF(B118=RptSup,B118&amp;"|"&amp;COUNTIF($B$7:B118,B118),""))</f>
        <v/>
      </c>
    </row>
    <row r="119" customFormat="false" ht="15" hidden="false" customHeight="false" outlineLevel="0" collapsed="false">
      <c r="A119" s="50"/>
      <c r="B119" s="50"/>
      <c r="C119" s="59" t="str">
        <f aca="false">IF(B119="","",IFERROR(INDEX(INV_NAME,MATCH(B119,INV_ID,0)),"CHECK: Supplier ID not found"))</f>
        <v/>
      </c>
      <c r="D119" s="34"/>
      <c r="E119" s="34"/>
      <c r="F119" s="34"/>
      <c r="G119" s="34"/>
      <c r="H119" s="51"/>
      <c r="I119" s="51"/>
      <c r="J119" s="51"/>
      <c r="K119" s="51"/>
      <c r="L119" s="34"/>
      <c r="M119" s="34"/>
      <c r="N119" s="34"/>
      <c r="O119" s="34"/>
      <c r="P119" s="34"/>
      <c r="Q119" s="34"/>
      <c r="R119" s="50"/>
      <c r="S119" s="50"/>
      <c r="T119" s="51"/>
      <c r="U119" s="34"/>
      <c r="V119" s="51"/>
      <c r="W119" s="54" t="str">
        <f aca="false">IF(A119="","",IF(ISNUMBER(I119),IF(I119&lt;AsOf,"Expired",IF(I119&lt;=AsOf+WarnEvidenceDays,"Approaching expiry","Current")),IF(ISNUMBER(K119),IF(K119&lt;AsOf,"Historical period ended "&amp;TEXT(K119,"yyyy-mm-dd")&amp;" - assess relevance; request update","Period current"),"No expiry or period recorded")))</f>
        <v/>
      </c>
      <c r="X119" s="52" t="str">
        <f aca="false">IF(A119="","",IF(OR(N119="Pending verification",N119=""),"Verification pending",""))</f>
        <v/>
      </c>
      <c r="Y119" s="54" t="str">
        <f aca="false">IF(A119="","",IF(R119="Yes","Scope limitation recorded",""))</f>
        <v/>
      </c>
      <c r="Z119" s="52" t="str">
        <f aca="false">IF(A119="","",IF(AND(ISNUMBER(V119),V119&lt;AsOf,U119&lt;&gt;""),"Follow-up overdue",""))</f>
        <v/>
      </c>
      <c r="AA119" s="54" t="str">
        <f aca="false">IF(A119="","",IF(COUNTIF(EV_ID,A119)&gt;1,"CHECK: duplicate ID",IF(B119="","CHECK: Supplier ID missing",IF(COUNTIF(INV_ID,B119)=0,"CHECK: Supplier ID not in inventory","OK"))))</f>
        <v/>
      </c>
      <c r="AB119" s="52" t="str">
        <f aca="false">IF(OR(A119="",B119=""),"",IF(B119=RptSup,B119&amp;"|"&amp;COUNTIF($B$7:B119,B119),""))</f>
        <v/>
      </c>
    </row>
    <row r="120" customFormat="false" ht="15" hidden="false" customHeight="false" outlineLevel="0" collapsed="false">
      <c r="A120" s="50"/>
      <c r="B120" s="50"/>
      <c r="C120" s="59" t="str">
        <f aca="false">IF(B120="","",IFERROR(INDEX(INV_NAME,MATCH(B120,INV_ID,0)),"CHECK: Supplier ID not found"))</f>
        <v/>
      </c>
      <c r="D120" s="34"/>
      <c r="E120" s="34"/>
      <c r="F120" s="34"/>
      <c r="G120" s="34"/>
      <c r="H120" s="51"/>
      <c r="I120" s="51"/>
      <c r="J120" s="51"/>
      <c r="K120" s="51"/>
      <c r="L120" s="34"/>
      <c r="M120" s="34"/>
      <c r="N120" s="34"/>
      <c r="O120" s="34"/>
      <c r="P120" s="34"/>
      <c r="Q120" s="34"/>
      <c r="R120" s="50"/>
      <c r="S120" s="50"/>
      <c r="T120" s="51"/>
      <c r="U120" s="34"/>
      <c r="V120" s="51"/>
      <c r="W120" s="54" t="str">
        <f aca="false">IF(A120="","",IF(ISNUMBER(I120),IF(I120&lt;AsOf,"Expired",IF(I120&lt;=AsOf+WarnEvidenceDays,"Approaching expiry","Current")),IF(ISNUMBER(K120),IF(K120&lt;AsOf,"Historical period ended "&amp;TEXT(K120,"yyyy-mm-dd")&amp;" - assess relevance; request update","Period current"),"No expiry or period recorded")))</f>
        <v/>
      </c>
      <c r="X120" s="52" t="str">
        <f aca="false">IF(A120="","",IF(OR(N120="Pending verification",N120=""),"Verification pending",""))</f>
        <v/>
      </c>
      <c r="Y120" s="54" t="str">
        <f aca="false">IF(A120="","",IF(R120="Yes","Scope limitation recorded",""))</f>
        <v/>
      </c>
      <c r="Z120" s="52" t="str">
        <f aca="false">IF(A120="","",IF(AND(ISNUMBER(V120),V120&lt;AsOf,U120&lt;&gt;""),"Follow-up overdue",""))</f>
        <v/>
      </c>
      <c r="AA120" s="54" t="str">
        <f aca="false">IF(A120="","",IF(COUNTIF(EV_ID,A120)&gt;1,"CHECK: duplicate ID",IF(B120="","CHECK: Supplier ID missing",IF(COUNTIF(INV_ID,B120)=0,"CHECK: Supplier ID not in inventory","OK"))))</f>
        <v/>
      </c>
      <c r="AB120" s="52" t="str">
        <f aca="false">IF(OR(A120="",B120=""),"",IF(B120=RptSup,B120&amp;"|"&amp;COUNTIF($B$7:B120,B120),""))</f>
        <v/>
      </c>
    </row>
    <row r="121" customFormat="false" ht="15" hidden="false" customHeight="false" outlineLevel="0" collapsed="false">
      <c r="A121" s="50"/>
      <c r="B121" s="50"/>
      <c r="C121" s="59" t="str">
        <f aca="false">IF(B121="","",IFERROR(INDEX(INV_NAME,MATCH(B121,INV_ID,0)),"CHECK: Supplier ID not found"))</f>
        <v/>
      </c>
      <c r="D121" s="34"/>
      <c r="E121" s="34"/>
      <c r="F121" s="34"/>
      <c r="G121" s="34"/>
      <c r="H121" s="51"/>
      <c r="I121" s="51"/>
      <c r="J121" s="51"/>
      <c r="K121" s="51"/>
      <c r="L121" s="34"/>
      <c r="M121" s="34"/>
      <c r="N121" s="34"/>
      <c r="O121" s="34"/>
      <c r="P121" s="34"/>
      <c r="Q121" s="34"/>
      <c r="R121" s="50"/>
      <c r="S121" s="50"/>
      <c r="T121" s="51"/>
      <c r="U121" s="34"/>
      <c r="V121" s="51"/>
      <c r="W121" s="54" t="str">
        <f aca="false">IF(A121="","",IF(ISNUMBER(I121),IF(I121&lt;AsOf,"Expired",IF(I121&lt;=AsOf+WarnEvidenceDays,"Approaching expiry","Current")),IF(ISNUMBER(K121),IF(K121&lt;AsOf,"Historical period ended "&amp;TEXT(K121,"yyyy-mm-dd")&amp;" - assess relevance; request update","Period current"),"No expiry or period recorded")))</f>
        <v/>
      </c>
      <c r="X121" s="52" t="str">
        <f aca="false">IF(A121="","",IF(OR(N121="Pending verification",N121=""),"Verification pending",""))</f>
        <v/>
      </c>
      <c r="Y121" s="54" t="str">
        <f aca="false">IF(A121="","",IF(R121="Yes","Scope limitation recorded",""))</f>
        <v/>
      </c>
      <c r="Z121" s="52" t="str">
        <f aca="false">IF(A121="","",IF(AND(ISNUMBER(V121),V121&lt;AsOf,U121&lt;&gt;""),"Follow-up overdue",""))</f>
        <v/>
      </c>
      <c r="AA121" s="54" t="str">
        <f aca="false">IF(A121="","",IF(COUNTIF(EV_ID,A121)&gt;1,"CHECK: duplicate ID",IF(B121="","CHECK: Supplier ID missing",IF(COUNTIF(INV_ID,B121)=0,"CHECK: Supplier ID not in inventory","OK"))))</f>
        <v/>
      </c>
      <c r="AB121" s="52" t="str">
        <f aca="false">IF(OR(A121="",B121=""),"",IF(B121=RptSup,B121&amp;"|"&amp;COUNTIF($B$7:B121,B121),""))</f>
        <v/>
      </c>
    </row>
    <row r="122" customFormat="false" ht="15" hidden="false" customHeight="false" outlineLevel="0" collapsed="false">
      <c r="A122" s="50"/>
      <c r="B122" s="50"/>
      <c r="C122" s="59" t="str">
        <f aca="false">IF(B122="","",IFERROR(INDEX(INV_NAME,MATCH(B122,INV_ID,0)),"CHECK: Supplier ID not found"))</f>
        <v/>
      </c>
      <c r="D122" s="34"/>
      <c r="E122" s="34"/>
      <c r="F122" s="34"/>
      <c r="G122" s="34"/>
      <c r="H122" s="51"/>
      <c r="I122" s="51"/>
      <c r="J122" s="51"/>
      <c r="K122" s="51"/>
      <c r="L122" s="34"/>
      <c r="M122" s="34"/>
      <c r="N122" s="34"/>
      <c r="O122" s="34"/>
      <c r="P122" s="34"/>
      <c r="Q122" s="34"/>
      <c r="R122" s="50"/>
      <c r="S122" s="50"/>
      <c r="T122" s="51"/>
      <c r="U122" s="34"/>
      <c r="V122" s="51"/>
      <c r="W122" s="54" t="str">
        <f aca="false">IF(A122="","",IF(ISNUMBER(I122),IF(I122&lt;AsOf,"Expired",IF(I122&lt;=AsOf+WarnEvidenceDays,"Approaching expiry","Current")),IF(ISNUMBER(K122),IF(K122&lt;AsOf,"Historical period ended "&amp;TEXT(K122,"yyyy-mm-dd")&amp;" - assess relevance; request update","Period current"),"No expiry or period recorded")))</f>
        <v/>
      </c>
      <c r="X122" s="52" t="str">
        <f aca="false">IF(A122="","",IF(OR(N122="Pending verification",N122=""),"Verification pending",""))</f>
        <v/>
      </c>
      <c r="Y122" s="54" t="str">
        <f aca="false">IF(A122="","",IF(R122="Yes","Scope limitation recorded",""))</f>
        <v/>
      </c>
      <c r="Z122" s="52" t="str">
        <f aca="false">IF(A122="","",IF(AND(ISNUMBER(V122),V122&lt;AsOf,U122&lt;&gt;""),"Follow-up overdue",""))</f>
        <v/>
      </c>
      <c r="AA122" s="54" t="str">
        <f aca="false">IF(A122="","",IF(COUNTIF(EV_ID,A122)&gt;1,"CHECK: duplicate ID",IF(B122="","CHECK: Supplier ID missing",IF(COUNTIF(INV_ID,B122)=0,"CHECK: Supplier ID not in inventory","OK"))))</f>
        <v/>
      </c>
      <c r="AB122" s="52" t="str">
        <f aca="false">IF(OR(A122="",B122=""),"",IF(B122=RptSup,B122&amp;"|"&amp;COUNTIF($B$7:B122,B122),""))</f>
        <v/>
      </c>
    </row>
    <row r="123" customFormat="false" ht="15" hidden="false" customHeight="false" outlineLevel="0" collapsed="false">
      <c r="A123" s="50"/>
      <c r="B123" s="50"/>
      <c r="C123" s="59" t="str">
        <f aca="false">IF(B123="","",IFERROR(INDEX(INV_NAME,MATCH(B123,INV_ID,0)),"CHECK: Supplier ID not found"))</f>
        <v/>
      </c>
      <c r="D123" s="34"/>
      <c r="E123" s="34"/>
      <c r="F123" s="34"/>
      <c r="G123" s="34"/>
      <c r="H123" s="51"/>
      <c r="I123" s="51"/>
      <c r="J123" s="51"/>
      <c r="K123" s="51"/>
      <c r="L123" s="34"/>
      <c r="M123" s="34"/>
      <c r="N123" s="34"/>
      <c r="O123" s="34"/>
      <c r="P123" s="34"/>
      <c r="Q123" s="34"/>
      <c r="R123" s="50"/>
      <c r="S123" s="50"/>
      <c r="T123" s="51"/>
      <c r="U123" s="34"/>
      <c r="V123" s="51"/>
      <c r="W123" s="54" t="str">
        <f aca="false">IF(A123="","",IF(ISNUMBER(I123),IF(I123&lt;AsOf,"Expired",IF(I123&lt;=AsOf+WarnEvidenceDays,"Approaching expiry","Current")),IF(ISNUMBER(K123),IF(K123&lt;AsOf,"Historical period ended "&amp;TEXT(K123,"yyyy-mm-dd")&amp;" - assess relevance; request update","Period current"),"No expiry or period recorded")))</f>
        <v/>
      </c>
      <c r="X123" s="52" t="str">
        <f aca="false">IF(A123="","",IF(OR(N123="Pending verification",N123=""),"Verification pending",""))</f>
        <v/>
      </c>
      <c r="Y123" s="54" t="str">
        <f aca="false">IF(A123="","",IF(R123="Yes","Scope limitation recorded",""))</f>
        <v/>
      </c>
      <c r="Z123" s="52" t="str">
        <f aca="false">IF(A123="","",IF(AND(ISNUMBER(V123),V123&lt;AsOf,U123&lt;&gt;""),"Follow-up overdue",""))</f>
        <v/>
      </c>
      <c r="AA123" s="54" t="str">
        <f aca="false">IF(A123="","",IF(COUNTIF(EV_ID,A123)&gt;1,"CHECK: duplicate ID",IF(B123="","CHECK: Supplier ID missing",IF(COUNTIF(INV_ID,B123)=0,"CHECK: Supplier ID not in inventory","OK"))))</f>
        <v/>
      </c>
      <c r="AB123" s="52" t="str">
        <f aca="false">IF(OR(A123="",B123=""),"",IF(B123=RptSup,B123&amp;"|"&amp;COUNTIF($B$7:B123,B123),""))</f>
        <v/>
      </c>
    </row>
    <row r="124" customFormat="false" ht="15" hidden="false" customHeight="false" outlineLevel="0" collapsed="false">
      <c r="A124" s="50"/>
      <c r="B124" s="50"/>
      <c r="C124" s="59" t="str">
        <f aca="false">IF(B124="","",IFERROR(INDEX(INV_NAME,MATCH(B124,INV_ID,0)),"CHECK: Supplier ID not found"))</f>
        <v/>
      </c>
      <c r="D124" s="34"/>
      <c r="E124" s="34"/>
      <c r="F124" s="34"/>
      <c r="G124" s="34"/>
      <c r="H124" s="51"/>
      <c r="I124" s="51"/>
      <c r="J124" s="51"/>
      <c r="K124" s="51"/>
      <c r="L124" s="34"/>
      <c r="M124" s="34"/>
      <c r="N124" s="34"/>
      <c r="O124" s="34"/>
      <c r="P124" s="34"/>
      <c r="Q124" s="34"/>
      <c r="R124" s="50"/>
      <c r="S124" s="50"/>
      <c r="T124" s="51"/>
      <c r="U124" s="34"/>
      <c r="V124" s="51"/>
      <c r="W124" s="54" t="str">
        <f aca="false">IF(A124="","",IF(ISNUMBER(I124),IF(I124&lt;AsOf,"Expired",IF(I124&lt;=AsOf+WarnEvidenceDays,"Approaching expiry","Current")),IF(ISNUMBER(K124),IF(K124&lt;AsOf,"Historical period ended "&amp;TEXT(K124,"yyyy-mm-dd")&amp;" - assess relevance; request update","Period current"),"No expiry or period recorded")))</f>
        <v/>
      </c>
      <c r="X124" s="52" t="str">
        <f aca="false">IF(A124="","",IF(OR(N124="Pending verification",N124=""),"Verification pending",""))</f>
        <v/>
      </c>
      <c r="Y124" s="54" t="str">
        <f aca="false">IF(A124="","",IF(R124="Yes","Scope limitation recorded",""))</f>
        <v/>
      </c>
      <c r="Z124" s="52" t="str">
        <f aca="false">IF(A124="","",IF(AND(ISNUMBER(V124),V124&lt;AsOf,U124&lt;&gt;""),"Follow-up overdue",""))</f>
        <v/>
      </c>
      <c r="AA124" s="54" t="str">
        <f aca="false">IF(A124="","",IF(COUNTIF(EV_ID,A124)&gt;1,"CHECK: duplicate ID",IF(B124="","CHECK: Supplier ID missing",IF(COUNTIF(INV_ID,B124)=0,"CHECK: Supplier ID not in inventory","OK"))))</f>
        <v/>
      </c>
      <c r="AB124" s="52" t="str">
        <f aca="false">IF(OR(A124="",B124=""),"",IF(B124=RptSup,B124&amp;"|"&amp;COUNTIF($B$7:B124,B124),""))</f>
        <v/>
      </c>
    </row>
    <row r="125" customFormat="false" ht="15" hidden="false" customHeight="false" outlineLevel="0" collapsed="false">
      <c r="A125" s="50"/>
      <c r="B125" s="50"/>
      <c r="C125" s="59" t="str">
        <f aca="false">IF(B125="","",IFERROR(INDEX(INV_NAME,MATCH(B125,INV_ID,0)),"CHECK: Supplier ID not found"))</f>
        <v/>
      </c>
      <c r="D125" s="34"/>
      <c r="E125" s="34"/>
      <c r="F125" s="34"/>
      <c r="G125" s="34"/>
      <c r="H125" s="51"/>
      <c r="I125" s="51"/>
      <c r="J125" s="51"/>
      <c r="K125" s="51"/>
      <c r="L125" s="34"/>
      <c r="M125" s="34"/>
      <c r="N125" s="34"/>
      <c r="O125" s="34"/>
      <c r="P125" s="34"/>
      <c r="Q125" s="34"/>
      <c r="R125" s="50"/>
      <c r="S125" s="50"/>
      <c r="T125" s="51"/>
      <c r="U125" s="34"/>
      <c r="V125" s="51"/>
      <c r="W125" s="54" t="str">
        <f aca="false">IF(A125="","",IF(ISNUMBER(I125),IF(I125&lt;AsOf,"Expired",IF(I125&lt;=AsOf+WarnEvidenceDays,"Approaching expiry","Current")),IF(ISNUMBER(K125),IF(K125&lt;AsOf,"Historical period ended "&amp;TEXT(K125,"yyyy-mm-dd")&amp;" - assess relevance; request update","Period current"),"No expiry or period recorded")))</f>
        <v/>
      </c>
      <c r="X125" s="52" t="str">
        <f aca="false">IF(A125="","",IF(OR(N125="Pending verification",N125=""),"Verification pending",""))</f>
        <v/>
      </c>
      <c r="Y125" s="54" t="str">
        <f aca="false">IF(A125="","",IF(R125="Yes","Scope limitation recorded",""))</f>
        <v/>
      </c>
      <c r="Z125" s="52" t="str">
        <f aca="false">IF(A125="","",IF(AND(ISNUMBER(V125),V125&lt;AsOf,U125&lt;&gt;""),"Follow-up overdue",""))</f>
        <v/>
      </c>
      <c r="AA125" s="54" t="str">
        <f aca="false">IF(A125="","",IF(COUNTIF(EV_ID,A125)&gt;1,"CHECK: duplicate ID",IF(B125="","CHECK: Supplier ID missing",IF(COUNTIF(INV_ID,B125)=0,"CHECK: Supplier ID not in inventory","OK"))))</f>
        <v/>
      </c>
      <c r="AB125" s="52" t="str">
        <f aca="false">IF(OR(A125="",B125=""),"",IF(B125=RptSup,B125&amp;"|"&amp;COUNTIF($B$7:B125,B125),""))</f>
        <v/>
      </c>
    </row>
    <row r="126" customFormat="false" ht="15" hidden="false" customHeight="false" outlineLevel="0" collapsed="false">
      <c r="A126" s="50"/>
      <c r="B126" s="50"/>
      <c r="C126" s="59" t="str">
        <f aca="false">IF(B126="","",IFERROR(INDEX(INV_NAME,MATCH(B126,INV_ID,0)),"CHECK: Supplier ID not found"))</f>
        <v/>
      </c>
      <c r="D126" s="34"/>
      <c r="E126" s="34"/>
      <c r="F126" s="34"/>
      <c r="G126" s="34"/>
      <c r="H126" s="51"/>
      <c r="I126" s="51"/>
      <c r="J126" s="51"/>
      <c r="K126" s="51"/>
      <c r="L126" s="34"/>
      <c r="M126" s="34"/>
      <c r="N126" s="34"/>
      <c r="O126" s="34"/>
      <c r="P126" s="34"/>
      <c r="Q126" s="34"/>
      <c r="R126" s="50"/>
      <c r="S126" s="50"/>
      <c r="T126" s="51"/>
      <c r="U126" s="34"/>
      <c r="V126" s="51"/>
      <c r="W126" s="54" t="str">
        <f aca="false">IF(A126="","",IF(ISNUMBER(I126),IF(I126&lt;AsOf,"Expired",IF(I126&lt;=AsOf+WarnEvidenceDays,"Approaching expiry","Current")),IF(ISNUMBER(K126),IF(K126&lt;AsOf,"Historical period ended "&amp;TEXT(K126,"yyyy-mm-dd")&amp;" - assess relevance; request update","Period current"),"No expiry or period recorded")))</f>
        <v/>
      </c>
      <c r="X126" s="52" t="str">
        <f aca="false">IF(A126="","",IF(OR(N126="Pending verification",N126=""),"Verification pending",""))</f>
        <v/>
      </c>
      <c r="Y126" s="54" t="str">
        <f aca="false">IF(A126="","",IF(R126="Yes","Scope limitation recorded",""))</f>
        <v/>
      </c>
      <c r="Z126" s="52" t="str">
        <f aca="false">IF(A126="","",IF(AND(ISNUMBER(V126),V126&lt;AsOf,U126&lt;&gt;""),"Follow-up overdue",""))</f>
        <v/>
      </c>
      <c r="AA126" s="54" t="str">
        <f aca="false">IF(A126="","",IF(COUNTIF(EV_ID,A126)&gt;1,"CHECK: duplicate ID",IF(B126="","CHECK: Supplier ID missing",IF(COUNTIF(INV_ID,B126)=0,"CHECK: Supplier ID not in inventory","OK"))))</f>
        <v/>
      </c>
      <c r="AB126" s="52" t="str">
        <f aca="false">IF(OR(A126="",B126=""),"",IF(B126=RptSup,B126&amp;"|"&amp;COUNTIF($B$7:B126,B126),""))</f>
        <v/>
      </c>
    </row>
    <row r="127" customFormat="false" ht="15" hidden="false" customHeight="false" outlineLevel="0" collapsed="false">
      <c r="A127" s="50"/>
      <c r="B127" s="50"/>
      <c r="C127" s="59" t="str">
        <f aca="false">IF(B127="","",IFERROR(INDEX(INV_NAME,MATCH(B127,INV_ID,0)),"CHECK: Supplier ID not found"))</f>
        <v/>
      </c>
      <c r="D127" s="34"/>
      <c r="E127" s="34"/>
      <c r="F127" s="34"/>
      <c r="G127" s="34"/>
      <c r="H127" s="51"/>
      <c r="I127" s="51"/>
      <c r="J127" s="51"/>
      <c r="K127" s="51"/>
      <c r="L127" s="34"/>
      <c r="M127" s="34"/>
      <c r="N127" s="34"/>
      <c r="O127" s="34"/>
      <c r="P127" s="34"/>
      <c r="Q127" s="34"/>
      <c r="R127" s="50"/>
      <c r="S127" s="50"/>
      <c r="T127" s="51"/>
      <c r="U127" s="34"/>
      <c r="V127" s="51"/>
      <c r="W127" s="54" t="str">
        <f aca="false">IF(A127="","",IF(ISNUMBER(I127),IF(I127&lt;AsOf,"Expired",IF(I127&lt;=AsOf+WarnEvidenceDays,"Approaching expiry","Current")),IF(ISNUMBER(K127),IF(K127&lt;AsOf,"Historical period ended "&amp;TEXT(K127,"yyyy-mm-dd")&amp;" - assess relevance; request update","Period current"),"No expiry or period recorded")))</f>
        <v/>
      </c>
      <c r="X127" s="52" t="str">
        <f aca="false">IF(A127="","",IF(OR(N127="Pending verification",N127=""),"Verification pending",""))</f>
        <v/>
      </c>
      <c r="Y127" s="54" t="str">
        <f aca="false">IF(A127="","",IF(R127="Yes","Scope limitation recorded",""))</f>
        <v/>
      </c>
      <c r="Z127" s="52" t="str">
        <f aca="false">IF(A127="","",IF(AND(ISNUMBER(V127),V127&lt;AsOf,U127&lt;&gt;""),"Follow-up overdue",""))</f>
        <v/>
      </c>
      <c r="AA127" s="54" t="str">
        <f aca="false">IF(A127="","",IF(COUNTIF(EV_ID,A127)&gt;1,"CHECK: duplicate ID",IF(B127="","CHECK: Supplier ID missing",IF(COUNTIF(INV_ID,B127)=0,"CHECK: Supplier ID not in inventory","OK"))))</f>
        <v/>
      </c>
      <c r="AB127" s="52" t="str">
        <f aca="false">IF(OR(A127="",B127=""),"",IF(B127=RptSup,B127&amp;"|"&amp;COUNTIF($B$7:B127,B127),""))</f>
        <v/>
      </c>
    </row>
    <row r="128" customFormat="false" ht="15" hidden="false" customHeight="false" outlineLevel="0" collapsed="false">
      <c r="A128" s="50"/>
      <c r="B128" s="50"/>
      <c r="C128" s="59" t="str">
        <f aca="false">IF(B128="","",IFERROR(INDEX(INV_NAME,MATCH(B128,INV_ID,0)),"CHECK: Supplier ID not found"))</f>
        <v/>
      </c>
      <c r="D128" s="34"/>
      <c r="E128" s="34"/>
      <c r="F128" s="34"/>
      <c r="G128" s="34"/>
      <c r="H128" s="51"/>
      <c r="I128" s="51"/>
      <c r="J128" s="51"/>
      <c r="K128" s="51"/>
      <c r="L128" s="34"/>
      <c r="M128" s="34"/>
      <c r="N128" s="34"/>
      <c r="O128" s="34"/>
      <c r="P128" s="34"/>
      <c r="Q128" s="34"/>
      <c r="R128" s="50"/>
      <c r="S128" s="50"/>
      <c r="T128" s="51"/>
      <c r="U128" s="34"/>
      <c r="V128" s="51"/>
      <c r="W128" s="54" t="str">
        <f aca="false">IF(A128="","",IF(ISNUMBER(I128),IF(I128&lt;AsOf,"Expired",IF(I128&lt;=AsOf+WarnEvidenceDays,"Approaching expiry","Current")),IF(ISNUMBER(K128),IF(K128&lt;AsOf,"Historical period ended "&amp;TEXT(K128,"yyyy-mm-dd")&amp;" - assess relevance; request update","Period current"),"No expiry or period recorded")))</f>
        <v/>
      </c>
      <c r="X128" s="52" t="str">
        <f aca="false">IF(A128="","",IF(OR(N128="Pending verification",N128=""),"Verification pending",""))</f>
        <v/>
      </c>
      <c r="Y128" s="54" t="str">
        <f aca="false">IF(A128="","",IF(R128="Yes","Scope limitation recorded",""))</f>
        <v/>
      </c>
      <c r="Z128" s="52" t="str">
        <f aca="false">IF(A128="","",IF(AND(ISNUMBER(V128),V128&lt;AsOf,U128&lt;&gt;""),"Follow-up overdue",""))</f>
        <v/>
      </c>
      <c r="AA128" s="54" t="str">
        <f aca="false">IF(A128="","",IF(COUNTIF(EV_ID,A128)&gt;1,"CHECK: duplicate ID",IF(B128="","CHECK: Supplier ID missing",IF(COUNTIF(INV_ID,B128)=0,"CHECK: Supplier ID not in inventory","OK"))))</f>
        <v/>
      </c>
      <c r="AB128" s="52" t="str">
        <f aca="false">IF(OR(A128="",B128=""),"",IF(B128=RptSup,B128&amp;"|"&amp;COUNTIF($B$7:B128,B128),""))</f>
        <v/>
      </c>
    </row>
    <row r="129" customFormat="false" ht="15" hidden="false" customHeight="false" outlineLevel="0" collapsed="false">
      <c r="A129" s="50"/>
      <c r="B129" s="50"/>
      <c r="C129" s="59" t="str">
        <f aca="false">IF(B129="","",IFERROR(INDEX(INV_NAME,MATCH(B129,INV_ID,0)),"CHECK: Supplier ID not found"))</f>
        <v/>
      </c>
      <c r="D129" s="34"/>
      <c r="E129" s="34"/>
      <c r="F129" s="34"/>
      <c r="G129" s="34"/>
      <c r="H129" s="51"/>
      <c r="I129" s="51"/>
      <c r="J129" s="51"/>
      <c r="K129" s="51"/>
      <c r="L129" s="34"/>
      <c r="M129" s="34"/>
      <c r="N129" s="34"/>
      <c r="O129" s="34"/>
      <c r="P129" s="34"/>
      <c r="Q129" s="34"/>
      <c r="R129" s="50"/>
      <c r="S129" s="50"/>
      <c r="T129" s="51"/>
      <c r="U129" s="34"/>
      <c r="V129" s="51"/>
      <c r="W129" s="54" t="str">
        <f aca="false">IF(A129="","",IF(ISNUMBER(I129),IF(I129&lt;AsOf,"Expired",IF(I129&lt;=AsOf+WarnEvidenceDays,"Approaching expiry","Current")),IF(ISNUMBER(K129),IF(K129&lt;AsOf,"Historical period ended "&amp;TEXT(K129,"yyyy-mm-dd")&amp;" - assess relevance; request update","Period current"),"No expiry or period recorded")))</f>
        <v/>
      </c>
      <c r="X129" s="52" t="str">
        <f aca="false">IF(A129="","",IF(OR(N129="Pending verification",N129=""),"Verification pending",""))</f>
        <v/>
      </c>
      <c r="Y129" s="54" t="str">
        <f aca="false">IF(A129="","",IF(R129="Yes","Scope limitation recorded",""))</f>
        <v/>
      </c>
      <c r="Z129" s="52" t="str">
        <f aca="false">IF(A129="","",IF(AND(ISNUMBER(V129),V129&lt;AsOf,U129&lt;&gt;""),"Follow-up overdue",""))</f>
        <v/>
      </c>
      <c r="AA129" s="54" t="str">
        <f aca="false">IF(A129="","",IF(COUNTIF(EV_ID,A129)&gt;1,"CHECK: duplicate ID",IF(B129="","CHECK: Supplier ID missing",IF(COUNTIF(INV_ID,B129)=0,"CHECK: Supplier ID not in inventory","OK"))))</f>
        <v/>
      </c>
      <c r="AB129" s="52" t="str">
        <f aca="false">IF(OR(A129="",B129=""),"",IF(B129=RptSup,B129&amp;"|"&amp;COUNTIF($B$7:B129,B129),""))</f>
        <v/>
      </c>
    </row>
    <row r="130" customFormat="false" ht="15" hidden="false" customHeight="false" outlineLevel="0" collapsed="false">
      <c r="A130" s="50"/>
      <c r="B130" s="50"/>
      <c r="C130" s="59" t="str">
        <f aca="false">IF(B130="","",IFERROR(INDEX(INV_NAME,MATCH(B130,INV_ID,0)),"CHECK: Supplier ID not found"))</f>
        <v/>
      </c>
      <c r="D130" s="34"/>
      <c r="E130" s="34"/>
      <c r="F130" s="34"/>
      <c r="G130" s="34"/>
      <c r="H130" s="51"/>
      <c r="I130" s="51"/>
      <c r="J130" s="51"/>
      <c r="K130" s="51"/>
      <c r="L130" s="34"/>
      <c r="M130" s="34"/>
      <c r="N130" s="34"/>
      <c r="O130" s="34"/>
      <c r="P130" s="34"/>
      <c r="Q130" s="34"/>
      <c r="R130" s="50"/>
      <c r="S130" s="50"/>
      <c r="T130" s="51"/>
      <c r="U130" s="34"/>
      <c r="V130" s="51"/>
      <c r="W130" s="54" t="str">
        <f aca="false">IF(A130="","",IF(ISNUMBER(I130),IF(I130&lt;AsOf,"Expired",IF(I130&lt;=AsOf+WarnEvidenceDays,"Approaching expiry","Current")),IF(ISNUMBER(K130),IF(K130&lt;AsOf,"Historical period ended "&amp;TEXT(K130,"yyyy-mm-dd")&amp;" - assess relevance; request update","Period current"),"No expiry or period recorded")))</f>
        <v/>
      </c>
      <c r="X130" s="52" t="str">
        <f aca="false">IF(A130="","",IF(OR(N130="Pending verification",N130=""),"Verification pending",""))</f>
        <v/>
      </c>
      <c r="Y130" s="54" t="str">
        <f aca="false">IF(A130="","",IF(R130="Yes","Scope limitation recorded",""))</f>
        <v/>
      </c>
      <c r="Z130" s="52" t="str">
        <f aca="false">IF(A130="","",IF(AND(ISNUMBER(V130),V130&lt;AsOf,U130&lt;&gt;""),"Follow-up overdue",""))</f>
        <v/>
      </c>
      <c r="AA130" s="54" t="str">
        <f aca="false">IF(A130="","",IF(COUNTIF(EV_ID,A130)&gt;1,"CHECK: duplicate ID",IF(B130="","CHECK: Supplier ID missing",IF(COUNTIF(INV_ID,B130)=0,"CHECK: Supplier ID not in inventory","OK"))))</f>
        <v/>
      </c>
      <c r="AB130" s="52" t="str">
        <f aca="false">IF(OR(A130="",B130=""),"",IF(B130=RptSup,B130&amp;"|"&amp;COUNTIF($B$7:B130,B130),""))</f>
        <v/>
      </c>
    </row>
    <row r="131" customFormat="false" ht="15" hidden="false" customHeight="false" outlineLevel="0" collapsed="false">
      <c r="A131" s="50"/>
      <c r="B131" s="50"/>
      <c r="C131" s="59" t="str">
        <f aca="false">IF(B131="","",IFERROR(INDEX(INV_NAME,MATCH(B131,INV_ID,0)),"CHECK: Supplier ID not found"))</f>
        <v/>
      </c>
      <c r="D131" s="34"/>
      <c r="E131" s="34"/>
      <c r="F131" s="34"/>
      <c r="G131" s="34"/>
      <c r="H131" s="51"/>
      <c r="I131" s="51"/>
      <c r="J131" s="51"/>
      <c r="K131" s="51"/>
      <c r="L131" s="34"/>
      <c r="M131" s="34"/>
      <c r="N131" s="34"/>
      <c r="O131" s="34"/>
      <c r="P131" s="34"/>
      <c r="Q131" s="34"/>
      <c r="R131" s="50"/>
      <c r="S131" s="50"/>
      <c r="T131" s="51"/>
      <c r="U131" s="34"/>
      <c r="V131" s="51"/>
      <c r="W131" s="54" t="str">
        <f aca="false">IF(A131="","",IF(ISNUMBER(I131),IF(I131&lt;AsOf,"Expired",IF(I131&lt;=AsOf+WarnEvidenceDays,"Approaching expiry","Current")),IF(ISNUMBER(K131),IF(K131&lt;AsOf,"Historical period ended "&amp;TEXT(K131,"yyyy-mm-dd")&amp;" - assess relevance; request update","Period current"),"No expiry or period recorded")))</f>
        <v/>
      </c>
      <c r="X131" s="52" t="str">
        <f aca="false">IF(A131="","",IF(OR(N131="Pending verification",N131=""),"Verification pending",""))</f>
        <v/>
      </c>
      <c r="Y131" s="54" t="str">
        <f aca="false">IF(A131="","",IF(R131="Yes","Scope limitation recorded",""))</f>
        <v/>
      </c>
      <c r="Z131" s="52" t="str">
        <f aca="false">IF(A131="","",IF(AND(ISNUMBER(V131),V131&lt;AsOf,U131&lt;&gt;""),"Follow-up overdue",""))</f>
        <v/>
      </c>
      <c r="AA131" s="54" t="str">
        <f aca="false">IF(A131="","",IF(COUNTIF(EV_ID,A131)&gt;1,"CHECK: duplicate ID",IF(B131="","CHECK: Supplier ID missing",IF(COUNTIF(INV_ID,B131)=0,"CHECK: Supplier ID not in inventory","OK"))))</f>
        <v/>
      </c>
      <c r="AB131" s="52" t="str">
        <f aca="false">IF(OR(A131="",B131=""),"",IF(B131=RptSup,B131&amp;"|"&amp;COUNTIF($B$7:B131,B131),""))</f>
        <v/>
      </c>
    </row>
    <row r="132" customFormat="false" ht="15" hidden="false" customHeight="false" outlineLevel="0" collapsed="false">
      <c r="A132" s="50"/>
      <c r="B132" s="50"/>
      <c r="C132" s="59" t="str">
        <f aca="false">IF(B132="","",IFERROR(INDEX(INV_NAME,MATCH(B132,INV_ID,0)),"CHECK: Supplier ID not found"))</f>
        <v/>
      </c>
      <c r="D132" s="34"/>
      <c r="E132" s="34"/>
      <c r="F132" s="34"/>
      <c r="G132" s="34"/>
      <c r="H132" s="51"/>
      <c r="I132" s="51"/>
      <c r="J132" s="51"/>
      <c r="K132" s="51"/>
      <c r="L132" s="34"/>
      <c r="M132" s="34"/>
      <c r="N132" s="34"/>
      <c r="O132" s="34"/>
      <c r="P132" s="34"/>
      <c r="Q132" s="34"/>
      <c r="R132" s="50"/>
      <c r="S132" s="50"/>
      <c r="T132" s="51"/>
      <c r="U132" s="34"/>
      <c r="V132" s="51"/>
      <c r="W132" s="54" t="str">
        <f aca="false">IF(A132="","",IF(ISNUMBER(I132),IF(I132&lt;AsOf,"Expired",IF(I132&lt;=AsOf+WarnEvidenceDays,"Approaching expiry","Current")),IF(ISNUMBER(K132),IF(K132&lt;AsOf,"Historical period ended "&amp;TEXT(K132,"yyyy-mm-dd")&amp;" - assess relevance; request update","Period current"),"No expiry or period recorded")))</f>
        <v/>
      </c>
      <c r="X132" s="52" t="str">
        <f aca="false">IF(A132="","",IF(OR(N132="Pending verification",N132=""),"Verification pending",""))</f>
        <v/>
      </c>
      <c r="Y132" s="54" t="str">
        <f aca="false">IF(A132="","",IF(R132="Yes","Scope limitation recorded",""))</f>
        <v/>
      </c>
      <c r="Z132" s="52" t="str">
        <f aca="false">IF(A132="","",IF(AND(ISNUMBER(V132),V132&lt;AsOf,U132&lt;&gt;""),"Follow-up overdue",""))</f>
        <v/>
      </c>
      <c r="AA132" s="54" t="str">
        <f aca="false">IF(A132="","",IF(COUNTIF(EV_ID,A132)&gt;1,"CHECK: duplicate ID",IF(B132="","CHECK: Supplier ID missing",IF(COUNTIF(INV_ID,B132)=0,"CHECK: Supplier ID not in inventory","OK"))))</f>
        <v/>
      </c>
      <c r="AB132" s="52" t="str">
        <f aca="false">IF(OR(A132="",B132=""),"",IF(B132=RptSup,B132&amp;"|"&amp;COUNTIF($B$7:B132,B132),""))</f>
        <v/>
      </c>
    </row>
    <row r="133" customFormat="false" ht="15" hidden="false" customHeight="false" outlineLevel="0" collapsed="false">
      <c r="A133" s="50"/>
      <c r="B133" s="50"/>
      <c r="C133" s="59" t="str">
        <f aca="false">IF(B133="","",IFERROR(INDEX(INV_NAME,MATCH(B133,INV_ID,0)),"CHECK: Supplier ID not found"))</f>
        <v/>
      </c>
      <c r="D133" s="34"/>
      <c r="E133" s="34"/>
      <c r="F133" s="34"/>
      <c r="G133" s="34"/>
      <c r="H133" s="51"/>
      <c r="I133" s="51"/>
      <c r="J133" s="51"/>
      <c r="K133" s="51"/>
      <c r="L133" s="34"/>
      <c r="M133" s="34"/>
      <c r="N133" s="34"/>
      <c r="O133" s="34"/>
      <c r="P133" s="34"/>
      <c r="Q133" s="34"/>
      <c r="R133" s="50"/>
      <c r="S133" s="50"/>
      <c r="T133" s="51"/>
      <c r="U133" s="34"/>
      <c r="V133" s="51"/>
      <c r="W133" s="54" t="str">
        <f aca="false">IF(A133="","",IF(ISNUMBER(I133),IF(I133&lt;AsOf,"Expired",IF(I133&lt;=AsOf+WarnEvidenceDays,"Approaching expiry","Current")),IF(ISNUMBER(K133),IF(K133&lt;AsOf,"Historical period ended "&amp;TEXT(K133,"yyyy-mm-dd")&amp;" - assess relevance; request update","Period current"),"No expiry or period recorded")))</f>
        <v/>
      </c>
      <c r="X133" s="52" t="str">
        <f aca="false">IF(A133="","",IF(OR(N133="Pending verification",N133=""),"Verification pending",""))</f>
        <v/>
      </c>
      <c r="Y133" s="54" t="str">
        <f aca="false">IF(A133="","",IF(R133="Yes","Scope limitation recorded",""))</f>
        <v/>
      </c>
      <c r="Z133" s="52" t="str">
        <f aca="false">IF(A133="","",IF(AND(ISNUMBER(V133),V133&lt;AsOf,U133&lt;&gt;""),"Follow-up overdue",""))</f>
        <v/>
      </c>
      <c r="AA133" s="54" t="str">
        <f aca="false">IF(A133="","",IF(COUNTIF(EV_ID,A133)&gt;1,"CHECK: duplicate ID",IF(B133="","CHECK: Supplier ID missing",IF(COUNTIF(INV_ID,B133)=0,"CHECK: Supplier ID not in inventory","OK"))))</f>
        <v/>
      </c>
      <c r="AB133" s="52" t="str">
        <f aca="false">IF(OR(A133="",B133=""),"",IF(B133=RptSup,B133&amp;"|"&amp;COUNTIF($B$7:B133,B133),""))</f>
        <v/>
      </c>
    </row>
    <row r="134" customFormat="false" ht="15" hidden="false" customHeight="false" outlineLevel="0" collapsed="false">
      <c r="A134" s="50"/>
      <c r="B134" s="50"/>
      <c r="C134" s="59" t="str">
        <f aca="false">IF(B134="","",IFERROR(INDEX(INV_NAME,MATCH(B134,INV_ID,0)),"CHECK: Supplier ID not found"))</f>
        <v/>
      </c>
      <c r="D134" s="34"/>
      <c r="E134" s="34"/>
      <c r="F134" s="34"/>
      <c r="G134" s="34"/>
      <c r="H134" s="51"/>
      <c r="I134" s="51"/>
      <c r="J134" s="51"/>
      <c r="K134" s="51"/>
      <c r="L134" s="34"/>
      <c r="M134" s="34"/>
      <c r="N134" s="34"/>
      <c r="O134" s="34"/>
      <c r="P134" s="34"/>
      <c r="Q134" s="34"/>
      <c r="R134" s="50"/>
      <c r="S134" s="50"/>
      <c r="T134" s="51"/>
      <c r="U134" s="34"/>
      <c r="V134" s="51"/>
      <c r="W134" s="54" t="str">
        <f aca="false">IF(A134="","",IF(ISNUMBER(I134),IF(I134&lt;AsOf,"Expired",IF(I134&lt;=AsOf+WarnEvidenceDays,"Approaching expiry","Current")),IF(ISNUMBER(K134),IF(K134&lt;AsOf,"Historical period ended "&amp;TEXT(K134,"yyyy-mm-dd")&amp;" - assess relevance; request update","Period current"),"No expiry or period recorded")))</f>
        <v/>
      </c>
      <c r="X134" s="52" t="str">
        <f aca="false">IF(A134="","",IF(OR(N134="Pending verification",N134=""),"Verification pending",""))</f>
        <v/>
      </c>
      <c r="Y134" s="54" t="str">
        <f aca="false">IF(A134="","",IF(R134="Yes","Scope limitation recorded",""))</f>
        <v/>
      </c>
      <c r="Z134" s="52" t="str">
        <f aca="false">IF(A134="","",IF(AND(ISNUMBER(V134),V134&lt;AsOf,U134&lt;&gt;""),"Follow-up overdue",""))</f>
        <v/>
      </c>
      <c r="AA134" s="54" t="str">
        <f aca="false">IF(A134="","",IF(COUNTIF(EV_ID,A134)&gt;1,"CHECK: duplicate ID",IF(B134="","CHECK: Supplier ID missing",IF(COUNTIF(INV_ID,B134)=0,"CHECK: Supplier ID not in inventory","OK"))))</f>
        <v/>
      </c>
      <c r="AB134" s="52" t="str">
        <f aca="false">IF(OR(A134="",B134=""),"",IF(B134=RptSup,B134&amp;"|"&amp;COUNTIF($B$7:B134,B134),""))</f>
        <v/>
      </c>
    </row>
    <row r="135" customFormat="false" ht="15" hidden="false" customHeight="false" outlineLevel="0" collapsed="false">
      <c r="A135" s="50"/>
      <c r="B135" s="50"/>
      <c r="C135" s="59" t="str">
        <f aca="false">IF(B135="","",IFERROR(INDEX(INV_NAME,MATCH(B135,INV_ID,0)),"CHECK: Supplier ID not found"))</f>
        <v/>
      </c>
      <c r="D135" s="34"/>
      <c r="E135" s="34"/>
      <c r="F135" s="34"/>
      <c r="G135" s="34"/>
      <c r="H135" s="51"/>
      <c r="I135" s="51"/>
      <c r="J135" s="51"/>
      <c r="K135" s="51"/>
      <c r="L135" s="34"/>
      <c r="M135" s="34"/>
      <c r="N135" s="34"/>
      <c r="O135" s="34"/>
      <c r="P135" s="34"/>
      <c r="Q135" s="34"/>
      <c r="R135" s="50"/>
      <c r="S135" s="50"/>
      <c r="T135" s="51"/>
      <c r="U135" s="34"/>
      <c r="V135" s="51"/>
      <c r="W135" s="54" t="str">
        <f aca="false">IF(A135="","",IF(ISNUMBER(I135),IF(I135&lt;AsOf,"Expired",IF(I135&lt;=AsOf+WarnEvidenceDays,"Approaching expiry","Current")),IF(ISNUMBER(K135),IF(K135&lt;AsOf,"Historical period ended "&amp;TEXT(K135,"yyyy-mm-dd")&amp;" - assess relevance; request update","Period current"),"No expiry or period recorded")))</f>
        <v/>
      </c>
      <c r="X135" s="52" t="str">
        <f aca="false">IF(A135="","",IF(OR(N135="Pending verification",N135=""),"Verification pending",""))</f>
        <v/>
      </c>
      <c r="Y135" s="54" t="str">
        <f aca="false">IF(A135="","",IF(R135="Yes","Scope limitation recorded",""))</f>
        <v/>
      </c>
      <c r="Z135" s="52" t="str">
        <f aca="false">IF(A135="","",IF(AND(ISNUMBER(V135),V135&lt;AsOf,U135&lt;&gt;""),"Follow-up overdue",""))</f>
        <v/>
      </c>
      <c r="AA135" s="54" t="str">
        <f aca="false">IF(A135="","",IF(COUNTIF(EV_ID,A135)&gt;1,"CHECK: duplicate ID",IF(B135="","CHECK: Supplier ID missing",IF(COUNTIF(INV_ID,B135)=0,"CHECK: Supplier ID not in inventory","OK"))))</f>
        <v/>
      </c>
      <c r="AB135" s="52" t="str">
        <f aca="false">IF(OR(A135="",B135=""),"",IF(B135=RptSup,B135&amp;"|"&amp;COUNTIF($B$7:B135,B135),""))</f>
        <v/>
      </c>
    </row>
    <row r="136" customFormat="false" ht="15" hidden="false" customHeight="false" outlineLevel="0" collapsed="false">
      <c r="A136" s="50"/>
      <c r="B136" s="50"/>
      <c r="C136" s="59" t="str">
        <f aca="false">IF(B136="","",IFERROR(INDEX(INV_NAME,MATCH(B136,INV_ID,0)),"CHECK: Supplier ID not found"))</f>
        <v/>
      </c>
      <c r="D136" s="34"/>
      <c r="E136" s="34"/>
      <c r="F136" s="34"/>
      <c r="G136" s="34"/>
      <c r="H136" s="51"/>
      <c r="I136" s="51"/>
      <c r="J136" s="51"/>
      <c r="K136" s="51"/>
      <c r="L136" s="34"/>
      <c r="M136" s="34"/>
      <c r="N136" s="34"/>
      <c r="O136" s="34"/>
      <c r="P136" s="34"/>
      <c r="Q136" s="34"/>
      <c r="R136" s="50"/>
      <c r="S136" s="50"/>
      <c r="T136" s="51"/>
      <c r="U136" s="34"/>
      <c r="V136" s="51"/>
      <c r="W136" s="54" t="str">
        <f aca="false">IF(A136="","",IF(ISNUMBER(I136),IF(I136&lt;AsOf,"Expired",IF(I136&lt;=AsOf+WarnEvidenceDays,"Approaching expiry","Current")),IF(ISNUMBER(K136),IF(K136&lt;AsOf,"Historical period ended "&amp;TEXT(K136,"yyyy-mm-dd")&amp;" - assess relevance; request update","Period current"),"No expiry or period recorded")))</f>
        <v/>
      </c>
      <c r="X136" s="52" t="str">
        <f aca="false">IF(A136="","",IF(OR(N136="Pending verification",N136=""),"Verification pending",""))</f>
        <v/>
      </c>
      <c r="Y136" s="54" t="str">
        <f aca="false">IF(A136="","",IF(R136="Yes","Scope limitation recorded",""))</f>
        <v/>
      </c>
      <c r="Z136" s="52" t="str">
        <f aca="false">IF(A136="","",IF(AND(ISNUMBER(V136),V136&lt;AsOf,U136&lt;&gt;""),"Follow-up overdue",""))</f>
        <v/>
      </c>
      <c r="AA136" s="54" t="str">
        <f aca="false">IF(A136="","",IF(COUNTIF(EV_ID,A136)&gt;1,"CHECK: duplicate ID",IF(B136="","CHECK: Supplier ID missing",IF(COUNTIF(INV_ID,B136)=0,"CHECK: Supplier ID not in inventory","OK"))))</f>
        <v/>
      </c>
      <c r="AB136" s="52" t="str">
        <f aca="false">IF(OR(A136="",B136=""),"",IF(B136=RptSup,B136&amp;"|"&amp;COUNTIF($B$7:B136,B136),""))</f>
        <v/>
      </c>
    </row>
    <row r="137" customFormat="false" ht="15" hidden="false" customHeight="false" outlineLevel="0" collapsed="false">
      <c r="A137" s="50"/>
      <c r="B137" s="50"/>
      <c r="C137" s="59" t="str">
        <f aca="false">IF(B137="","",IFERROR(INDEX(INV_NAME,MATCH(B137,INV_ID,0)),"CHECK: Supplier ID not found"))</f>
        <v/>
      </c>
      <c r="D137" s="34"/>
      <c r="E137" s="34"/>
      <c r="F137" s="34"/>
      <c r="G137" s="34"/>
      <c r="H137" s="51"/>
      <c r="I137" s="51"/>
      <c r="J137" s="51"/>
      <c r="K137" s="51"/>
      <c r="L137" s="34"/>
      <c r="M137" s="34"/>
      <c r="N137" s="34"/>
      <c r="O137" s="34"/>
      <c r="P137" s="34"/>
      <c r="Q137" s="34"/>
      <c r="R137" s="50"/>
      <c r="S137" s="50"/>
      <c r="T137" s="51"/>
      <c r="U137" s="34"/>
      <c r="V137" s="51"/>
      <c r="W137" s="54" t="str">
        <f aca="false">IF(A137="","",IF(ISNUMBER(I137),IF(I137&lt;AsOf,"Expired",IF(I137&lt;=AsOf+WarnEvidenceDays,"Approaching expiry","Current")),IF(ISNUMBER(K137),IF(K137&lt;AsOf,"Historical period ended "&amp;TEXT(K137,"yyyy-mm-dd")&amp;" - assess relevance; request update","Period current"),"No expiry or period recorded")))</f>
        <v/>
      </c>
      <c r="X137" s="52" t="str">
        <f aca="false">IF(A137="","",IF(OR(N137="Pending verification",N137=""),"Verification pending",""))</f>
        <v/>
      </c>
      <c r="Y137" s="54" t="str">
        <f aca="false">IF(A137="","",IF(R137="Yes","Scope limitation recorded",""))</f>
        <v/>
      </c>
      <c r="Z137" s="52" t="str">
        <f aca="false">IF(A137="","",IF(AND(ISNUMBER(V137),V137&lt;AsOf,U137&lt;&gt;""),"Follow-up overdue",""))</f>
        <v/>
      </c>
      <c r="AA137" s="54" t="str">
        <f aca="false">IF(A137="","",IF(COUNTIF(EV_ID,A137)&gt;1,"CHECK: duplicate ID",IF(B137="","CHECK: Supplier ID missing",IF(COUNTIF(INV_ID,B137)=0,"CHECK: Supplier ID not in inventory","OK"))))</f>
        <v/>
      </c>
      <c r="AB137" s="52" t="str">
        <f aca="false">IF(OR(A137="",B137=""),"",IF(B137=RptSup,B137&amp;"|"&amp;COUNTIF($B$7:B137,B137),""))</f>
        <v/>
      </c>
    </row>
    <row r="138" customFormat="false" ht="15" hidden="false" customHeight="false" outlineLevel="0" collapsed="false">
      <c r="A138" s="50"/>
      <c r="B138" s="50"/>
      <c r="C138" s="59" t="str">
        <f aca="false">IF(B138="","",IFERROR(INDEX(INV_NAME,MATCH(B138,INV_ID,0)),"CHECK: Supplier ID not found"))</f>
        <v/>
      </c>
      <c r="D138" s="34"/>
      <c r="E138" s="34"/>
      <c r="F138" s="34"/>
      <c r="G138" s="34"/>
      <c r="H138" s="51"/>
      <c r="I138" s="51"/>
      <c r="J138" s="51"/>
      <c r="K138" s="51"/>
      <c r="L138" s="34"/>
      <c r="M138" s="34"/>
      <c r="N138" s="34"/>
      <c r="O138" s="34"/>
      <c r="P138" s="34"/>
      <c r="Q138" s="34"/>
      <c r="R138" s="50"/>
      <c r="S138" s="50"/>
      <c r="T138" s="51"/>
      <c r="U138" s="34"/>
      <c r="V138" s="51"/>
      <c r="W138" s="54" t="str">
        <f aca="false">IF(A138="","",IF(ISNUMBER(I138),IF(I138&lt;AsOf,"Expired",IF(I138&lt;=AsOf+WarnEvidenceDays,"Approaching expiry","Current")),IF(ISNUMBER(K138),IF(K138&lt;AsOf,"Historical period ended "&amp;TEXT(K138,"yyyy-mm-dd")&amp;" - assess relevance; request update","Period current"),"No expiry or period recorded")))</f>
        <v/>
      </c>
      <c r="X138" s="52" t="str">
        <f aca="false">IF(A138="","",IF(OR(N138="Pending verification",N138=""),"Verification pending",""))</f>
        <v/>
      </c>
      <c r="Y138" s="54" t="str">
        <f aca="false">IF(A138="","",IF(R138="Yes","Scope limitation recorded",""))</f>
        <v/>
      </c>
      <c r="Z138" s="52" t="str">
        <f aca="false">IF(A138="","",IF(AND(ISNUMBER(V138),V138&lt;AsOf,U138&lt;&gt;""),"Follow-up overdue",""))</f>
        <v/>
      </c>
      <c r="AA138" s="54" t="str">
        <f aca="false">IF(A138="","",IF(COUNTIF(EV_ID,A138)&gt;1,"CHECK: duplicate ID",IF(B138="","CHECK: Supplier ID missing",IF(COUNTIF(INV_ID,B138)=0,"CHECK: Supplier ID not in inventory","OK"))))</f>
        <v/>
      </c>
      <c r="AB138" s="52" t="str">
        <f aca="false">IF(OR(A138="",B138=""),"",IF(B138=RptSup,B138&amp;"|"&amp;COUNTIF($B$7:B138,B138),""))</f>
        <v/>
      </c>
    </row>
    <row r="139" customFormat="false" ht="15" hidden="false" customHeight="false" outlineLevel="0" collapsed="false">
      <c r="A139" s="50"/>
      <c r="B139" s="50"/>
      <c r="C139" s="59" t="str">
        <f aca="false">IF(B139="","",IFERROR(INDEX(INV_NAME,MATCH(B139,INV_ID,0)),"CHECK: Supplier ID not found"))</f>
        <v/>
      </c>
      <c r="D139" s="34"/>
      <c r="E139" s="34"/>
      <c r="F139" s="34"/>
      <c r="G139" s="34"/>
      <c r="H139" s="51"/>
      <c r="I139" s="51"/>
      <c r="J139" s="51"/>
      <c r="K139" s="51"/>
      <c r="L139" s="34"/>
      <c r="M139" s="34"/>
      <c r="N139" s="34"/>
      <c r="O139" s="34"/>
      <c r="P139" s="34"/>
      <c r="Q139" s="34"/>
      <c r="R139" s="50"/>
      <c r="S139" s="50"/>
      <c r="T139" s="51"/>
      <c r="U139" s="34"/>
      <c r="V139" s="51"/>
      <c r="W139" s="54" t="str">
        <f aca="false">IF(A139="","",IF(ISNUMBER(I139),IF(I139&lt;AsOf,"Expired",IF(I139&lt;=AsOf+WarnEvidenceDays,"Approaching expiry","Current")),IF(ISNUMBER(K139),IF(K139&lt;AsOf,"Historical period ended "&amp;TEXT(K139,"yyyy-mm-dd")&amp;" - assess relevance; request update","Period current"),"No expiry or period recorded")))</f>
        <v/>
      </c>
      <c r="X139" s="52" t="str">
        <f aca="false">IF(A139="","",IF(OR(N139="Pending verification",N139=""),"Verification pending",""))</f>
        <v/>
      </c>
      <c r="Y139" s="54" t="str">
        <f aca="false">IF(A139="","",IF(R139="Yes","Scope limitation recorded",""))</f>
        <v/>
      </c>
      <c r="Z139" s="52" t="str">
        <f aca="false">IF(A139="","",IF(AND(ISNUMBER(V139),V139&lt;AsOf,U139&lt;&gt;""),"Follow-up overdue",""))</f>
        <v/>
      </c>
      <c r="AA139" s="54" t="str">
        <f aca="false">IF(A139="","",IF(COUNTIF(EV_ID,A139)&gt;1,"CHECK: duplicate ID",IF(B139="","CHECK: Supplier ID missing",IF(COUNTIF(INV_ID,B139)=0,"CHECK: Supplier ID not in inventory","OK"))))</f>
        <v/>
      </c>
      <c r="AB139" s="52" t="str">
        <f aca="false">IF(OR(A139="",B139=""),"",IF(B139=RptSup,B139&amp;"|"&amp;COUNTIF($B$7:B139,B139),""))</f>
        <v/>
      </c>
    </row>
    <row r="140" customFormat="false" ht="15" hidden="false" customHeight="false" outlineLevel="0" collapsed="false">
      <c r="A140" s="50"/>
      <c r="B140" s="50"/>
      <c r="C140" s="59" t="str">
        <f aca="false">IF(B140="","",IFERROR(INDEX(INV_NAME,MATCH(B140,INV_ID,0)),"CHECK: Supplier ID not found"))</f>
        <v/>
      </c>
      <c r="D140" s="34"/>
      <c r="E140" s="34"/>
      <c r="F140" s="34"/>
      <c r="G140" s="34"/>
      <c r="H140" s="51"/>
      <c r="I140" s="51"/>
      <c r="J140" s="51"/>
      <c r="K140" s="51"/>
      <c r="L140" s="34"/>
      <c r="M140" s="34"/>
      <c r="N140" s="34"/>
      <c r="O140" s="34"/>
      <c r="P140" s="34"/>
      <c r="Q140" s="34"/>
      <c r="R140" s="50"/>
      <c r="S140" s="50"/>
      <c r="T140" s="51"/>
      <c r="U140" s="34"/>
      <c r="V140" s="51"/>
      <c r="W140" s="54" t="str">
        <f aca="false">IF(A140="","",IF(ISNUMBER(I140),IF(I140&lt;AsOf,"Expired",IF(I140&lt;=AsOf+WarnEvidenceDays,"Approaching expiry","Current")),IF(ISNUMBER(K140),IF(K140&lt;AsOf,"Historical period ended "&amp;TEXT(K140,"yyyy-mm-dd")&amp;" - assess relevance; request update","Period current"),"No expiry or period recorded")))</f>
        <v/>
      </c>
      <c r="X140" s="52" t="str">
        <f aca="false">IF(A140="","",IF(OR(N140="Pending verification",N140=""),"Verification pending",""))</f>
        <v/>
      </c>
      <c r="Y140" s="54" t="str">
        <f aca="false">IF(A140="","",IF(R140="Yes","Scope limitation recorded",""))</f>
        <v/>
      </c>
      <c r="Z140" s="52" t="str">
        <f aca="false">IF(A140="","",IF(AND(ISNUMBER(V140),V140&lt;AsOf,U140&lt;&gt;""),"Follow-up overdue",""))</f>
        <v/>
      </c>
      <c r="AA140" s="54" t="str">
        <f aca="false">IF(A140="","",IF(COUNTIF(EV_ID,A140)&gt;1,"CHECK: duplicate ID",IF(B140="","CHECK: Supplier ID missing",IF(COUNTIF(INV_ID,B140)=0,"CHECK: Supplier ID not in inventory","OK"))))</f>
        <v/>
      </c>
      <c r="AB140" s="52" t="str">
        <f aca="false">IF(OR(A140="",B140=""),"",IF(B140=RptSup,B140&amp;"|"&amp;COUNTIF($B$7:B140,B140),""))</f>
        <v/>
      </c>
    </row>
    <row r="141" customFormat="false" ht="15" hidden="false" customHeight="false" outlineLevel="0" collapsed="false">
      <c r="A141" s="50"/>
      <c r="B141" s="50"/>
      <c r="C141" s="59" t="str">
        <f aca="false">IF(B141="","",IFERROR(INDEX(INV_NAME,MATCH(B141,INV_ID,0)),"CHECK: Supplier ID not found"))</f>
        <v/>
      </c>
      <c r="D141" s="34"/>
      <c r="E141" s="34"/>
      <c r="F141" s="34"/>
      <c r="G141" s="34"/>
      <c r="H141" s="51"/>
      <c r="I141" s="51"/>
      <c r="J141" s="51"/>
      <c r="K141" s="51"/>
      <c r="L141" s="34"/>
      <c r="M141" s="34"/>
      <c r="N141" s="34"/>
      <c r="O141" s="34"/>
      <c r="P141" s="34"/>
      <c r="Q141" s="34"/>
      <c r="R141" s="50"/>
      <c r="S141" s="50"/>
      <c r="T141" s="51"/>
      <c r="U141" s="34"/>
      <c r="V141" s="51"/>
      <c r="W141" s="54" t="str">
        <f aca="false">IF(A141="","",IF(ISNUMBER(I141),IF(I141&lt;AsOf,"Expired",IF(I141&lt;=AsOf+WarnEvidenceDays,"Approaching expiry","Current")),IF(ISNUMBER(K141),IF(K141&lt;AsOf,"Historical period ended "&amp;TEXT(K141,"yyyy-mm-dd")&amp;" - assess relevance; request update","Period current"),"No expiry or period recorded")))</f>
        <v/>
      </c>
      <c r="X141" s="52" t="str">
        <f aca="false">IF(A141="","",IF(OR(N141="Pending verification",N141=""),"Verification pending",""))</f>
        <v/>
      </c>
      <c r="Y141" s="54" t="str">
        <f aca="false">IF(A141="","",IF(R141="Yes","Scope limitation recorded",""))</f>
        <v/>
      </c>
      <c r="Z141" s="52" t="str">
        <f aca="false">IF(A141="","",IF(AND(ISNUMBER(V141),V141&lt;AsOf,U141&lt;&gt;""),"Follow-up overdue",""))</f>
        <v/>
      </c>
      <c r="AA141" s="54" t="str">
        <f aca="false">IF(A141="","",IF(COUNTIF(EV_ID,A141)&gt;1,"CHECK: duplicate ID",IF(B141="","CHECK: Supplier ID missing",IF(COUNTIF(INV_ID,B141)=0,"CHECK: Supplier ID not in inventory","OK"))))</f>
        <v/>
      </c>
      <c r="AB141" s="52" t="str">
        <f aca="false">IF(OR(A141="",B141=""),"",IF(B141=RptSup,B141&amp;"|"&amp;COUNTIF($B$7:B141,B141),""))</f>
        <v/>
      </c>
    </row>
    <row r="142" customFormat="false" ht="15" hidden="false" customHeight="false" outlineLevel="0" collapsed="false">
      <c r="A142" s="50"/>
      <c r="B142" s="50"/>
      <c r="C142" s="59" t="str">
        <f aca="false">IF(B142="","",IFERROR(INDEX(INV_NAME,MATCH(B142,INV_ID,0)),"CHECK: Supplier ID not found"))</f>
        <v/>
      </c>
      <c r="D142" s="34"/>
      <c r="E142" s="34"/>
      <c r="F142" s="34"/>
      <c r="G142" s="34"/>
      <c r="H142" s="51"/>
      <c r="I142" s="51"/>
      <c r="J142" s="51"/>
      <c r="K142" s="51"/>
      <c r="L142" s="34"/>
      <c r="M142" s="34"/>
      <c r="N142" s="34"/>
      <c r="O142" s="34"/>
      <c r="P142" s="34"/>
      <c r="Q142" s="34"/>
      <c r="R142" s="50"/>
      <c r="S142" s="50"/>
      <c r="T142" s="51"/>
      <c r="U142" s="34"/>
      <c r="V142" s="51"/>
      <c r="W142" s="54" t="str">
        <f aca="false">IF(A142="","",IF(ISNUMBER(I142),IF(I142&lt;AsOf,"Expired",IF(I142&lt;=AsOf+WarnEvidenceDays,"Approaching expiry","Current")),IF(ISNUMBER(K142),IF(K142&lt;AsOf,"Historical period ended "&amp;TEXT(K142,"yyyy-mm-dd")&amp;" - assess relevance; request update","Period current"),"No expiry or period recorded")))</f>
        <v/>
      </c>
      <c r="X142" s="52" t="str">
        <f aca="false">IF(A142="","",IF(OR(N142="Pending verification",N142=""),"Verification pending",""))</f>
        <v/>
      </c>
      <c r="Y142" s="54" t="str">
        <f aca="false">IF(A142="","",IF(R142="Yes","Scope limitation recorded",""))</f>
        <v/>
      </c>
      <c r="Z142" s="52" t="str">
        <f aca="false">IF(A142="","",IF(AND(ISNUMBER(V142),V142&lt;AsOf,U142&lt;&gt;""),"Follow-up overdue",""))</f>
        <v/>
      </c>
      <c r="AA142" s="54" t="str">
        <f aca="false">IF(A142="","",IF(COUNTIF(EV_ID,A142)&gt;1,"CHECK: duplicate ID",IF(B142="","CHECK: Supplier ID missing",IF(COUNTIF(INV_ID,B142)=0,"CHECK: Supplier ID not in inventory","OK"))))</f>
        <v/>
      </c>
      <c r="AB142" s="52" t="str">
        <f aca="false">IF(OR(A142="",B142=""),"",IF(B142=RptSup,B142&amp;"|"&amp;COUNTIF($B$7:B142,B142),""))</f>
        <v/>
      </c>
    </row>
    <row r="143" customFormat="false" ht="15" hidden="false" customHeight="false" outlineLevel="0" collapsed="false">
      <c r="A143" s="50"/>
      <c r="B143" s="50"/>
      <c r="C143" s="59" t="str">
        <f aca="false">IF(B143="","",IFERROR(INDEX(INV_NAME,MATCH(B143,INV_ID,0)),"CHECK: Supplier ID not found"))</f>
        <v/>
      </c>
      <c r="D143" s="34"/>
      <c r="E143" s="34"/>
      <c r="F143" s="34"/>
      <c r="G143" s="34"/>
      <c r="H143" s="51"/>
      <c r="I143" s="51"/>
      <c r="J143" s="51"/>
      <c r="K143" s="51"/>
      <c r="L143" s="34"/>
      <c r="M143" s="34"/>
      <c r="N143" s="34"/>
      <c r="O143" s="34"/>
      <c r="P143" s="34"/>
      <c r="Q143" s="34"/>
      <c r="R143" s="50"/>
      <c r="S143" s="50"/>
      <c r="T143" s="51"/>
      <c r="U143" s="34"/>
      <c r="V143" s="51"/>
      <c r="W143" s="54" t="str">
        <f aca="false">IF(A143="","",IF(ISNUMBER(I143),IF(I143&lt;AsOf,"Expired",IF(I143&lt;=AsOf+WarnEvidenceDays,"Approaching expiry","Current")),IF(ISNUMBER(K143),IF(K143&lt;AsOf,"Historical period ended "&amp;TEXT(K143,"yyyy-mm-dd")&amp;" - assess relevance; request update","Period current"),"No expiry or period recorded")))</f>
        <v/>
      </c>
      <c r="X143" s="52" t="str">
        <f aca="false">IF(A143="","",IF(OR(N143="Pending verification",N143=""),"Verification pending",""))</f>
        <v/>
      </c>
      <c r="Y143" s="54" t="str">
        <f aca="false">IF(A143="","",IF(R143="Yes","Scope limitation recorded",""))</f>
        <v/>
      </c>
      <c r="Z143" s="52" t="str">
        <f aca="false">IF(A143="","",IF(AND(ISNUMBER(V143),V143&lt;AsOf,U143&lt;&gt;""),"Follow-up overdue",""))</f>
        <v/>
      </c>
      <c r="AA143" s="54" t="str">
        <f aca="false">IF(A143="","",IF(COUNTIF(EV_ID,A143)&gt;1,"CHECK: duplicate ID",IF(B143="","CHECK: Supplier ID missing",IF(COUNTIF(INV_ID,B143)=0,"CHECK: Supplier ID not in inventory","OK"))))</f>
        <v/>
      </c>
      <c r="AB143" s="52" t="str">
        <f aca="false">IF(OR(A143="",B143=""),"",IF(B143=RptSup,B143&amp;"|"&amp;COUNTIF($B$7:B143,B143),""))</f>
        <v/>
      </c>
    </row>
    <row r="144" customFormat="false" ht="15" hidden="false" customHeight="false" outlineLevel="0" collapsed="false">
      <c r="A144" s="50"/>
      <c r="B144" s="50"/>
      <c r="C144" s="59" t="str">
        <f aca="false">IF(B144="","",IFERROR(INDEX(INV_NAME,MATCH(B144,INV_ID,0)),"CHECK: Supplier ID not found"))</f>
        <v/>
      </c>
      <c r="D144" s="34"/>
      <c r="E144" s="34"/>
      <c r="F144" s="34"/>
      <c r="G144" s="34"/>
      <c r="H144" s="51"/>
      <c r="I144" s="51"/>
      <c r="J144" s="51"/>
      <c r="K144" s="51"/>
      <c r="L144" s="34"/>
      <c r="M144" s="34"/>
      <c r="N144" s="34"/>
      <c r="O144" s="34"/>
      <c r="P144" s="34"/>
      <c r="Q144" s="34"/>
      <c r="R144" s="50"/>
      <c r="S144" s="50"/>
      <c r="T144" s="51"/>
      <c r="U144" s="34"/>
      <c r="V144" s="51"/>
      <c r="W144" s="54" t="str">
        <f aca="false">IF(A144="","",IF(ISNUMBER(I144),IF(I144&lt;AsOf,"Expired",IF(I144&lt;=AsOf+WarnEvidenceDays,"Approaching expiry","Current")),IF(ISNUMBER(K144),IF(K144&lt;AsOf,"Historical period ended "&amp;TEXT(K144,"yyyy-mm-dd")&amp;" - assess relevance; request update","Period current"),"No expiry or period recorded")))</f>
        <v/>
      </c>
      <c r="X144" s="52" t="str">
        <f aca="false">IF(A144="","",IF(OR(N144="Pending verification",N144=""),"Verification pending",""))</f>
        <v/>
      </c>
      <c r="Y144" s="54" t="str">
        <f aca="false">IF(A144="","",IF(R144="Yes","Scope limitation recorded",""))</f>
        <v/>
      </c>
      <c r="Z144" s="52" t="str">
        <f aca="false">IF(A144="","",IF(AND(ISNUMBER(V144),V144&lt;AsOf,U144&lt;&gt;""),"Follow-up overdue",""))</f>
        <v/>
      </c>
      <c r="AA144" s="54" t="str">
        <f aca="false">IF(A144="","",IF(COUNTIF(EV_ID,A144)&gt;1,"CHECK: duplicate ID",IF(B144="","CHECK: Supplier ID missing",IF(COUNTIF(INV_ID,B144)=0,"CHECK: Supplier ID not in inventory","OK"))))</f>
        <v/>
      </c>
      <c r="AB144" s="52" t="str">
        <f aca="false">IF(OR(A144="",B144=""),"",IF(B144=RptSup,B144&amp;"|"&amp;COUNTIF($B$7:B144,B144),""))</f>
        <v/>
      </c>
    </row>
    <row r="145" customFormat="false" ht="15" hidden="false" customHeight="false" outlineLevel="0" collapsed="false">
      <c r="A145" s="50"/>
      <c r="B145" s="50"/>
      <c r="C145" s="59" t="str">
        <f aca="false">IF(B145="","",IFERROR(INDEX(INV_NAME,MATCH(B145,INV_ID,0)),"CHECK: Supplier ID not found"))</f>
        <v/>
      </c>
      <c r="D145" s="34"/>
      <c r="E145" s="34"/>
      <c r="F145" s="34"/>
      <c r="G145" s="34"/>
      <c r="H145" s="51"/>
      <c r="I145" s="51"/>
      <c r="J145" s="51"/>
      <c r="K145" s="51"/>
      <c r="L145" s="34"/>
      <c r="M145" s="34"/>
      <c r="N145" s="34"/>
      <c r="O145" s="34"/>
      <c r="P145" s="34"/>
      <c r="Q145" s="34"/>
      <c r="R145" s="50"/>
      <c r="S145" s="50"/>
      <c r="T145" s="51"/>
      <c r="U145" s="34"/>
      <c r="V145" s="51"/>
      <c r="W145" s="54" t="str">
        <f aca="false">IF(A145="","",IF(ISNUMBER(I145),IF(I145&lt;AsOf,"Expired",IF(I145&lt;=AsOf+WarnEvidenceDays,"Approaching expiry","Current")),IF(ISNUMBER(K145),IF(K145&lt;AsOf,"Historical period ended "&amp;TEXT(K145,"yyyy-mm-dd")&amp;" - assess relevance; request update","Period current"),"No expiry or period recorded")))</f>
        <v/>
      </c>
      <c r="X145" s="52" t="str">
        <f aca="false">IF(A145="","",IF(OR(N145="Pending verification",N145=""),"Verification pending",""))</f>
        <v/>
      </c>
      <c r="Y145" s="54" t="str">
        <f aca="false">IF(A145="","",IF(R145="Yes","Scope limitation recorded",""))</f>
        <v/>
      </c>
      <c r="Z145" s="52" t="str">
        <f aca="false">IF(A145="","",IF(AND(ISNUMBER(V145),V145&lt;AsOf,U145&lt;&gt;""),"Follow-up overdue",""))</f>
        <v/>
      </c>
      <c r="AA145" s="54" t="str">
        <f aca="false">IF(A145="","",IF(COUNTIF(EV_ID,A145)&gt;1,"CHECK: duplicate ID",IF(B145="","CHECK: Supplier ID missing",IF(COUNTIF(INV_ID,B145)=0,"CHECK: Supplier ID not in inventory","OK"))))</f>
        <v/>
      </c>
      <c r="AB145" s="52" t="str">
        <f aca="false">IF(OR(A145="",B145=""),"",IF(B145=RptSup,B145&amp;"|"&amp;COUNTIF($B$7:B145,B145),""))</f>
        <v/>
      </c>
    </row>
    <row r="146" customFormat="false" ht="15" hidden="false" customHeight="false" outlineLevel="0" collapsed="false">
      <c r="A146" s="50"/>
      <c r="B146" s="50"/>
      <c r="C146" s="59" t="str">
        <f aca="false">IF(B146="","",IFERROR(INDEX(INV_NAME,MATCH(B146,INV_ID,0)),"CHECK: Supplier ID not found"))</f>
        <v/>
      </c>
      <c r="D146" s="34"/>
      <c r="E146" s="34"/>
      <c r="F146" s="34"/>
      <c r="G146" s="34"/>
      <c r="H146" s="51"/>
      <c r="I146" s="51"/>
      <c r="J146" s="51"/>
      <c r="K146" s="51"/>
      <c r="L146" s="34"/>
      <c r="M146" s="34"/>
      <c r="N146" s="34"/>
      <c r="O146" s="34"/>
      <c r="P146" s="34"/>
      <c r="Q146" s="34"/>
      <c r="R146" s="50"/>
      <c r="S146" s="50"/>
      <c r="T146" s="51"/>
      <c r="U146" s="34"/>
      <c r="V146" s="51"/>
      <c r="W146" s="54" t="str">
        <f aca="false">IF(A146="","",IF(ISNUMBER(I146),IF(I146&lt;AsOf,"Expired",IF(I146&lt;=AsOf+WarnEvidenceDays,"Approaching expiry","Current")),IF(ISNUMBER(K146),IF(K146&lt;AsOf,"Historical period ended "&amp;TEXT(K146,"yyyy-mm-dd")&amp;" - assess relevance; request update","Period current"),"No expiry or period recorded")))</f>
        <v/>
      </c>
      <c r="X146" s="52" t="str">
        <f aca="false">IF(A146="","",IF(OR(N146="Pending verification",N146=""),"Verification pending",""))</f>
        <v/>
      </c>
      <c r="Y146" s="54" t="str">
        <f aca="false">IF(A146="","",IF(R146="Yes","Scope limitation recorded",""))</f>
        <v/>
      </c>
      <c r="Z146" s="52" t="str">
        <f aca="false">IF(A146="","",IF(AND(ISNUMBER(V146),V146&lt;AsOf,U146&lt;&gt;""),"Follow-up overdue",""))</f>
        <v/>
      </c>
      <c r="AA146" s="54" t="str">
        <f aca="false">IF(A146="","",IF(COUNTIF(EV_ID,A146)&gt;1,"CHECK: duplicate ID",IF(B146="","CHECK: Supplier ID missing",IF(COUNTIF(INV_ID,B146)=0,"CHECK: Supplier ID not in inventory","OK"))))</f>
        <v/>
      </c>
      <c r="AB146" s="52" t="str">
        <f aca="false">IF(OR(A146="",B146=""),"",IF(B146=RptSup,B146&amp;"|"&amp;COUNTIF($B$7:B146,B146),""))</f>
        <v/>
      </c>
    </row>
    <row r="147" customFormat="false" ht="15" hidden="false" customHeight="false" outlineLevel="0" collapsed="false">
      <c r="A147" s="50"/>
      <c r="B147" s="50"/>
      <c r="C147" s="59" t="str">
        <f aca="false">IF(B147="","",IFERROR(INDEX(INV_NAME,MATCH(B147,INV_ID,0)),"CHECK: Supplier ID not found"))</f>
        <v/>
      </c>
      <c r="D147" s="34"/>
      <c r="E147" s="34"/>
      <c r="F147" s="34"/>
      <c r="G147" s="34"/>
      <c r="H147" s="51"/>
      <c r="I147" s="51"/>
      <c r="J147" s="51"/>
      <c r="K147" s="51"/>
      <c r="L147" s="34"/>
      <c r="M147" s="34"/>
      <c r="N147" s="34"/>
      <c r="O147" s="34"/>
      <c r="P147" s="34"/>
      <c r="Q147" s="34"/>
      <c r="R147" s="50"/>
      <c r="S147" s="50"/>
      <c r="T147" s="51"/>
      <c r="U147" s="34"/>
      <c r="V147" s="51"/>
      <c r="W147" s="54" t="str">
        <f aca="false">IF(A147="","",IF(ISNUMBER(I147),IF(I147&lt;AsOf,"Expired",IF(I147&lt;=AsOf+WarnEvidenceDays,"Approaching expiry","Current")),IF(ISNUMBER(K147),IF(K147&lt;AsOf,"Historical period ended "&amp;TEXT(K147,"yyyy-mm-dd")&amp;" - assess relevance; request update","Period current"),"No expiry or period recorded")))</f>
        <v/>
      </c>
      <c r="X147" s="52" t="str">
        <f aca="false">IF(A147="","",IF(OR(N147="Pending verification",N147=""),"Verification pending",""))</f>
        <v/>
      </c>
      <c r="Y147" s="54" t="str">
        <f aca="false">IF(A147="","",IF(R147="Yes","Scope limitation recorded",""))</f>
        <v/>
      </c>
      <c r="Z147" s="52" t="str">
        <f aca="false">IF(A147="","",IF(AND(ISNUMBER(V147),V147&lt;AsOf,U147&lt;&gt;""),"Follow-up overdue",""))</f>
        <v/>
      </c>
      <c r="AA147" s="54" t="str">
        <f aca="false">IF(A147="","",IF(COUNTIF(EV_ID,A147)&gt;1,"CHECK: duplicate ID",IF(B147="","CHECK: Supplier ID missing",IF(COUNTIF(INV_ID,B147)=0,"CHECK: Supplier ID not in inventory","OK"))))</f>
        <v/>
      </c>
      <c r="AB147" s="52" t="str">
        <f aca="false">IF(OR(A147="",B147=""),"",IF(B147=RptSup,B147&amp;"|"&amp;COUNTIF($B$7:B147,B147),""))</f>
        <v/>
      </c>
    </row>
    <row r="148" customFormat="false" ht="15" hidden="false" customHeight="false" outlineLevel="0" collapsed="false">
      <c r="A148" s="50"/>
      <c r="B148" s="50"/>
      <c r="C148" s="59" t="str">
        <f aca="false">IF(B148="","",IFERROR(INDEX(INV_NAME,MATCH(B148,INV_ID,0)),"CHECK: Supplier ID not found"))</f>
        <v/>
      </c>
      <c r="D148" s="34"/>
      <c r="E148" s="34"/>
      <c r="F148" s="34"/>
      <c r="G148" s="34"/>
      <c r="H148" s="51"/>
      <c r="I148" s="51"/>
      <c r="J148" s="51"/>
      <c r="K148" s="51"/>
      <c r="L148" s="34"/>
      <c r="M148" s="34"/>
      <c r="N148" s="34"/>
      <c r="O148" s="34"/>
      <c r="P148" s="34"/>
      <c r="Q148" s="34"/>
      <c r="R148" s="50"/>
      <c r="S148" s="50"/>
      <c r="T148" s="51"/>
      <c r="U148" s="34"/>
      <c r="V148" s="51"/>
      <c r="W148" s="54" t="str">
        <f aca="false">IF(A148="","",IF(ISNUMBER(I148),IF(I148&lt;AsOf,"Expired",IF(I148&lt;=AsOf+WarnEvidenceDays,"Approaching expiry","Current")),IF(ISNUMBER(K148),IF(K148&lt;AsOf,"Historical period ended "&amp;TEXT(K148,"yyyy-mm-dd")&amp;" - assess relevance; request update","Period current"),"No expiry or period recorded")))</f>
        <v/>
      </c>
      <c r="X148" s="52" t="str">
        <f aca="false">IF(A148="","",IF(OR(N148="Pending verification",N148=""),"Verification pending",""))</f>
        <v/>
      </c>
      <c r="Y148" s="54" t="str">
        <f aca="false">IF(A148="","",IF(R148="Yes","Scope limitation recorded",""))</f>
        <v/>
      </c>
      <c r="Z148" s="52" t="str">
        <f aca="false">IF(A148="","",IF(AND(ISNUMBER(V148),V148&lt;AsOf,U148&lt;&gt;""),"Follow-up overdue",""))</f>
        <v/>
      </c>
      <c r="AA148" s="54" t="str">
        <f aca="false">IF(A148="","",IF(COUNTIF(EV_ID,A148)&gt;1,"CHECK: duplicate ID",IF(B148="","CHECK: Supplier ID missing",IF(COUNTIF(INV_ID,B148)=0,"CHECK: Supplier ID not in inventory","OK"))))</f>
        <v/>
      </c>
      <c r="AB148" s="52" t="str">
        <f aca="false">IF(OR(A148="",B148=""),"",IF(B148=RptSup,B148&amp;"|"&amp;COUNTIF($B$7:B148,B148),""))</f>
        <v/>
      </c>
    </row>
    <row r="149" customFormat="false" ht="15" hidden="false" customHeight="false" outlineLevel="0" collapsed="false">
      <c r="A149" s="50"/>
      <c r="B149" s="50"/>
      <c r="C149" s="59" t="str">
        <f aca="false">IF(B149="","",IFERROR(INDEX(INV_NAME,MATCH(B149,INV_ID,0)),"CHECK: Supplier ID not found"))</f>
        <v/>
      </c>
      <c r="D149" s="34"/>
      <c r="E149" s="34"/>
      <c r="F149" s="34"/>
      <c r="G149" s="34"/>
      <c r="H149" s="51"/>
      <c r="I149" s="51"/>
      <c r="J149" s="51"/>
      <c r="K149" s="51"/>
      <c r="L149" s="34"/>
      <c r="M149" s="34"/>
      <c r="N149" s="34"/>
      <c r="O149" s="34"/>
      <c r="P149" s="34"/>
      <c r="Q149" s="34"/>
      <c r="R149" s="50"/>
      <c r="S149" s="50"/>
      <c r="T149" s="51"/>
      <c r="U149" s="34"/>
      <c r="V149" s="51"/>
      <c r="W149" s="54" t="str">
        <f aca="false">IF(A149="","",IF(ISNUMBER(I149),IF(I149&lt;AsOf,"Expired",IF(I149&lt;=AsOf+WarnEvidenceDays,"Approaching expiry","Current")),IF(ISNUMBER(K149),IF(K149&lt;AsOf,"Historical period ended "&amp;TEXT(K149,"yyyy-mm-dd")&amp;" - assess relevance; request update","Period current"),"No expiry or period recorded")))</f>
        <v/>
      </c>
      <c r="X149" s="52" t="str">
        <f aca="false">IF(A149="","",IF(OR(N149="Pending verification",N149=""),"Verification pending",""))</f>
        <v/>
      </c>
      <c r="Y149" s="54" t="str">
        <f aca="false">IF(A149="","",IF(R149="Yes","Scope limitation recorded",""))</f>
        <v/>
      </c>
      <c r="Z149" s="52" t="str">
        <f aca="false">IF(A149="","",IF(AND(ISNUMBER(V149),V149&lt;AsOf,U149&lt;&gt;""),"Follow-up overdue",""))</f>
        <v/>
      </c>
      <c r="AA149" s="54" t="str">
        <f aca="false">IF(A149="","",IF(COUNTIF(EV_ID,A149)&gt;1,"CHECK: duplicate ID",IF(B149="","CHECK: Supplier ID missing",IF(COUNTIF(INV_ID,B149)=0,"CHECK: Supplier ID not in inventory","OK"))))</f>
        <v/>
      </c>
      <c r="AB149" s="52" t="str">
        <f aca="false">IF(OR(A149="",B149=""),"",IF(B149=RptSup,B149&amp;"|"&amp;COUNTIF($B$7:B149,B149),""))</f>
        <v/>
      </c>
    </row>
    <row r="150" customFormat="false" ht="15" hidden="false" customHeight="false" outlineLevel="0" collapsed="false">
      <c r="A150" s="50"/>
      <c r="B150" s="50"/>
      <c r="C150" s="59" t="str">
        <f aca="false">IF(B150="","",IFERROR(INDEX(INV_NAME,MATCH(B150,INV_ID,0)),"CHECK: Supplier ID not found"))</f>
        <v/>
      </c>
      <c r="D150" s="34"/>
      <c r="E150" s="34"/>
      <c r="F150" s="34"/>
      <c r="G150" s="34"/>
      <c r="H150" s="51"/>
      <c r="I150" s="51"/>
      <c r="J150" s="51"/>
      <c r="K150" s="51"/>
      <c r="L150" s="34"/>
      <c r="M150" s="34"/>
      <c r="N150" s="34"/>
      <c r="O150" s="34"/>
      <c r="P150" s="34"/>
      <c r="Q150" s="34"/>
      <c r="R150" s="50"/>
      <c r="S150" s="50"/>
      <c r="T150" s="51"/>
      <c r="U150" s="34"/>
      <c r="V150" s="51"/>
      <c r="W150" s="54" t="str">
        <f aca="false">IF(A150="","",IF(ISNUMBER(I150),IF(I150&lt;AsOf,"Expired",IF(I150&lt;=AsOf+WarnEvidenceDays,"Approaching expiry","Current")),IF(ISNUMBER(K150),IF(K150&lt;AsOf,"Historical period ended "&amp;TEXT(K150,"yyyy-mm-dd")&amp;" - assess relevance; request update","Period current"),"No expiry or period recorded")))</f>
        <v/>
      </c>
      <c r="X150" s="52" t="str">
        <f aca="false">IF(A150="","",IF(OR(N150="Pending verification",N150=""),"Verification pending",""))</f>
        <v/>
      </c>
      <c r="Y150" s="54" t="str">
        <f aca="false">IF(A150="","",IF(R150="Yes","Scope limitation recorded",""))</f>
        <v/>
      </c>
      <c r="Z150" s="52" t="str">
        <f aca="false">IF(A150="","",IF(AND(ISNUMBER(V150),V150&lt;AsOf,U150&lt;&gt;""),"Follow-up overdue",""))</f>
        <v/>
      </c>
      <c r="AA150" s="54" t="str">
        <f aca="false">IF(A150="","",IF(COUNTIF(EV_ID,A150)&gt;1,"CHECK: duplicate ID",IF(B150="","CHECK: Supplier ID missing",IF(COUNTIF(INV_ID,B150)=0,"CHECK: Supplier ID not in inventory","OK"))))</f>
        <v/>
      </c>
      <c r="AB150" s="52" t="str">
        <f aca="false">IF(OR(A150="",B150=""),"",IF(B150=RptSup,B150&amp;"|"&amp;COUNTIF($B$7:B150,B150),""))</f>
        <v/>
      </c>
    </row>
    <row r="151" customFormat="false" ht="15" hidden="false" customHeight="false" outlineLevel="0" collapsed="false">
      <c r="A151" s="50"/>
      <c r="B151" s="50"/>
      <c r="C151" s="59" t="str">
        <f aca="false">IF(B151="","",IFERROR(INDEX(INV_NAME,MATCH(B151,INV_ID,0)),"CHECK: Supplier ID not found"))</f>
        <v/>
      </c>
      <c r="D151" s="34"/>
      <c r="E151" s="34"/>
      <c r="F151" s="34"/>
      <c r="G151" s="34"/>
      <c r="H151" s="51"/>
      <c r="I151" s="51"/>
      <c r="J151" s="51"/>
      <c r="K151" s="51"/>
      <c r="L151" s="34"/>
      <c r="M151" s="34"/>
      <c r="N151" s="34"/>
      <c r="O151" s="34"/>
      <c r="P151" s="34"/>
      <c r="Q151" s="34"/>
      <c r="R151" s="50"/>
      <c r="S151" s="50"/>
      <c r="T151" s="51"/>
      <c r="U151" s="34"/>
      <c r="V151" s="51"/>
      <c r="W151" s="54" t="str">
        <f aca="false">IF(A151="","",IF(ISNUMBER(I151),IF(I151&lt;AsOf,"Expired",IF(I151&lt;=AsOf+WarnEvidenceDays,"Approaching expiry","Current")),IF(ISNUMBER(K151),IF(K151&lt;AsOf,"Historical period ended "&amp;TEXT(K151,"yyyy-mm-dd")&amp;" - assess relevance; request update","Period current"),"No expiry or period recorded")))</f>
        <v/>
      </c>
      <c r="X151" s="52" t="str">
        <f aca="false">IF(A151="","",IF(OR(N151="Pending verification",N151=""),"Verification pending",""))</f>
        <v/>
      </c>
      <c r="Y151" s="54" t="str">
        <f aca="false">IF(A151="","",IF(R151="Yes","Scope limitation recorded",""))</f>
        <v/>
      </c>
      <c r="Z151" s="52" t="str">
        <f aca="false">IF(A151="","",IF(AND(ISNUMBER(V151),V151&lt;AsOf,U151&lt;&gt;""),"Follow-up overdue",""))</f>
        <v/>
      </c>
      <c r="AA151" s="54" t="str">
        <f aca="false">IF(A151="","",IF(COUNTIF(EV_ID,A151)&gt;1,"CHECK: duplicate ID",IF(B151="","CHECK: Supplier ID missing",IF(COUNTIF(INV_ID,B151)=0,"CHECK: Supplier ID not in inventory","OK"))))</f>
        <v/>
      </c>
      <c r="AB151" s="52" t="str">
        <f aca="false">IF(OR(A151="",B151=""),"",IF(B151=RptSup,B151&amp;"|"&amp;COUNTIF($B$7:B151,B151),""))</f>
        <v/>
      </c>
    </row>
    <row r="152" customFormat="false" ht="15" hidden="false" customHeight="false" outlineLevel="0" collapsed="false">
      <c r="A152" s="50"/>
      <c r="B152" s="50"/>
      <c r="C152" s="59" t="str">
        <f aca="false">IF(B152="","",IFERROR(INDEX(INV_NAME,MATCH(B152,INV_ID,0)),"CHECK: Supplier ID not found"))</f>
        <v/>
      </c>
      <c r="D152" s="34"/>
      <c r="E152" s="34"/>
      <c r="F152" s="34"/>
      <c r="G152" s="34"/>
      <c r="H152" s="51"/>
      <c r="I152" s="51"/>
      <c r="J152" s="51"/>
      <c r="K152" s="51"/>
      <c r="L152" s="34"/>
      <c r="M152" s="34"/>
      <c r="N152" s="34"/>
      <c r="O152" s="34"/>
      <c r="P152" s="34"/>
      <c r="Q152" s="34"/>
      <c r="R152" s="50"/>
      <c r="S152" s="50"/>
      <c r="T152" s="51"/>
      <c r="U152" s="34"/>
      <c r="V152" s="51"/>
      <c r="W152" s="54" t="str">
        <f aca="false">IF(A152="","",IF(ISNUMBER(I152),IF(I152&lt;AsOf,"Expired",IF(I152&lt;=AsOf+WarnEvidenceDays,"Approaching expiry","Current")),IF(ISNUMBER(K152),IF(K152&lt;AsOf,"Historical period ended "&amp;TEXT(K152,"yyyy-mm-dd")&amp;" - assess relevance; request update","Period current"),"No expiry or period recorded")))</f>
        <v/>
      </c>
      <c r="X152" s="52" t="str">
        <f aca="false">IF(A152="","",IF(OR(N152="Pending verification",N152=""),"Verification pending",""))</f>
        <v/>
      </c>
      <c r="Y152" s="54" t="str">
        <f aca="false">IF(A152="","",IF(R152="Yes","Scope limitation recorded",""))</f>
        <v/>
      </c>
      <c r="Z152" s="52" t="str">
        <f aca="false">IF(A152="","",IF(AND(ISNUMBER(V152),V152&lt;AsOf,U152&lt;&gt;""),"Follow-up overdue",""))</f>
        <v/>
      </c>
      <c r="AA152" s="54" t="str">
        <f aca="false">IF(A152="","",IF(COUNTIF(EV_ID,A152)&gt;1,"CHECK: duplicate ID",IF(B152="","CHECK: Supplier ID missing",IF(COUNTIF(INV_ID,B152)=0,"CHECK: Supplier ID not in inventory","OK"))))</f>
        <v/>
      </c>
      <c r="AB152" s="52" t="str">
        <f aca="false">IF(OR(A152="",B152=""),"",IF(B152=RptSup,B152&amp;"|"&amp;COUNTIF($B$7:B152,B152),""))</f>
        <v/>
      </c>
    </row>
    <row r="153" customFormat="false" ht="15" hidden="false" customHeight="false" outlineLevel="0" collapsed="false">
      <c r="A153" s="50"/>
      <c r="B153" s="50"/>
      <c r="C153" s="59" t="str">
        <f aca="false">IF(B153="","",IFERROR(INDEX(INV_NAME,MATCH(B153,INV_ID,0)),"CHECK: Supplier ID not found"))</f>
        <v/>
      </c>
      <c r="D153" s="34"/>
      <c r="E153" s="34"/>
      <c r="F153" s="34"/>
      <c r="G153" s="34"/>
      <c r="H153" s="51"/>
      <c r="I153" s="51"/>
      <c r="J153" s="51"/>
      <c r="K153" s="51"/>
      <c r="L153" s="34"/>
      <c r="M153" s="34"/>
      <c r="N153" s="34"/>
      <c r="O153" s="34"/>
      <c r="P153" s="34"/>
      <c r="Q153" s="34"/>
      <c r="R153" s="50"/>
      <c r="S153" s="50"/>
      <c r="T153" s="51"/>
      <c r="U153" s="34"/>
      <c r="V153" s="51"/>
      <c r="W153" s="54" t="str">
        <f aca="false">IF(A153="","",IF(ISNUMBER(I153),IF(I153&lt;AsOf,"Expired",IF(I153&lt;=AsOf+WarnEvidenceDays,"Approaching expiry","Current")),IF(ISNUMBER(K153),IF(K153&lt;AsOf,"Historical period ended "&amp;TEXT(K153,"yyyy-mm-dd")&amp;" - assess relevance; request update","Period current"),"No expiry or period recorded")))</f>
        <v/>
      </c>
      <c r="X153" s="52" t="str">
        <f aca="false">IF(A153="","",IF(OR(N153="Pending verification",N153=""),"Verification pending",""))</f>
        <v/>
      </c>
      <c r="Y153" s="54" t="str">
        <f aca="false">IF(A153="","",IF(R153="Yes","Scope limitation recorded",""))</f>
        <v/>
      </c>
      <c r="Z153" s="52" t="str">
        <f aca="false">IF(A153="","",IF(AND(ISNUMBER(V153),V153&lt;AsOf,U153&lt;&gt;""),"Follow-up overdue",""))</f>
        <v/>
      </c>
      <c r="AA153" s="54" t="str">
        <f aca="false">IF(A153="","",IF(COUNTIF(EV_ID,A153)&gt;1,"CHECK: duplicate ID",IF(B153="","CHECK: Supplier ID missing",IF(COUNTIF(INV_ID,B153)=0,"CHECK: Supplier ID not in inventory","OK"))))</f>
        <v/>
      </c>
      <c r="AB153" s="52" t="str">
        <f aca="false">IF(OR(A153="",B153=""),"",IF(B153=RptSup,B153&amp;"|"&amp;COUNTIF($B$7:B153,B153),""))</f>
        <v/>
      </c>
    </row>
    <row r="154" customFormat="false" ht="15" hidden="false" customHeight="false" outlineLevel="0" collapsed="false">
      <c r="A154" s="50"/>
      <c r="B154" s="50"/>
      <c r="C154" s="59" t="str">
        <f aca="false">IF(B154="","",IFERROR(INDEX(INV_NAME,MATCH(B154,INV_ID,0)),"CHECK: Supplier ID not found"))</f>
        <v/>
      </c>
      <c r="D154" s="34"/>
      <c r="E154" s="34"/>
      <c r="F154" s="34"/>
      <c r="G154" s="34"/>
      <c r="H154" s="51"/>
      <c r="I154" s="51"/>
      <c r="J154" s="51"/>
      <c r="K154" s="51"/>
      <c r="L154" s="34"/>
      <c r="M154" s="34"/>
      <c r="N154" s="34"/>
      <c r="O154" s="34"/>
      <c r="P154" s="34"/>
      <c r="Q154" s="34"/>
      <c r="R154" s="50"/>
      <c r="S154" s="50"/>
      <c r="T154" s="51"/>
      <c r="U154" s="34"/>
      <c r="V154" s="51"/>
      <c r="W154" s="54" t="str">
        <f aca="false">IF(A154="","",IF(ISNUMBER(I154),IF(I154&lt;AsOf,"Expired",IF(I154&lt;=AsOf+WarnEvidenceDays,"Approaching expiry","Current")),IF(ISNUMBER(K154),IF(K154&lt;AsOf,"Historical period ended "&amp;TEXT(K154,"yyyy-mm-dd")&amp;" - assess relevance; request update","Period current"),"No expiry or period recorded")))</f>
        <v/>
      </c>
      <c r="X154" s="52" t="str">
        <f aca="false">IF(A154="","",IF(OR(N154="Pending verification",N154=""),"Verification pending",""))</f>
        <v/>
      </c>
      <c r="Y154" s="54" t="str">
        <f aca="false">IF(A154="","",IF(R154="Yes","Scope limitation recorded",""))</f>
        <v/>
      </c>
      <c r="Z154" s="52" t="str">
        <f aca="false">IF(A154="","",IF(AND(ISNUMBER(V154),V154&lt;AsOf,U154&lt;&gt;""),"Follow-up overdue",""))</f>
        <v/>
      </c>
      <c r="AA154" s="54" t="str">
        <f aca="false">IF(A154="","",IF(COUNTIF(EV_ID,A154)&gt;1,"CHECK: duplicate ID",IF(B154="","CHECK: Supplier ID missing",IF(COUNTIF(INV_ID,B154)=0,"CHECK: Supplier ID not in inventory","OK"))))</f>
        <v/>
      </c>
      <c r="AB154" s="52" t="str">
        <f aca="false">IF(OR(A154="",B154=""),"",IF(B154=RptSup,B154&amp;"|"&amp;COUNTIF($B$7:B154,B154),""))</f>
        <v/>
      </c>
    </row>
    <row r="155" customFormat="false" ht="15" hidden="false" customHeight="false" outlineLevel="0" collapsed="false">
      <c r="A155" s="50"/>
      <c r="B155" s="50"/>
      <c r="C155" s="59" t="str">
        <f aca="false">IF(B155="","",IFERROR(INDEX(INV_NAME,MATCH(B155,INV_ID,0)),"CHECK: Supplier ID not found"))</f>
        <v/>
      </c>
      <c r="D155" s="34"/>
      <c r="E155" s="34"/>
      <c r="F155" s="34"/>
      <c r="G155" s="34"/>
      <c r="H155" s="51"/>
      <c r="I155" s="51"/>
      <c r="J155" s="51"/>
      <c r="K155" s="51"/>
      <c r="L155" s="34"/>
      <c r="M155" s="34"/>
      <c r="N155" s="34"/>
      <c r="O155" s="34"/>
      <c r="P155" s="34"/>
      <c r="Q155" s="34"/>
      <c r="R155" s="50"/>
      <c r="S155" s="50"/>
      <c r="T155" s="51"/>
      <c r="U155" s="34"/>
      <c r="V155" s="51"/>
      <c r="W155" s="54" t="str">
        <f aca="false">IF(A155="","",IF(ISNUMBER(I155),IF(I155&lt;AsOf,"Expired",IF(I155&lt;=AsOf+WarnEvidenceDays,"Approaching expiry","Current")),IF(ISNUMBER(K155),IF(K155&lt;AsOf,"Historical period ended "&amp;TEXT(K155,"yyyy-mm-dd")&amp;" - assess relevance; request update","Period current"),"No expiry or period recorded")))</f>
        <v/>
      </c>
      <c r="X155" s="52" t="str">
        <f aca="false">IF(A155="","",IF(OR(N155="Pending verification",N155=""),"Verification pending",""))</f>
        <v/>
      </c>
      <c r="Y155" s="54" t="str">
        <f aca="false">IF(A155="","",IF(R155="Yes","Scope limitation recorded",""))</f>
        <v/>
      </c>
      <c r="Z155" s="52" t="str">
        <f aca="false">IF(A155="","",IF(AND(ISNUMBER(V155),V155&lt;AsOf,U155&lt;&gt;""),"Follow-up overdue",""))</f>
        <v/>
      </c>
      <c r="AA155" s="54" t="str">
        <f aca="false">IF(A155="","",IF(COUNTIF(EV_ID,A155)&gt;1,"CHECK: duplicate ID",IF(B155="","CHECK: Supplier ID missing",IF(COUNTIF(INV_ID,B155)=0,"CHECK: Supplier ID not in inventory","OK"))))</f>
        <v/>
      </c>
      <c r="AB155" s="52" t="str">
        <f aca="false">IF(OR(A155="",B155=""),"",IF(B155=RptSup,B155&amp;"|"&amp;COUNTIF($B$7:B155,B155),""))</f>
        <v/>
      </c>
    </row>
    <row r="156" customFormat="false" ht="15" hidden="false" customHeight="false" outlineLevel="0" collapsed="false">
      <c r="A156" s="50"/>
      <c r="B156" s="50"/>
      <c r="C156" s="59" t="str">
        <f aca="false">IF(B156="","",IFERROR(INDEX(INV_NAME,MATCH(B156,INV_ID,0)),"CHECK: Supplier ID not found"))</f>
        <v/>
      </c>
      <c r="D156" s="34"/>
      <c r="E156" s="34"/>
      <c r="F156" s="34"/>
      <c r="G156" s="34"/>
      <c r="H156" s="51"/>
      <c r="I156" s="51"/>
      <c r="J156" s="51"/>
      <c r="K156" s="51"/>
      <c r="L156" s="34"/>
      <c r="M156" s="34"/>
      <c r="N156" s="34"/>
      <c r="O156" s="34"/>
      <c r="P156" s="34"/>
      <c r="Q156" s="34"/>
      <c r="R156" s="50"/>
      <c r="S156" s="50"/>
      <c r="T156" s="51"/>
      <c r="U156" s="34"/>
      <c r="V156" s="51"/>
      <c r="W156" s="54" t="str">
        <f aca="false">IF(A156="","",IF(ISNUMBER(I156),IF(I156&lt;AsOf,"Expired",IF(I156&lt;=AsOf+WarnEvidenceDays,"Approaching expiry","Current")),IF(ISNUMBER(K156),IF(K156&lt;AsOf,"Historical period ended "&amp;TEXT(K156,"yyyy-mm-dd")&amp;" - assess relevance; request update","Period current"),"No expiry or period recorded")))</f>
        <v/>
      </c>
      <c r="X156" s="52" t="str">
        <f aca="false">IF(A156="","",IF(OR(N156="Pending verification",N156=""),"Verification pending",""))</f>
        <v/>
      </c>
      <c r="Y156" s="54" t="str">
        <f aca="false">IF(A156="","",IF(R156="Yes","Scope limitation recorded",""))</f>
        <v/>
      </c>
      <c r="Z156" s="52" t="str">
        <f aca="false">IF(A156="","",IF(AND(ISNUMBER(V156),V156&lt;AsOf,U156&lt;&gt;""),"Follow-up overdue",""))</f>
        <v/>
      </c>
      <c r="AA156" s="54" t="str">
        <f aca="false">IF(A156="","",IF(COUNTIF(EV_ID,A156)&gt;1,"CHECK: duplicate ID",IF(B156="","CHECK: Supplier ID missing",IF(COUNTIF(INV_ID,B156)=0,"CHECK: Supplier ID not in inventory","OK"))))</f>
        <v/>
      </c>
      <c r="AB156" s="52" t="str">
        <f aca="false">IF(OR(A156="",B156=""),"",IF(B156=RptSup,B156&amp;"|"&amp;COUNTIF($B$7:B156,B156),""))</f>
        <v/>
      </c>
    </row>
    <row r="157" customFormat="false" ht="15" hidden="false" customHeight="false" outlineLevel="0" collapsed="false">
      <c r="A157" s="50"/>
      <c r="B157" s="50"/>
      <c r="C157" s="59" t="str">
        <f aca="false">IF(B157="","",IFERROR(INDEX(INV_NAME,MATCH(B157,INV_ID,0)),"CHECK: Supplier ID not found"))</f>
        <v/>
      </c>
      <c r="D157" s="34"/>
      <c r="E157" s="34"/>
      <c r="F157" s="34"/>
      <c r="G157" s="34"/>
      <c r="H157" s="51"/>
      <c r="I157" s="51"/>
      <c r="J157" s="51"/>
      <c r="K157" s="51"/>
      <c r="L157" s="34"/>
      <c r="M157" s="34"/>
      <c r="N157" s="34"/>
      <c r="O157" s="34"/>
      <c r="P157" s="34"/>
      <c r="Q157" s="34"/>
      <c r="R157" s="50"/>
      <c r="S157" s="50"/>
      <c r="T157" s="51"/>
      <c r="U157" s="34"/>
      <c r="V157" s="51"/>
      <c r="W157" s="54" t="str">
        <f aca="false">IF(A157="","",IF(ISNUMBER(I157),IF(I157&lt;AsOf,"Expired",IF(I157&lt;=AsOf+WarnEvidenceDays,"Approaching expiry","Current")),IF(ISNUMBER(K157),IF(K157&lt;AsOf,"Historical period ended "&amp;TEXT(K157,"yyyy-mm-dd")&amp;" - assess relevance; request update","Period current"),"No expiry or period recorded")))</f>
        <v/>
      </c>
      <c r="X157" s="52" t="str">
        <f aca="false">IF(A157="","",IF(OR(N157="Pending verification",N157=""),"Verification pending",""))</f>
        <v/>
      </c>
      <c r="Y157" s="54" t="str">
        <f aca="false">IF(A157="","",IF(R157="Yes","Scope limitation recorded",""))</f>
        <v/>
      </c>
      <c r="Z157" s="52" t="str">
        <f aca="false">IF(A157="","",IF(AND(ISNUMBER(V157),V157&lt;AsOf,U157&lt;&gt;""),"Follow-up overdue",""))</f>
        <v/>
      </c>
      <c r="AA157" s="54" t="str">
        <f aca="false">IF(A157="","",IF(COUNTIF(EV_ID,A157)&gt;1,"CHECK: duplicate ID",IF(B157="","CHECK: Supplier ID missing",IF(COUNTIF(INV_ID,B157)=0,"CHECK: Supplier ID not in inventory","OK"))))</f>
        <v/>
      </c>
      <c r="AB157" s="52" t="str">
        <f aca="false">IF(OR(A157="",B157=""),"",IF(B157=RptSup,B157&amp;"|"&amp;COUNTIF($B$7:B157,B157),""))</f>
        <v/>
      </c>
    </row>
    <row r="158" customFormat="false" ht="15" hidden="false" customHeight="false" outlineLevel="0" collapsed="false">
      <c r="A158" s="50"/>
      <c r="B158" s="50"/>
      <c r="C158" s="59" t="str">
        <f aca="false">IF(B158="","",IFERROR(INDEX(INV_NAME,MATCH(B158,INV_ID,0)),"CHECK: Supplier ID not found"))</f>
        <v/>
      </c>
      <c r="D158" s="34"/>
      <c r="E158" s="34"/>
      <c r="F158" s="34"/>
      <c r="G158" s="34"/>
      <c r="H158" s="51"/>
      <c r="I158" s="51"/>
      <c r="J158" s="51"/>
      <c r="K158" s="51"/>
      <c r="L158" s="34"/>
      <c r="M158" s="34"/>
      <c r="N158" s="34"/>
      <c r="O158" s="34"/>
      <c r="P158" s="34"/>
      <c r="Q158" s="34"/>
      <c r="R158" s="50"/>
      <c r="S158" s="50"/>
      <c r="T158" s="51"/>
      <c r="U158" s="34"/>
      <c r="V158" s="51"/>
      <c r="W158" s="54" t="str">
        <f aca="false">IF(A158="","",IF(ISNUMBER(I158),IF(I158&lt;AsOf,"Expired",IF(I158&lt;=AsOf+WarnEvidenceDays,"Approaching expiry","Current")),IF(ISNUMBER(K158),IF(K158&lt;AsOf,"Historical period ended "&amp;TEXT(K158,"yyyy-mm-dd")&amp;" - assess relevance; request update","Period current"),"No expiry or period recorded")))</f>
        <v/>
      </c>
      <c r="X158" s="52" t="str">
        <f aca="false">IF(A158="","",IF(OR(N158="Pending verification",N158=""),"Verification pending",""))</f>
        <v/>
      </c>
      <c r="Y158" s="54" t="str">
        <f aca="false">IF(A158="","",IF(R158="Yes","Scope limitation recorded",""))</f>
        <v/>
      </c>
      <c r="Z158" s="52" t="str">
        <f aca="false">IF(A158="","",IF(AND(ISNUMBER(V158),V158&lt;AsOf,U158&lt;&gt;""),"Follow-up overdue",""))</f>
        <v/>
      </c>
      <c r="AA158" s="54" t="str">
        <f aca="false">IF(A158="","",IF(COUNTIF(EV_ID,A158)&gt;1,"CHECK: duplicate ID",IF(B158="","CHECK: Supplier ID missing",IF(COUNTIF(INV_ID,B158)=0,"CHECK: Supplier ID not in inventory","OK"))))</f>
        <v/>
      </c>
      <c r="AB158" s="52" t="str">
        <f aca="false">IF(OR(A158="",B158=""),"",IF(B158=RptSup,B158&amp;"|"&amp;COUNTIF($B$7:B158,B158),""))</f>
        <v/>
      </c>
    </row>
    <row r="159" customFormat="false" ht="15" hidden="false" customHeight="false" outlineLevel="0" collapsed="false">
      <c r="A159" s="50"/>
      <c r="B159" s="50"/>
      <c r="C159" s="59" t="str">
        <f aca="false">IF(B159="","",IFERROR(INDEX(INV_NAME,MATCH(B159,INV_ID,0)),"CHECK: Supplier ID not found"))</f>
        <v/>
      </c>
      <c r="D159" s="34"/>
      <c r="E159" s="34"/>
      <c r="F159" s="34"/>
      <c r="G159" s="34"/>
      <c r="H159" s="51"/>
      <c r="I159" s="51"/>
      <c r="J159" s="51"/>
      <c r="K159" s="51"/>
      <c r="L159" s="34"/>
      <c r="M159" s="34"/>
      <c r="N159" s="34"/>
      <c r="O159" s="34"/>
      <c r="P159" s="34"/>
      <c r="Q159" s="34"/>
      <c r="R159" s="50"/>
      <c r="S159" s="50"/>
      <c r="T159" s="51"/>
      <c r="U159" s="34"/>
      <c r="V159" s="51"/>
      <c r="W159" s="54" t="str">
        <f aca="false">IF(A159="","",IF(ISNUMBER(I159),IF(I159&lt;AsOf,"Expired",IF(I159&lt;=AsOf+WarnEvidenceDays,"Approaching expiry","Current")),IF(ISNUMBER(K159),IF(K159&lt;AsOf,"Historical period ended "&amp;TEXT(K159,"yyyy-mm-dd")&amp;" - assess relevance; request update","Period current"),"No expiry or period recorded")))</f>
        <v/>
      </c>
      <c r="X159" s="52" t="str">
        <f aca="false">IF(A159="","",IF(OR(N159="Pending verification",N159=""),"Verification pending",""))</f>
        <v/>
      </c>
      <c r="Y159" s="54" t="str">
        <f aca="false">IF(A159="","",IF(R159="Yes","Scope limitation recorded",""))</f>
        <v/>
      </c>
      <c r="Z159" s="52" t="str">
        <f aca="false">IF(A159="","",IF(AND(ISNUMBER(V159),V159&lt;AsOf,U159&lt;&gt;""),"Follow-up overdue",""))</f>
        <v/>
      </c>
      <c r="AA159" s="54" t="str">
        <f aca="false">IF(A159="","",IF(COUNTIF(EV_ID,A159)&gt;1,"CHECK: duplicate ID",IF(B159="","CHECK: Supplier ID missing",IF(COUNTIF(INV_ID,B159)=0,"CHECK: Supplier ID not in inventory","OK"))))</f>
        <v/>
      </c>
      <c r="AB159" s="52" t="str">
        <f aca="false">IF(OR(A159="",B159=""),"",IF(B159=RptSup,B159&amp;"|"&amp;COUNTIF($B$7:B159,B159),""))</f>
        <v/>
      </c>
    </row>
    <row r="160" customFormat="false" ht="15" hidden="false" customHeight="false" outlineLevel="0" collapsed="false">
      <c r="A160" s="50"/>
      <c r="B160" s="50"/>
      <c r="C160" s="59" t="str">
        <f aca="false">IF(B160="","",IFERROR(INDEX(INV_NAME,MATCH(B160,INV_ID,0)),"CHECK: Supplier ID not found"))</f>
        <v/>
      </c>
      <c r="D160" s="34"/>
      <c r="E160" s="34"/>
      <c r="F160" s="34"/>
      <c r="G160" s="34"/>
      <c r="H160" s="51"/>
      <c r="I160" s="51"/>
      <c r="J160" s="51"/>
      <c r="K160" s="51"/>
      <c r="L160" s="34"/>
      <c r="M160" s="34"/>
      <c r="N160" s="34"/>
      <c r="O160" s="34"/>
      <c r="P160" s="34"/>
      <c r="Q160" s="34"/>
      <c r="R160" s="50"/>
      <c r="S160" s="50"/>
      <c r="T160" s="51"/>
      <c r="U160" s="34"/>
      <c r="V160" s="51"/>
      <c r="W160" s="54" t="str">
        <f aca="false">IF(A160="","",IF(ISNUMBER(I160),IF(I160&lt;AsOf,"Expired",IF(I160&lt;=AsOf+WarnEvidenceDays,"Approaching expiry","Current")),IF(ISNUMBER(K160),IF(K160&lt;AsOf,"Historical period ended "&amp;TEXT(K160,"yyyy-mm-dd")&amp;" - assess relevance; request update","Period current"),"No expiry or period recorded")))</f>
        <v/>
      </c>
      <c r="X160" s="52" t="str">
        <f aca="false">IF(A160="","",IF(OR(N160="Pending verification",N160=""),"Verification pending",""))</f>
        <v/>
      </c>
      <c r="Y160" s="54" t="str">
        <f aca="false">IF(A160="","",IF(R160="Yes","Scope limitation recorded",""))</f>
        <v/>
      </c>
      <c r="Z160" s="52" t="str">
        <f aca="false">IF(A160="","",IF(AND(ISNUMBER(V160),V160&lt;AsOf,U160&lt;&gt;""),"Follow-up overdue",""))</f>
        <v/>
      </c>
      <c r="AA160" s="54" t="str">
        <f aca="false">IF(A160="","",IF(COUNTIF(EV_ID,A160)&gt;1,"CHECK: duplicate ID",IF(B160="","CHECK: Supplier ID missing",IF(COUNTIF(INV_ID,B160)=0,"CHECK: Supplier ID not in inventory","OK"))))</f>
        <v/>
      </c>
      <c r="AB160" s="52" t="str">
        <f aca="false">IF(OR(A160="",B160=""),"",IF(B160=RptSup,B160&amp;"|"&amp;COUNTIF($B$7:B160,B160),""))</f>
        <v/>
      </c>
    </row>
    <row r="161" customFormat="false" ht="15" hidden="false" customHeight="false" outlineLevel="0" collapsed="false">
      <c r="A161" s="50"/>
      <c r="B161" s="50"/>
      <c r="C161" s="59" t="str">
        <f aca="false">IF(B161="","",IFERROR(INDEX(INV_NAME,MATCH(B161,INV_ID,0)),"CHECK: Supplier ID not found"))</f>
        <v/>
      </c>
      <c r="D161" s="34"/>
      <c r="E161" s="34"/>
      <c r="F161" s="34"/>
      <c r="G161" s="34"/>
      <c r="H161" s="51"/>
      <c r="I161" s="51"/>
      <c r="J161" s="51"/>
      <c r="K161" s="51"/>
      <c r="L161" s="34"/>
      <c r="M161" s="34"/>
      <c r="N161" s="34"/>
      <c r="O161" s="34"/>
      <c r="P161" s="34"/>
      <c r="Q161" s="34"/>
      <c r="R161" s="50"/>
      <c r="S161" s="50"/>
      <c r="T161" s="51"/>
      <c r="U161" s="34"/>
      <c r="V161" s="51"/>
      <c r="W161" s="54" t="str">
        <f aca="false">IF(A161="","",IF(ISNUMBER(I161),IF(I161&lt;AsOf,"Expired",IF(I161&lt;=AsOf+WarnEvidenceDays,"Approaching expiry","Current")),IF(ISNUMBER(K161),IF(K161&lt;AsOf,"Historical period ended "&amp;TEXT(K161,"yyyy-mm-dd")&amp;" - assess relevance; request update","Period current"),"No expiry or period recorded")))</f>
        <v/>
      </c>
      <c r="X161" s="52" t="str">
        <f aca="false">IF(A161="","",IF(OR(N161="Pending verification",N161=""),"Verification pending",""))</f>
        <v/>
      </c>
      <c r="Y161" s="54" t="str">
        <f aca="false">IF(A161="","",IF(R161="Yes","Scope limitation recorded",""))</f>
        <v/>
      </c>
      <c r="Z161" s="52" t="str">
        <f aca="false">IF(A161="","",IF(AND(ISNUMBER(V161),V161&lt;AsOf,U161&lt;&gt;""),"Follow-up overdue",""))</f>
        <v/>
      </c>
      <c r="AA161" s="54" t="str">
        <f aca="false">IF(A161="","",IF(COUNTIF(EV_ID,A161)&gt;1,"CHECK: duplicate ID",IF(B161="","CHECK: Supplier ID missing",IF(COUNTIF(INV_ID,B161)=0,"CHECK: Supplier ID not in inventory","OK"))))</f>
        <v/>
      </c>
      <c r="AB161" s="52" t="str">
        <f aca="false">IF(OR(A161="",B161=""),"",IF(B161=RptSup,B161&amp;"|"&amp;COUNTIF($B$7:B161,B161),""))</f>
        <v/>
      </c>
    </row>
    <row r="162" customFormat="false" ht="15" hidden="false" customHeight="false" outlineLevel="0" collapsed="false">
      <c r="A162" s="50"/>
      <c r="B162" s="50"/>
      <c r="C162" s="59" t="str">
        <f aca="false">IF(B162="","",IFERROR(INDEX(INV_NAME,MATCH(B162,INV_ID,0)),"CHECK: Supplier ID not found"))</f>
        <v/>
      </c>
      <c r="D162" s="34"/>
      <c r="E162" s="34"/>
      <c r="F162" s="34"/>
      <c r="G162" s="34"/>
      <c r="H162" s="51"/>
      <c r="I162" s="51"/>
      <c r="J162" s="51"/>
      <c r="K162" s="51"/>
      <c r="L162" s="34"/>
      <c r="M162" s="34"/>
      <c r="N162" s="34"/>
      <c r="O162" s="34"/>
      <c r="P162" s="34"/>
      <c r="Q162" s="34"/>
      <c r="R162" s="50"/>
      <c r="S162" s="50"/>
      <c r="T162" s="51"/>
      <c r="U162" s="34"/>
      <c r="V162" s="51"/>
      <c r="W162" s="54" t="str">
        <f aca="false">IF(A162="","",IF(ISNUMBER(I162),IF(I162&lt;AsOf,"Expired",IF(I162&lt;=AsOf+WarnEvidenceDays,"Approaching expiry","Current")),IF(ISNUMBER(K162),IF(K162&lt;AsOf,"Historical period ended "&amp;TEXT(K162,"yyyy-mm-dd")&amp;" - assess relevance; request update","Period current"),"No expiry or period recorded")))</f>
        <v/>
      </c>
      <c r="X162" s="52" t="str">
        <f aca="false">IF(A162="","",IF(OR(N162="Pending verification",N162=""),"Verification pending",""))</f>
        <v/>
      </c>
      <c r="Y162" s="54" t="str">
        <f aca="false">IF(A162="","",IF(R162="Yes","Scope limitation recorded",""))</f>
        <v/>
      </c>
      <c r="Z162" s="52" t="str">
        <f aca="false">IF(A162="","",IF(AND(ISNUMBER(V162),V162&lt;AsOf,U162&lt;&gt;""),"Follow-up overdue",""))</f>
        <v/>
      </c>
      <c r="AA162" s="54" t="str">
        <f aca="false">IF(A162="","",IF(COUNTIF(EV_ID,A162)&gt;1,"CHECK: duplicate ID",IF(B162="","CHECK: Supplier ID missing",IF(COUNTIF(INV_ID,B162)=0,"CHECK: Supplier ID not in inventory","OK"))))</f>
        <v/>
      </c>
      <c r="AB162" s="52" t="str">
        <f aca="false">IF(OR(A162="",B162=""),"",IF(B162=RptSup,B162&amp;"|"&amp;COUNTIF($B$7:B162,B162),""))</f>
        <v/>
      </c>
    </row>
    <row r="163" customFormat="false" ht="15" hidden="false" customHeight="false" outlineLevel="0" collapsed="false">
      <c r="A163" s="50"/>
      <c r="B163" s="50"/>
      <c r="C163" s="59" t="str">
        <f aca="false">IF(B163="","",IFERROR(INDEX(INV_NAME,MATCH(B163,INV_ID,0)),"CHECK: Supplier ID not found"))</f>
        <v/>
      </c>
      <c r="D163" s="34"/>
      <c r="E163" s="34"/>
      <c r="F163" s="34"/>
      <c r="G163" s="34"/>
      <c r="H163" s="51"/>
      <c r="I163" s="51"/>
      <c r="J163" s="51"/>
      <c r="K163" s="51"/>
      <c r="L163" s="34"/>
      <c r="M163" s="34"/>
      <c r="N163" s="34"/>
      <c r="O163" s="34"/>
      <c r="P163" s="34"/>
      <c r="Q163" s="34"/>
      <c r="R163" s="50"/>
      <c r="S163" s="50"/>
      <c r="T163" s="51"/>
      <c r="U163" s="34"/>
      <c r="V163" s="51"/>
      <c r="W163" s="54" t="str">
        <f aca="false">IF(A163="","",IF(ISNUMBER(I163),IF(I163&lt;AsOf,"Expired",IF(I163&lt;=AsOf+WarnEvidenceDays,"Approaching expiry","Current")),IF(ISNUMBER(K163),IF(K163&lt;AsOf,"Historical period ended "&amp;TEXT(K163,"yyyy-mm-dd")&amp;" - assess relevance; request update","Period current"),"No expiry or period recorded")))</f>
        <v/>
      </c>
      <c r="X163" s="52" t="str">
        <f aca="false">IF(A163="","",IF(OR(N163="Pending verification",N163=""),"Verification pending",""))</f>
        <v/>
      </c>
      <c r="Y163" s="54" t="str">
        <f aca="false">IF(A163="","",IF(R163="Yes","Scope limitation recorded",""))</f>
        <v/>
      </c>
      <c r="Z163" s="52" t="str">
        <f aca="false">IF(A163="","",IF(AND(ISNUMBER(V163),V163&lt;AsOf,U163&lt;&gt;""),"Follow-up overdue",""))</f>
        <v/>
      </c>
      <c r="AA163" s="54" t="str">
        <f aca="false">IF(A163="","",IF(COUNTIF(EV_ID,A163)&gt;1,"CHECK: duplicate ID",IF(B163="","CHECK: Supplier ID missing",IF(COUNTIF(INV_ID,B163)=0,"CHECK: Supplier ID not in inventory","OK"))))</f>
        <v/>
      </c>
      <c r="AB163" s="52" t="str">
        <f aca="false">IF(OR(A163="",B163=""),"",IF(B163=RptSup,B163&amp;"|"&amp;COUNTIF($B$7:B163,B163),""))</f>
        <v/>
      </c>
    </row>
    <row r="164" customFormat="false" ht="15" hidden="false" customHeight="false" outlineLevel="0" collapsed="false">
      <c r="A164" s="50"/>
      <c r="B164" s="50"/>
      <c r="C164" s="59" t="str">
        <f aca="false">IF(B164="","",IFERROR(INDEX(INV_NAME,MATCH(B164,INV_ID,0)),"CHECK: Supplier ID not found"))</f>
        <v/>
      </c>
      <c r="D164" s="34"/>
      <c r="E164" s="34"/>
      <c r="F164" s="34"/>
      <c r="G164" s="34"/>
      <c r="H164" s="51"/>
      <c r="I164" s="51"/>
      <c r="J164" s="51"/>
      <c r="K164" s="51"/>
      <c r="L164" s="34"/>
      <c r="M164" s="34"/>
      <c r="N164" s="34"/>
      <c r="O164" s="34"/>
      <c r="P164" s="34"/>
      <c r="Q164" s="34"/>
      <c r="R164" s="50"/>
      <c r="S164" s="50"/>
      <c r="T164" s="51"/>
      <c r="U164" s="34"/>
      <c r="V164" s="51"/>
      <c r="W164" s="54" t="str">
        <f aca="false">IF(A164="","",IF(ISNUMBER(I164),IF(I164&lt;AsOf,"Expired",IF(I164&lt;=AsOf+WarnEvidenceDays,"Approaching expiry","Current")),IF(ISNUMBER(K164),IF(K164&lt;AsOf,"Historical period ended "&amp;TEXT(K164,"yyyy-mm-dd")&amp;" - assess relevance; request update","Period current"),"No expiry or period recorded")))</f>
        <v/>
      </c>
      <c r="X164" s="52" t="str">
        <f aca="false">IF(A164="","",IF(OR(N164="Pending verification",N164=""),"Verification pending",""))</f>
        <v/>
      </c>
      <c r="Y164" s="54" t="str">
        <f aca="false">IF(A164="","",IF(R164="Yes","Scope limitation recorded",""))</f>
        <v/>
      </c>
      <c r="Z164" s="52" t="str">
        <f aca="false">IF(A164="","",IF(AND(ISNUMBER(V164),V164&lt;AsOf,U164&lt;&gt;""),"Follow-up overdue",""))</f>
        <v/>
      </c>
      <c r="AA164" s="54" t="str">
        <f aca="false">IF(A164="","",IF(COUNTIF(EV_ID,A164)&gt;1,"CHECK: duplicate ID",IF(B164="","CHECK: Supplier ID missing",IF(COUNTIF(INV_ID,B164)=0,"CHECK: Supplier ID not in inventory","OK"))))</f>
        <v/>
      </c>
      <c r="AB164" s="52" t="str">
        <f aca="false">IF(OR(A164="",B164=""),"",IF(B164=RptSup,B164&amp;"|"&amp;COUNTIF($B$7:B164,B164),""))</f>
        <v/>
      </c>
    </row>
    <row r="165" customFormat="false" ht="15" hidden="false" customHeight="false" outlineLevel="0" collapsed="false">
      <c r="A165" s="50"/>
      <c r="B165" s="50"/>
      <c r="C165" s="59" t="str">
        <f aca="false">IF(B165="","",IFERROR(INDEX(INV_NAME,MATCH(B165,INV_ID,0)),"CHECK: Supplier ID not found"))</f>
        <v/>
      </c>
      <c r="D165" s="34"/>
      <c r="E165" s="34"/>
      <c r="F165" s="34"/>
      <c r="G165" s="34"/>
      <c r="H165" s="51"/>
      <c r="I165" s="51"/>
      <c r="J165" s="51"/>
      <c r="K165" s="51"/>
      <c r="L165" s="34"/>
      <c r="M165" s="34"/>
      <c r="N165" s="34"/>
      <c r="O165" s="34"/>
      <c r="P165" s="34"/>
      <c r="Q165" s="34"/>
      <c r="R165" s="50"/>
      <c r="S165" s="50"/>
      <c r="T165" s="51"/>
      <c r="U165" s="34"/>
      <c r="V165" s="51"/>
      <c r="W165" s="54" t="str">
        <f aca="false">IF(A165="","",IF(ISNUMBER(I165),IF(I165&lt;AsOf,"Expired",IF(I165&lt;=AsOf+WarnEvidenceDays,"Approaching expiry","Current")),IF(ISNUMBER(K165),IF(K165&lt;AsOf,"Historical period ended "&amp;TEXT(K165,"yyyy-mm-dd")&amp;" - assess relevance; request update","Period current"),"No expiry or period recorded")))</f>
        <v/>
      </c>
      <c r="X165" s="52" t="str">
        <f aca="false">IF(A165="","",IF(OR(N165="Pending verification",N165=""),"Verification pending",""))</f>
        <v/>
      </c>
      <c r="Y165" s="54" t="str">
        <f aca="false">IF(A165="","",IF(R165="Yes","Scope limitation recorded",""))</f>
        <v/>
      </c>
      <c r="Z165" s="52" t="str">
        <f aca="false">IF(A165="","",IF(AND(ISNUMBER(V165),V165&lt;AsOf,U165&lt;&gt;""),"Follow-up overdue",""))</f>
        <v/>
      </c>
      <c r="AA165" s="54" t="str">
        <f aca="false">IF(A165="","",IF(COUNTIF(EV_ID,A165)&gt;1,"CHECK: duplicate ID",IF(B165="","CHECK: Supplier ID missing",IF(COUNTIF(INV_ID,B165)=0,"CHECK: Supplier ID not in inventory","OK"))))</f>
        <v/>
      </c>
      <c r="AB165" s="52" t="str">
        <f aca="false">IF(OR(A165="",B165=""),"",IF(B165=RptSup,B165&amp;"|"&amp;COUNTIF($B$7:B165,B165),""))</f>
        <v/>
      </c>
    </row>
    <row r="166" customFormat="false" ht="15" hidden="false" customHeight="false" outlineLevel="0" collapsed="false">
      <c r="A166" s="50"/>
      <c r="B166" s="50"/>
      <c r="C166" s="59" t="str">
        <f aca="false">IF(B166="","",IFERROR(INDEX(INV_NAME,MATCH(B166,INV_ID,0)),"CHECK: Supplier ID not found"))</f>
        <v/>
      </c>
      <c r="D166" s="34"/>
      <c r="E166" s="34"/>
      <c r="F166" s="34"/>
      <c r="G166" s="34"/>
      <c r="H166" s="51"/>
      <c r="I166" s="51"/>
      <c r="J166" s="51"/>
      <c r="K166" s="51"/>
      <c r="L166" s="34"/>
      <c r="M166" s="34"/>
      <c r="N166" s="34"/>
      <c r="O166" s="34"/>
      <c r="P166" s="34"/>
      <c r="Q166" s="34"/>
      <c r="R166" s="50"/>
      <c r="S166" s="50"/>
      <c r="T166" s="51"/>
      <c r="U166" s="34"/>
      <c r="V166" s="51"/>
      <c r="W166" s="54" t="str">
        <f aca="false">IF(A166="","",IF(ISNUMBER(I166),IF(I166&lt;AsOf,"Expired",IF(I166&lt;=AsOf+WarnEvidenceDays,"Approaching expiry","Current")),IF(ISNUMBER(K166),IF(K166&lt;AsOf,"Historical period ended "&amp;TEXT(K166,"yyyy-mm-dd")&amp;" - assess relevance; request update","Period current"),"No expiry or period recorded")))</f>
        <v/>
      </c>
      <c r="X166" s="52" t="str">
        <f aca="false">IF(A166="","",IF(OR(N166="Pending verification",N166=""),"Verification pending",""))</f>
        <v/>
      </c>
      <c r="Y166" s="54" t="str">
        <f aca="false">IF(A166="","",IF(R166="Yes","Scope limitation recorded",""))</f>
        <v/>
      </c>
      <c r="Z166" s="52" t="str">
        <f aca="false">IF(A166="","",IF(AND(ISNUMBER(V166),V166&lt;AsOf,U166&lt;&gt;""),"Follow-up overdue",""))</f>
        <v/>
      </c>
      <c r="AA166" s="54" t="str">
        <f aca="false">IF(A166="","",IF(COUNTIF(EV_ID,A166)&gt;1,"CHECK: duplicate ID",IF(B166="","CHECK: Supplier ID missing",IF(COUNTIF(INV_ID,B166)=0,"CHECK: Supplier ID not in inventory","OK"))))</f>
        <v/>
      </c>
      <c r="AB166" s="52" t="str">
        <f aca="false">IF(OR(A166="",B166=""),"",IF(B166=RptSup,B166&amp;"|"&amp;COUNTIF($B$7:B166,B166),""))</f>
        <v/>
      </c>
    </row>
    <row r="167" customFormat="false" ht="15" hidden="false" customHeight="false" outlineLevel="0" collapsed="false">
      <c r="A167" s="50"/>
      <c r="B167" s="50"/>
      <c r="C167" s="59" t="str">
        <f aca="false">IF(B167="","",IFERROR(INDEX(INV_NAME,MATCH(B167,INV_ID,0)),"CHECK: Supplier ID not found"))</f>
        <v/>
      </c>
      <c r="D167" s="34"/>
      <c r="E167" s="34"/>
      <c r="F167" s="34"/>
      <c r="G167" s="34"/>
      <c r="H167" s="51"/>
      <c r="I167" s="51"/>
      <c r="J167" s="51"/>
      <c r="K167" s="51"/>
      <c r="L167" s="34"/>
      <c r="M167" s="34"/>
      <c r="N167" s="34"/>
      <c r="O167" s="34"/>
      <c r="P167" s="34"/>
      <c r="Q167" s="34"/>
      <c r="R167" s="50"/>
      <c r="S167" s="50"/>
      <c r="T167" s="51"/>
      <c r="U167" s="34"/>
      <c r="V167" s="51"/>
      <c r="W167" s="54" t="str">
        <f aca="false">IF(A167="","",IF(ISNUMBER(I167),IF(I167&lt;AsOf,"Expired",IF(I167&lt;=AsOf+WarnEvidenceDays,"Approaching expiry","Current")),IF(ISNUMBER(K167),IF(K167&lt;AsOf,"Historical period ended "&amp;TEXT(K167,"yyyy-mm-dd")&amp;" - assess relevance; request update","Period current"),"No expiry or period recorded")))</f>
        <v/>
      </c>
      <c r="X167" s="52" t="str">
        <f aca="false">IF(A167="","",IF(OR(N167="Pending verification",N167=""),"Verification pending",""))</f>
        <v/>
      </c>
      <c r="Y167" s="54" t="str">
        <f aca="false">IF(A167="","",IF(R167="Yes","Scope limitation recorded",""))</f>
        <v/>
      </c>
      <c r="Z167" s="52" t="str">
        <f aca="false">IF(A167="","",IF(AND(ISNUMBER(V167),V167&lt;AsOf,U167&lt;&gt;""),"Follow-up overdue",""))</f>
        <v/>
      </c>
      <c r="AA167" s="54" t="str">
        <f aca="false">IF(A167="","",IF(COUNTIF(EV_ID,A167)&gt;1,"CHECK: duplicate ID",IF(B167="","CHECK: Supplier ID missing",IF(COUNTIF(INV_ID,B167)=0,"CHECK: Supplier ID not in inventory","OK"))))</f>
        <v/>
      </c>
      <c r="AB167" s="52" t="str">
        <f aca="false">IF(OR(A167="",B167=""),"",IF(B167=RptSup,B167&amp;"|"&amp;COUNTIF($B$7:B167,B167),""))</f>
        <v/>
      </c>
    </row>
    <row r="168" customFormat="false" ht="15" hidden="false" customHeight="false" outlineLevel="0" collapsed="false">
      <c r="A168" s="50"/>
      <c r="B168" s="50"/>
      <c r="C168" s="59" t="str">
        <f aca="false">IF(B168="","",IFERROR(INDEX(INV_NAME,MATCH(B168,INV_ID,0)),"CHECK: Supplier ID not found"))</f>
        <v/>
      </c>
      <c r="D168" s="34"/>
      <c r="E168" s="34"/>
      <c r="F168" s="34"/>
      <c r="G168" s="34"/>
      <c r="H168" s="51"/>
      <c r="I168" s="51"/>
      <c r="J168" s="51"/>
      <c r="K168" s="51"/>
      <c r="L168" s="34"/>
      <c r="M168" s="34"/>
      <c r="N168" s="34"/>
      <c r="O168" s="34"/>
      <c r="P168" s="34"/>
      <c r="Q168" s="34"/>
      <c r="R168" s="50"/>
      <c r="S168" s="50"/>
      <c r="T168" s="51"/>
      <c r="U168" s="34"/>
      <c r="V168" s="51"/>
      <c r="W168" s="54" t="str">
        <f aca="false">IF(A168="","",IF(ISNUMBER(I168),IF(I168&lt;AsOf,"Expired",IF(I168&lt;=AsOf+WarnEvidenceDays,"Approaching expiry","Current")),IF(ISNUMBER(K168),IF(K168&lt;AsOf,"Historical period ended "&amp;TEXT(K168,"yyyy-mm-dd")&amp;" - assess relevance; request update","Period current"),"No expiry or period recorded")))</f>
        <v/>
      </c>
      <c r="X168" s="52" t="str">
        <f aca="false">IF(A168="","",IF(OR(N168="Pending verification",N168=""),"Verification pending",""))</f>
        <v/>
      </c>
      <c r="Y168" s="54" t="str">
        <f aca="false">IF(A168="","",IF(R168="Yes","Scope limitation recorded",""))</f>
        <v/>
      </c>
      <c r="Z168" s="52" t="str">
        <f aca="false">IF(A168="","",IF(AND(ISNUMBER(V168),V168&lt;AsOf,U168&lt;&gt;""),"Follow-up overdue",""))</f>
        <v/>
      </c>
      <c r="AA168" s="54" t="str">
        <f aca="false">IF(A168="","",IF(COUNTIF(EV_ID,A168)&gt;1,"CHECK: duplicate ID",IF(B168="","CHECK: Supplier ID missing",IF(COUNTIF(INV_ID,B168)=0,"CHECK: Supplier ID not in inventory","OK"))))</f>
        <v/>
      </c>
      <c r="AB168" s="52" t="str">
        <f aca="false">IF(OR(A168="",B168=""),"",IF(B168=RptSup,B168&amp;"|"&amp;COUNTIF($B$7:B168,B168),""))</f>
        <v/>
      </c>
    </row>
    <row r="169" customFormat="false" ht="15" hidden="false" customHeight="false" outlineLevel="0" collapsed="false">
      <c r="A169" s="50"/>
      <c r="B169" s="50"/>
      <c r="C169" s="59" t="str">
        <f aca="false">IF(B169="","",IFERROR(INDEX(INV_NAME,MATCH(B169,INV_ID,0)),"CHECK: Supplier ID not found"))</f>
        <v/>
      </c>
      <c r="D169" s="34"/>
      <c r="E169" s="34"/>
      <c r="F169" s="34"/>
      <c r="G169" s="34"/>
      <c r="H169" s="51"/>
      <c r="I169" s="51"/>
      <c r="J169" s="51"/>
      <c r="K169" s="51"/>
      <c r="L169" s="34"/>
      <c r="M169" s="34"/>
      <c r="N169" s="34"/>
      <c r="O169" s="34"/>
      <c r="P169" s="34"/>
      <c r="Q169" s="34"/>
      <c r="R169" s="50"/>
      <c r="S169" s="50"/>
      <c r="T169" s="51"/>
      <c r="U169" s="34"/>
      <c r="V169" s="51"/>
      <c r="W169" s="54" t="str">
        <f aca="false">IF(A169="","",IF(ISNUMBER(I169),IF(I169&lt;AsOf,"Expired",IF(I169&lt;=AsOf+WarnEvidenceDays,"Approaching expiry","Current")),IF(ISNUMBER(K169),IF(K169&lt;AsOf,"Historical period ended "&amp;TEXT(K169,"yyyy-mm-dd")&amp;" - assess relevance; request update","Period current"),"No expiry or period recorded")))</f>
        <v/>
      </c>
      <c r="X169" s="52" t="str">
        <f aca="false">IF(A169="","",IF(OR(N169="Pending verification",N169=""),"Verification pending",""))</f>
        <v/>
      </c>
      <c r="Y169" s="54" t="str">
        <f aca="false">IF(A169="","",IF(R169="Yes","Scope limitation recorded",""))</f>
        <v/>
      </c>
      <c r="Z169" s="52" t="str">
        <f aca="false">IF(A169="","",IF(AND(ISNUMBER(V169),V169&lt;AsOf,U169&lt;&gt;""),"Follow-up overdue",""))</f>
        <v/>
      </c>
      <c r="AA169" s="54" t="str">
        <f aca="false">IF(A169="","",IF(COUNTIF(EV_ID,A169)&gt;1,"CHECK: duplicate ID",IF(B169="","CHECK: Supplier ID missing",IF(COUNTIF(INV_ID,B169)=0,"CHECK: Supplier ID not in inventory","OK"))))</f>
        <v/>
      </c>
      <c r="AB169" s="52" t="str">
        <f aca="false">IF(OR(A169="",B169=""),"",IF(B169=RptSup,B169&amp;"|"&amp;COUNTIF($B$7:B169,B169),""))</f>
        <v/>
      </c>
    </row>
    <row r="170" customFormat="false" ht="15" hidden="false" customHeight="false" outlineLevel="0" collapsed="false">
      <c r="A170" s="50"/>
      <c r="B170" s="50"/>
      <c r="C170" s="59" t="str">
        <f aca="false">IF(B170="","",IFERROR(INDEX(INV_NAME,MATCH(B170,INV_ID,0)),"CHECK: Supplier ID not found"))</f>
        <v/>
      </c>
      <c r="D170" s="34"/>
      <c r="E170" s="34"/>
      <c r="F170" s="34"/>
      <c r="G170" s="34"/>
      <c r="H170" s="51"/>
      <c r="I170" s="51"/>
      <c r="J170" s="51"/>
      <c r="K170" s="51"/>
      <c r="L170" s="34"/>
      <c r="M170" s="34"/>
      <c r="N170" s="34"/>
      <c r="O170" s="34"/>
      <c r="P170" s="34"/>
      <c r="Q170" s="34"/>
      <c r="R170" s="50"/>
      <c r="S170" s="50"/>
      <c r="T170" s="51"/>
      <c r="U170" s="34"/>
      <c r="V170" s="51"/>
      <c r="W170" s="54" t="str">
        <f aca="false">IF(A170="","",IF(ISNUMBER(I170),IF(I170&lt;AsOf,"Expired",IF(I170&lt;=AsOf+WarnEvidenceDays,"Approaching expiry","Current")),IF(ISNUMBER(K170),IF(K170&lt;AsOf,"Historical period ended "&amp;TEXT(K170,"yyyy-mm-dd")&amp;" - assess relevance; request update","Period current"),"No expiry or period recorded")))</f>
        <v/>
      </c>
      <c r="X170" s="52" t="str">
        <f aca="false">IF(A170="","",IF(OR(N170="Pending verification",N170=""),"Verification pending",""))</f>
        <v/>
      </c>
      <c r="Y170" s="54" t="str">
        <f aca="false">IF(A170="","",IF(R170="Yes","Scope limitation recorded",""))</f>
        <v/>
      </c>
      <c r="Z170" s="52" t="str">
        <f aca="false">IF(A170="","",IF(AND(ISNUMBER(V170),V170&lt;AsOf,U170&lt;&gt;""),"Follow-up overdue",""))</f>
        <v/>
      </c>
      <c r="AA170" s="54" t="str">
        <f aca="false">IF(A170="","",IF(COUNTIF(EV_ID,A170)&gt;1,"CHECK: duplicate ID",IF(B170="","CHECK: Supplier ID missing",IF(COUNTIF(INV_ID,B170)=0,"CHECK: Supplier ID not in inventory","OK"))))</f>
        <v/>
      </c>
      <c r="AB170" s="52" t="str">
        <f aca="false">IF(OR(A170="",B170=""),"",IF(B170=RptSup,B170&amp;"|"&amp;COUNTIF($B$7:B170,B170),""))</f>
        <v/>
      </c>
    </row>
    <row r="171" customFormat="false" ht="15" hidden="false" customHeight="false" outlineLevel="0" collapsed="false">
      <c r="A171" s="50"/>
      <c r="B171" s="50"/>
      <c r="C171" s="59" t="str">
        <f aca="false">IF(B171="","",IFERROR(INDEX(INV_NAME,MATCH(B171,INV_ID,0)),"CHECK: Supplier ID not found"))</f>
        <v/>
      </c>
      <c r="D171" s="34"/>
      <c r="E171" s="34"/>
      <c r="F171" s="34"/>
      <c r="G171" s="34"/>
      <c r="H171" s="51"/>
      <c r="I171" s="51"/>
      <c r="J171" s="51"/>
      <c r="K171" s="51"/>
      <c r="L171" s="34"/>
      <c r="M171" s="34"/>
      <c r="N171" s="34"/>
      <c r="O171" s="34"/>
      <c r="P171" s="34"/>
      <c r="Q171" s="34"/>
      <c r="R171" s="50"/>
      <c r="S171" s="50"/>
      <c r="T171" s="51"/>
      <c r="U171" s="34"/>
      <c r="V171" s="51"/>
      <c r="W171" s="54" t="str">
        <f aca="false">IF(A171="","",IF(ISNUMBER(I171),IF(I171&lt;AsOf,"Expired",IF(I171&lt;=AsOf+WarnEvidenceDays,"Approaching expiry","Current")),IF(ISNUMBER(K171),IF(K171&lt;AsOf,"Historical period ended "&amp;TEXT(K171,"yyyy-mm-dd")&amp;" - assess relevance; request update","Period current"),"No expiry or period recorded")))</f>
        <v/>
      </c>
      <c r="X171" s="52" t="str">
        <f aca="false">IF(A171="","",IF(OR(N171="Pending verification",N171=""),"Verification pending",""))</f>
        <v/>
      </c>
      <c r="Y171" s="54" t="str">
        <f aca="false">IF(A171="","",IF(R171="Yes","Scope limitation recorded",""))</f>
        <v/>
      </c>
      <c r="Z171" s="52" t="str">
        <f aca="false">IF(A171="","",IF(AND(ISNUMBER(V171),V171&lt;AsOf,U171&lt;&gt;""),"Follow-up overdue",""))</f>
        <v/>
      </c>
      <c r="AA171" s="54" t="str">
        <f aca="false">IF(A171="","",IF(COUNTIF(EV_ID,A171)&gt;1,"CHECK: duplicate ID",IF(B171="","CHECK: Supplier ID missing",IF(COUNTIF(INV_ID,B171)=0,"CHECK: Supplier ID not in inventory","OK"))))</f>
        <v/>
      </c>
      <c r="AB171" s="52" t="str">
        <f aca="false">IF(OR(A171="",B171=""),"",IF(B171=RptSup,B171&amp;"|"&amp;COUNTIF($B$7:B171,B171),""))</f>
        <v/>
      </c>
    </row>
    <row r="172" customFormat="false" ht="15" hidden="false" customHeight="false" outlineLevel="0" collapsed="false">
      <c r="A172" s="50"/>
      <c r="B172" s="50"/>
      <c r="C172" s="59" t="str">
        <f aca="false">IF(B172="","",IFERROR(INDEX(INV_NAME,MATCH(B172,INV_ID,0)),"CHECK: Supplier ID not found"))</f>
        <v/>
      </c>
      <c r="D172" s="34"/>
      <c r="E172" s="34"/>
      <c r="F172" s="34"/>
      <c r="G172" s="34"/>
      <c r="H172" s="51"/>
      <c r="I172" s="51"/>
      <c r="J172" s="51"/>
      <c r="K172" s="51"/>
      <c r="L172" s="34"/>
      <c r="M172" s="34"/>
      <c r="N172" s="34"/>
      <c r="O172" s="34"/>
      <c r="P172" s="34"/>
      <c r="Q172" s="34"/>
      <c r="R172" s="50"/>
      <c r="S172" s="50"/>
      <c r="T172" s="51"/>
      <c r="U172" s="34"/>
      <c r="V172" s="51"/>
      <c r="W172" s="54" t="str">
        <f aca="false">IF(A172="","",IF(ISNUMBER(I172),IF(I172&lt;AsOf,"Expired",IF(I172&lt;=AsOf+WarnEvidenceDays,"Approaching expiry","Current")),IF(ISNUMBER(K172),IF(K172&lt;AsOf,"Historical period ended "&amp;TEXT(K172,"yyyy-mm-dd")&amp;" - assess relevance; request update","Period current"),"No expiry or period recorded")))</f>
        <v/>
      </c>
      <c r="X172" s="52" t="str">
        <f aca="false">IF(A172="","",IF(OR(N172="Pending verification",N172=""),"Verification pending",""))</f>
        <v/>
      </c>
      <c r="Y172" s="54" t="str">
        <f aca="false">IF(A172="","",IF(R172="Yes","Scope limitation recorded",""))</f>
        <v/>
      </c>
      <c r="Z172" s="52" t="str">
        <f aca="false">IF(A172="","",IF(AND(ISNUMBER(V172),V172&lt;AsOf,U172&lt;&gt;""),"Follow-up overdue",""))</f>
        <v/>
      </c>
      <c r="AA172" s="54" t="str">
        <f aca="false">IF(A172="","",IF(COUNTIF(EV_ID,A172)&gt;1,"CHECK: duplicate ID",IF(B172="","CHECK: Supplier ID missing",IF(COUNTIF(INV_ID,B172)=0,"CHECK: Supplier ID not in inventory","OK"))))</f>
        <v/>
      </c>
      <c r="AB172" s="52" t="str">
        <f aca="false">IF(OR(A172="",B172=""),"",IF(B172=RptSup,B172&amp;"|"&amp;COUNTIF($B$7:B172,B172),""))</f>
        <v/>
      </c>
    </row>
    <row r="173" customFormat="false" ht="15" hidden="false" customHeight="false" outlineLevel="0" collapsed="false">
      <c r="A173" s="50"/>
      <c r="B173" s="50"/>
      <c r="C173" s="59" t="str">
        <f aca="false">IF(B173="","",IFERROR(INDEX(INV_NAME,MATCH(B173,INV_ID,0)),"CHECK: Supplier ID not found"))</f>
        <v/>
      </c>
      <c r="D173" s="34"/>
      <c r="E173" s="34"/>
      <c r="F173" s="34"/>
      <c r="G173" s="34"/>
      <c r="H173" s="51"/>
      <c r="I173" s="51"/>
      <c r="J173" s="51"/>
      <c r="K173" s="51"/>
      <c r="L173" s="34"/>
      <c r="M173" s="34"/>
      <c r="N173" s="34"/>
      <c r="O173" s="34"/>
      <c r="P173" s="34"/>
      <c r="Q173" s="34"/>
      <c r="R173" s="50"/>
      <c r="S173" s="50"/>
      <c r="T173" s="51"/>
      <c r="U173" s="34"/>
      <c r="V173" s="51"/>
      <c r="W173" s="54" t="str">
        <f aca="false">IF(A173="","",IF(ISNUMBER(I173),IF(I173&lt;AsOf,"Expired",IF(I173&lt;=AsOf+WarnEvidenceDays,"Approaching expiry","Current")),IF(ISNUMBER(K173),IF(K173&lt;AsOf,"Historical period ended "&amp;TEXT(K173,"yyyy-mm-dd")&amp;" - assess relevance; request update","Period current"),"No expiry or period recorded")))</f>
        <v/>
      </c>
      <c r="X173" s="52" t="str">
        <f aca="false">IF(A173="","",IF(OR(N173="Pending verification",N173=""),"Verification pending",""))</f>
        <v/>
      </c>
      <c r="Y173" s="54" t="str">
        <f aca="false">IF(A173="","",IF(R173="Yes","Scope limitation recorded",""))</f>
        <v/>
      </c>
      <c r="Z173" s="52" t="str">
        <f aca="false">IF(A173="","",IF(AND(ISNUMBER(V173),V173&lt;AsOf,U173&lt;&gt;""),"Follow-up overdue",""))</f>
        <v/>
      </c>
      <c r="AA173" s="54" t="str">
        <f aca="false">IF(A173="","",IF(COUNTIF(EV_ID,A173)&gt;1,"CHECK: duplicate ID",IF(B173="","CHECK: Supplier ID missing",IF(COUNTIF(INV_ID,B173)=0,"CHECK: Supplier ID not in inventory","OK"))))</f>
        <v/>
      </c>
      <c r="AB173" s="52" t="str">
        <f aca="false">IF(OR(A173="",B173=""),"",IF(B173=RptSup,B173&amp;"|"&amp;COUNTIF($B$7:B173,B173),""))</f>
        <v/>
      </c>
    </row>
    <row r="174" customFormat="false" ht="15" hidden="false" customHeight="false" outlineLevel="0" collapsed="false">
      <c r="A174" s="50"/>
      <c r="B174" s="50"/>
      <c r="C174" s="59" t="str">
        <f aca="false">IF(B174="","",IFERROR(INDEX(INV_NAME,MATCH(B174,INV_ID,0)),"CHECK: Supplier ID not found"))</f>
        <v/>
      </c>
      <c r="D174" s="34"/>
      <c r="E174" s="34"/>
      <c r="F174" s="34"/>
      <c r="G174" s="34"/>
      <c r="H174" s="51"/>
      <c r="I174" s="51"/>
      <c r="J174" s="51"/>
      <c r="K174" s="51"/>
      <c r="L174" s="34"/>
      <c r="M174" s="34"/>
      <c r="N174" s="34"/>
      <c r="O174" s="34"/>
      <c r="P174" s="34"/>
      <c r="Q174" s="34"/>
      <c r="R174" s="50"/>
      <c r="S174" s="50"/>
      <c r="T174" s="51"/>
      <c r="U174" s="34"/>
      <c r="V174" s="51"/>
      <c r="W174" s="54" t="str">
        <f aca="false">IF(A174="","",IF(ISNUMBER(I174),IF(I174&lt;AsOf,"Expired",IF(I174&lt;=AsOf+WarnEvidenceDays,"Approaching expiry","Current")),IF(ISNUMBER(K174),IF(K174&lt;AsOf,"Historical period ended "&amp;TEXT(K174,"yyyy-mm-dd")&amp;" - assess relevance; request update","Period current"),"No expiry or period recorded")))</f>
        <v/>
      </c>
      <c r="X174" s="52" t="str">
        <f aca="false">IF(A174="","",IF(OR(N174="Pending verification",N174=""),"Verification pending",""))</f>
        <v/>
      </c>
      <c r="Y174" s="54" t="str">
        <f aca="false">IF(A174="","",IF(R174="Yes","Scope limitation recorded",""))</f>
        <v/>
      </c>
      <c r="Z174" s="52" t="str">
        <f aca="false">IF(A174="","",IF(AND(ISNUMBER(V174),V174&lt;AsOf,U174&lt;&gt;""),"Follow-up overdue",""))</f>
        <v/>
      </c>
      <c r="AA174" s="54" t="str">
        <f aca="false">IF(A174="","",IF(COUNTIF(EV_ID,A174)&gt;1,"CHECK: duplicate ID",IF(B174="","CHECK: Supplier ID missing",IF(COUNTIF(INV_ID,B174)=0,"CHECK: Supplier ID not in inventory","OK"))))</f>
        <v/>
      </c>
      <c r="AB174" s="52" t="str">
        <f aca="false">IF(OR(A174="",B174=""),"",IF(B174=RptSup,B174&amp;"|"&amp;COUNTIF($B$7:B174,B174),""))</f>
        <v/>
      </c>
    </row>
    <row r="175" customFormat="false" ht="15" hidden="false" customHeight="false" outlineLevel="0" collapsed="false">
      <c r="A175" s="50"/>
      <c r="B175" s="50"/>
      <c r="C175" s="59" t="str">
        <f aca="false">IF(B175="","",IFERROR(INDEX(INV_NAME,MATCH(B175,INV_ID,0)),"CHECK: Supplier ID not found"))</f>
        <v/>
      </c>
      <c r="D175" s="34"/>
      <c r="E175" s="34"/>
      <c r="F175" s="34"/>
      <c r="G175" s="34"/>
      <c r="H175" s="51"/>
      <c r="I175" s="51"/>
      <c r="J175" s="51"/>
      <c r="K175" s="51"/>
      <c r="L175" s="34"/>
      <c r="M175" s="34"/>
      <c r="N175" s="34"/>
      <c r="O175" s="34"/>
      <c r="P175" s="34"/>
      <c r="Q175" s="34"/>
      <c r="R175" s="50"/>
      <c r="S175" s="50"/>
      <c r="T175" s="51"/>
      <c r="U175" s="34"/>
      <c r="V175" s="51"/>
      <c r="W175" s="54" t="str">
        <f aca="false">IF(A175="","",IF(ISNUMBER(I175),IF(I175&lt;AsOf,"Expired",IF(I175&lt;=AsOf+WarnEvidenceDays,"Approaching expiry","Current")),IF(ISNUMBER(K175),IF(K175&lt;AsOf,"Historical period ended "&amp;TEXT(K175,"yyyy-mm-dd")&amp;" - assess relevance; request update","Period current"),"No expiry or period recorded")))</f>
        <v/>
      </c>
      <c r="X175" s="52" t="str">
        <f aca="false">IF(A175="","",IF(OR(N175="Pending verification",N175=""),"Verification pending",""))</f>
        <v/>
      </c>
      <c r="Y175" s="54" t="str">
        <f aca="false">IF(A175="","",IF(R175="Yes","Scope limitation recorded",""))</f>
        <v/>
      </c>
      <c r="Z175" s="52" t="str">
        <f aca="false">IF(A175="","",IF(AND(ISNUMBER(V175),V175&lt;AsOf,U175&lt;&gt;""),"Follow-up overdue",""))</f>
        <v/>
      </c>
      <c r="AA175" s="54" t="str">
        <f aca="false">IF(A175="","",IF(COUNTIF(EV_ID,A175)&gt;1,"CHECK: duplicate ID",IF(B175="","CHECK: Supplier ID missing",IF(COUNTIF(INV_ID,B175)=0,"CHECK: Supplier ID not in inventory","OK"))))</f>
        <v/>
      </c>
      <c r="AB175" s="52" t="str">
        <f aca="false">IF(OR(A175="",B175=""),"",IF(B175=RptSup,B175&amp;"|"&amp;COUNTIF($B$7:B175,B175),""))</f>
        <v/>
      </c>
    </row>
    <row r="176" customFormat="false" ht="15" hidden="false" customHeight="false" outlineLevel="0" collapsed="false">
      <c r="A176" s="50"/>
      <c r="B176" s="50"/>
      <c r="C176" s="59" t="str">
        <f aca="false">IF(B176="","",IFERROR(INDEX(INV_NAME,MATCH(B176,INV_ID,0)),"CHECK: Supplier ID not found"))</f>
        <v/>
      </c>
      <c r="D176" s="34"/>
      <c r="E176" s="34"/>
      <c r="F176" s="34"/>
      <c r="G176" s="34"/>
      <c r="H176" s="51"/>
      <c r="I176" s="51"/>
      <c r="J176" s="51"/>
      <c r="K176" s="51"/>
      <c r="L176" s="34"/>
      <c r="M176" s="34"/>
      <c r="N176" s="34"/>
      <c r="O176" s="34"/>
      <c r="P176" s="34"/>
      <c r="Q176" s="34"/>
      <c r="R176" s="50"/>
      <c r="S176" s="50"/>
      <c r="T176" s="51"/>
      <c r="U176" s="34"/>
      <c r="V176" s="51"/>
      <c r="W176" s="54" t="str">
        <f aca="false">IF(A176="","",IF(ISNUMBER(I176),IF(I176&lt;AsOf,"Expired",IF(I176&lt;=AsOf+WarnEvidenceDays,"Approaching expiry","Current")),IF(ISNUMBER(K176),IF(K176&lt;AsOf,"Historical period ended "&amp;TEXT(K176,"yyyy-mm-dd")&amp;" - assess relevance; request update","Period current"),"No expiry or period recorded")))</f>
        <v/>
      </c>
      <c r="X176" s="52" t="str">
        <f aca="false">IF(A176="","",IF(OR(N176="Pending verification",N176=""),"Verification pending",""))</f>
        <v/>
      </c>
      <c r="Y176" s="54" t="str">
        <f aca="false">IF(A176="","",IF(R176="Yes","Scope limitation recorded",""))</f>
        <v/>
      </c>
      <c r="Z176" s="52" t="str">
        <f aca="false">IF(A176="","",IF(AND(ISNUMBER(V176),V176&lt;AsOf,U176&lt;&gt;""),"Follow-up overdue",""))</f>
        <v/>
      </c>
      <c r="AA176" s="54" t="str">
        <f aca="false">IF(A176="","",IF(COUNTIF(EV_ID,A176)&gt;1,"CHECK: duplicate ID",IF(B176="","CHECK: Supplier ID missing",IF(COUNTIF(INV_ID,B176)=0,"CHECK: Supplier ID not in inventory","OK"))))</f>
        <v/>
      </c>
      <c r="AB176" s="52" t="str">
        <f aca="false">IF(OR(A176="",B176=""),"",IF(B176=RptSup,B176&amp;"|"&amp;COUNTIF($B$7:B176,B176),""))</f>
        <v/>
      </c>
    </row>
    <row r="177" customFormat="false" ht="15" hidden="false" customHeight="false" outlineLevel="0" collapsed="false">
      <c r="A177" s="50"/>
      <c r="B177" s="50"/>
      <c r="C177" s="59" t="str">
        <f aca="false">IF(B177="","",IFERROR(INDEX(INV_NAME,MATCH(B177,INV_ID,0)),"CHECK: Supplier ID not found"))</f>
        <v/>
      </c>
      <c r="D177" s="34"/>
      <c r="E177" s="34"/>
      <c r="F177" s="34"/>
      <c r="G177" s="34"/>
      <c r="H177" s="51"/>
      <c r="I177" s="51"/>
      <c r="J177" s="51"/>
      <c r="K177" s="51"/>
      <c r="L177" s="34"/>
      <c r="M177" s="34"/>
      <c r="N177" s="34"/>
      <c r="O177" s="34"/>
      <c r="P177" s="34"/>
      <c r="Q177" s="34"/>
      <c r="R177" s="50"/>
      <c r="S177" s="50"/>
      <c r="T177" s="51"/>
      <c r="U177" s="34"/>
      <c r="V177" s="51"/>
      <c r="W177" s="54" t="str">
        <f aca="false">IF(A177="","",IF(ISNUMBER(I177),IF(I177&lt;AsOf,"Expired",IF(I177&lt;=AsOf+WarnEvidenceDays,"Approaching expiry","Current")),IF(ISNUMBER(K177),IF(K177&lt;AsOf,"Historical period ended "&amp;TEXT(K177,"yyyy-mm-dd")&amp;" - assess relevance; request update","Period current"),"No expiry or period recorded")))</f>
        <v/>
      </c>
      <c r="X177" s="52" t="str">
        <f aca="false">IF(A177="","",IF(OR(N177="Pending verification",N177=""),"Verification pending",""))</f>
        <v/>
      </c>
      <c r="Y177" s="54" t="str">
        <f aca="false">IF(A177="","",IF(R177="Yes","Scope limitation recorded",""))</f>
        <v/>
      </c>
      <c r="Z177" s="52" t="str">
        <f aca="false">IF(A177="","",IF(AND(ISNUMBER(V177),V177&lt;AsOf,U177&lt;&gt;""),"Follow-up overdue",""))</f>
        <v/>
      </c>
      <c r="AA177" s="54" t="str">
        <f aca="false">IF(A177="","",IF(COUNTIF(EV_ID,A177)&gt;1,"CHECK: duplicate ID",IF(B177="","CHECK: Supplier ID missing",IF(COUNTIF(INV_ID,B177)=0,"CHECK: Supplier ID not in inventory","OK"))))</f>
        <v/>
      </c>
      <c r="AB177" s="52" t="str">
        <f aca="false">IF(OR(A177="",B177=""),"",IF(B177=RptSup,B177&amp;"|"&amp;COUNTIF($B$7:B177,B177),""))</f>
        <v/>
      </c>
    </row>
    <row r="178" customFormat="false" ht="15" hidden="false" customHeight="false" outlineLevel="0" collapsed="false">
      <c r="A178" s="50"/>
      <c r="B178" s="50"/>
      <c r="C178" s="59" t="str">
        <f aca="false">IF(B178="","",IFERROR(INDEX(INV_NAME,MATCH(B178,INV_ID,0)),"CHECK: Supplier ID not found"))</f>
        <v/>
      </c>
      <c r="D178" s="34"/>
      <c r="E178" s="34"/>
      <c r="F178" s="34"/>
      <c r="G178" s="34"/>
      <c r="H178" s="51"/>
      <c r="I178" s="51"/>
      <c r="J178" s="51"/>
      <c r="K178" s="51"/>
      <c r="L178" s="34"/>
      <c r="M178" s="34"/>
      <c r="N178" s="34"/>
      <c r="O178" s="34"/>
      <c r="P178" s="34"/>
      <c r="Q178" s="34"/>
      <c r="R178" s="50"/>
      <c r="S178" s="50"/>
      <c r="T178" s="51"/>
      <c r="U178" s="34"/>
      <c r="V178" s="51"/>
      <c r="W178" s="54" t="str">
        <f aca="false">IF(A178="","",IF(ISNUMBER(I178),IF(I178&lt;AsOf,"Expired",IF(I178&lt;=AsOf+WarnEvidenceDays,"Approaching expiry","Current")),IF(ISNUMBER(K178),IF(K178&lt;AsOf,"Historical period ended "&amp;TEXT(K178,"yyyy-mm-dd")&amp;" - assess relevance; request update","Period current"),"No expiry or period recorded")))</f>
        <v/>
      </c>
      <c r="X178" s="52" t="str">
        <f aca="false">IF(A178="","",IF(OR(N178="Pending verification",N178=""),"Verification pending",""))</f>
        <v/>
      </c>
      <c r="Y178" s="54" t="str">
        <f aca="false">IF(A178="","",IF(R178="Yes","Scope limitation recorded",""))</f>
        <v/>
      </c>
      <c r="Z178" s="52" t="str">
        <f aca="false">IF(A178="","",IF(AND(ISNUMBER(V178),V178&lt;AsOf,U178&lt;&gt;""),"Follow-up overdue",""))</f>
        <v/>
      </c>
      <c r="AA178" s="54" t="str">
        <f aca="false">IF(A178="","",IF(COUNTIF(EV_ID,A178)&gt;1,"CHECK: duplicate ID",IF(B178="","CHECK: Supplier ID missing",IF(COUNTIF(INV_ID,B178)=0,"CHECK: Supplier ID not in inventory","OK"))))</f>
        <v/>
      </c>
      <c r="AB178" s="52" t="str">
        <f aca="false">IF(OR(A178="",B178=""),"",IF(B178=RptSup,B178&amp;"|"&amp;COUNTIF($B$7:B178,B178),""))</f>
        <v/>
      </c>
    </row>
    <row r="179" customFormat="false" ht="15" hidden="false" customHeight="false" outlineLevel="0" collapsed="false">
      <c r="A179" s="50"/>
      <c r="B179" s="50"/>
      <c r="C179" s="59" t="str">
        <f aca="false">IF(B179="","",IFERROR(INDEX(INV_NAME,MATCH(B179,INV_ID,0)),"CHECK: Supplier ID not found"))</f>
        <v/>
      </c>
      <c r="D179" s="34"/>
      <c r="E179" s="34"/>
      <c r="F179" s="34"/>
      <c r="G179" s="34"/>
      <c r="H179" s="51"/>
      <c r="I179" s="51"/>
      <c r="J179" s="51"/>
      <c r="K179" s="51"/>
      <c r="L179" s="34"/>
      <c r="M179" s="34"/>
      <c r="N179" s="34"/>
      <c r="O179" s="34"/>
      <c r="P179" s="34"/>
      <c r="Q179" s="34"/>
      <c r="R179" s="50"/>
      <c r="S179" s="50"/>
      <c r="T179" s="51"/>
      <c r="U179" s="34"/>
      <c r="V179" s="51"/>
      <c r="W179" s="54" t="str">
        <f aca="false">IF(A179="","",IF(ISNUMBER(I179),IF(I179&lt;AsOf,"Expired",IF(I179&lt;=AsOf+WarnEvidenceDays,"Approaching expiry","Current")),IF(ISNUMBER(K179),IF(K179&lt;AsOf,"Historical period ended "&amp;TEXT(K179,"yyyy-mm-dd")&amp;" - assess relevance; request update","Period current"),"No expiry or period recorded")))</f>
        <v/>
      </c>
      <c r="X179" s="52" t="str">
        <f aca="false">IF(A179="","",IF(OR(N179="Pending verification",N179=""),"Verification pending",""))</f>
        <v/>
      </c>
      <c r="Y179" s="54" t="str">
        <f aca="false">IF(A179="","",IF(R179="Yes","Scope limitation recorded",""))</f>
        <v/>
      </c>
      <c r="Z179" s="52" t="str">
        <f aca="false">IF(A179="","",IF(AND(ISNUMBER(V179),V179&lt;AsOf,U179&lt;&gt;""),"Follow-up overdue",""))</f>
        <v/>
      </c>
      <c r="AA179" s="54" t="str">
        <f aca="false">IF(A179="","",IF(COUNTIF(EV_ID,A179)&gt;1,"CHECK: duplicate ID",IF(B179="","CHECK: Supplier ID missing",IF(COUNTIF(INV_ID,B179)=0,"CHECK: Supplier ID not in inventory","OK"))))</f>
        <v/>
      </c>
      <c r="AB179" s="52" t="str">
        <f aca="false">IF(OR(A179="",B179=""),"",IF(B179=RptSup,B179&amp;"|"&amp;COUNTIF($B$7:B179,B179),""))</f>
        <v/>
      </c>
    </row>
    <row r="180" customFormat="false" ht="15" hidden="false" customHeight="false" outlineLevel="0" collapsed="false">
      <c r="A180" s="50"/>
      <c r="B180" s="50"/>
      <c r="C180" s="59" t="str">
        <f aca="false">IF(B180="","",IFERROR(INDEX(INV_NAME,MATCH(B180,INV_ID,0)),"CHECK: Supplier ID not found"))</f>
        <v/>
      </c>
      <c r="D180" s="34"/>
      <c r="E180" s="34"/>
      <c r="F180" s="34"/>
      <c r="G180" s="34"/>
      <c r="H180" s="51"/>
      <c r="I180" s="51"/>
      <c r="J180" s="51"/>
      <c r="K180" s="51"/>
      <c r="L180" s="34"/>
      <c r="M180" s="34"/>
      <c r="N180" s="34"/>
      <c r="O180" s="34"/>
      <c r="P180" s="34"/>
      <c r="Q180" s="34"/>
      <c r="R180" s="50"/>
      <c r="S180" s="50"/>
      <c r="T180" s="51"/>
      <c r="U180" s="34"/>
      <c r="V180" s="51"/>
      <c r="W180" s="54" t="str">
        <f aca="false">IF(A180="","",IF(ISNUMBER(I180),IF(I180&lt;AsOf,"Expired",IF(I180&lt;=AsOf+WarnEvidenceDays,"Approaching expiry","Current")),IF(ISNUMBER(K180),IF(K180&lt;AsOf,"Historical period ended "&amp;TEXT(K180,"yyyy-mm-dd")&amp;" - assess relevance; request update","Period current"),"No expiry or period recorded")))</f>
        <v/>
      </c>
      <c r="X180" s="52" t="str">
        <f aca="false">IF(A180="","",IF(OR(N180="Pending verification",N180=""),"Verification pending",""))</f>
        <v/>
      </c>
      <c r="Y180" s="54" t="str">
        <f aca="false">IF(A180="","",IF(R180="Yes","Scope limitation recorded",""))</f>
        <v/>
      </c>
      <c r="Z180" s="52" t="str">
        <f aca="false">IF(A180="","",IF(AND(ISNUMBER(V180),V180&lt;AsOf,U180&lt;&gt;""),"Follow-up overdue",""))</f>
        <v/>
      </c>
      <c r="AA180" s="54" t="str">
        <f aca="false">IF(A180="","",IF(COUNTIF(EV_ID,A180)&gt;1,"CHECK: duplicate ID",IF(B180="","CHECK: Supplier ID missing",IF(COUNTIF(INV_ID,B180)=0,"CHECK: Supplier ID not in inventory","OK"))))</f>
        <v/>
      </c>
      <c r="AB180" s="52" t="str">
        <f aca="false">IF(OR(A180="",B180=""),"",IF(B180=RptSup,B180&amp;"|"&amp;COUNTIF($B$7:B180,B180),""))</f>
        <v/>
      </c>
    </row>
    <row r="181" customFormat="false" ht="15" hidden="false" customHeight="false" outlineLevel="0" collapsed="false">
      <c r="A181" s="50"/>
      <c r="B181" s="50"/>
      <c r="C181" s="59" t="str">
        <f aca="false">IF(B181="","",IFERROR(INDEX(INV_NAME,MATCH(B181,INV_ID,0)),"CHECK: Supplier ID not found"))</f>
        <v/>
      </c>
      <c r="D181" s="34"/>
      <c r="E181" s="34"/>
      <c r="F181" s="34"/>
      <c r="G181" s="34"/>
      <c r="H181" s="51"/>
      <c r="I181" s="51"/>
      <c r="J181" s="51"/>
      <c r="K181" s="51"/>
      <c r="L181" s="34"/>
      <c r="M181" s="34"/>
      <c r="N181" s="34"/>
      <c r="O181" s="34"/>
      <c r="P181" s="34"/>
      <c r="Q181" s="34"/>
      <c r="R181" s="50"/>
      <c r="S181" s="50"/>
      <c r="T181" s="51"/>
      <c r="U181" s="34"/>
      <c r="V181" s="51"/>
      <c r="W181" s="54" t="str">
        <f aca="false">IF(A181="","",IF(ISNUMBER(I181),IF(I181&lt;AsOf,"Expired",IF(I181&lt;=AsOf+WarnEvidenceDays,"Approaching expiry","Current")),IF(ISNUMBER(K181),IF(K181&lt;AsOf,"Historical period ended "&amp;TEXT(K181,"yyyy-mm-dd")&amp;" - assess relevance; request update","Period current"),"No expiry or period recorded")))</f>
        <v/>
      </c>
      <c r="X181" s="52" t="str">
        <f aca="false">IF(A181="","",IF(OR(N181="Pending verification",N181=""),"Verification pending",""))</f>
        <v/>
      </c>
      <c r="Y181" s="54" t="str">
        <f aca="false">IF(A181="","",IF(R181="Yes","Scope limitation recorded",""))</f>
        <v/>
      </c>
      <c r="Z181" s="52" t="str">
        <f aca="false">IF(A181="","",IF(AND(ISNUMBER(V181),V181&lt;AsOf,U181&lt;&gt;""),"Follow-up overdue",""))</f>
        <v/>
      </c>
      <c r="AA181" s="54" t="str">
        <f aca="false">IF(A181="","",IF(COUNTIF(EV_ID,A181)&gt;1,"CHECK: duplicate ID",IF(B181="","CHECK: Supplier ID missing",IF(COUNTIF(INV_ID,B181)=0,"CHECK: Supplier ID not in inventory","OK"))))</f>
        <v/>
      </c>
      <c r="AB181" s="52" t="str">
        <f aca="false">IF(OR(A181="",B181=""),"",IF(B181=RptSup,B181&amp;"|"&amp;COUNTIF($B$7:B181,B181),""))</f>
        <v/>
      </c>
    </row>
    <row r="182" customFormat="false" ht="15" hidden="false" customHeight="false" outlineLevel="0" collapsed="false">
      <c r="A182" s="50"/>
      <c r="B182" s="50"/>
      <c r="C182" s="59" t="str">
        <f aca="false">IF(B182="","",IFERROR(INDEX(INV_NAME,MATCH(B182,INV_ID,0)),"CHECK: Supplier ID not found"))</f>
        <v/>
      </c>
      <c r="D182" s="34"/>
      <c r="E182" s="34"/>
      <c r="F182" s="34"/>
      <c r="G182" s="34"/>
      <c r="H182" s="51"/>
      <c r="I182" s="51"/>
      <c r="J182" s="51"/>
      <c r="K182" s="51"/>
      <c r="L182" s="34"/>
      <c r="M182" s="34"/>
      <c r="N182" s="34"/>
      <c r="O182" s="34"/>
      <c r="P182" s="34"/>
      <c r="Q182" s="34"/>
      <c r="R182" s="50"/>
      <c r="S182" s="50"/>
      <c r="T182" s="51"/>
      <c r="U182" s="34"/>
      <c r="V182" s="51"/>
      <c r="W182" s="54" t="str">
        <f aca="false">IF(A182="","",IF(ISNUMBER(I182),IF(I182&lt;AsOf,"Expired",IF(I182&lt;=AsOf+WarnEvidenceDays,"Approaching expiry","Current")),IF(ISNUMBER(K182),IF(K182&lt;AsOf,"Historical period ended "&amp;TEXT(K182,"yyyy-mm-dd")&amp;" - assess relevance; request update","Period current"),"No expiry or period recorded")))</f>
        <v/>
      </c>
      <c r="X182" s="52" t="str">
        <f aca="false">IF(A182="","",IF(OR(N182="Pending verification",N182=""),"Verification pending",""))</f>
        <v/>
      </c>
      <c r="Y182" s="54" t="str">
        <f aca="false">IF(A182="","",IF(R182="Yes","Scope limitation recorded",""))</f>
        <v/>
      </c>
      <c r="Z182" s="52" t="str">
        <f aca="false">IF(A182="","",IF(AND(ISNUMBER(V182),V182&lt;AsOf,U182&lt;&gt;""),"Follow-up overdue",""))</f>
        <v/>
      </c>
      <c r="AA182" s="54" t="str">
        <f aca="false">IF(A182="","",IF(COUNTIF(EV_ID,A182)&gt;1,"CHECK: duplicate ID",IF(B182="","CHECK: Supplier ID missing",IF(COUNTIF(INV_ID,B182)=0,"CHECK: Supplier ID not in inventory","OK"))))</f>
        <v/>
      </c>
      <c r="AB182" s="52" t="str">
        <f aca="false">IF(OR(A182="",B182=""),"",IF(B182=RptSup,B182&amp;"|"&amp;COUNTIF($B$7:B182,B182),""))</f>
        <v/>
      </c>
    </row>
    <row r="183" customFormat="false" ht="15" hidden="false" customHeight="false" outlineLevel="0" collapsed="false">
      <c r="A183" s="50"/>
      <c r="B183" s="50"/>
      <c r="C183" s="59" t="str">
        <f aca="false">IF(B183="","",IFERROR(INDEX(INV_NAME,MATCH(B183,INV_ID,0)),"CHECK: Supplier ID not found"))</f>
        <v/>
      </c>
      <c r="D183" s="34"/>
      <c r="E183" s="34"/>
      <c r="F183" s="34"/>
      <c r="G183" s="34"/>
      <c r="H183" s="51"/>
      <c r="I183" s="51"/>
      <c r="J183" s="51"/>
      <c r="K183" s="51"/>
      <c r="L183" s="34"/>
      <c r="M183" s="34"/>
      <c r="N183" s="34"/>
      <c r="O183" s="34"/>
      <c r="P183" s="34"/>
      <c r="Q183" s="34"/>
      <c r="R183" s="50"/>
      <c r="S183" s="50"/>
      <c r="T183" s="51"/>
      <c r="U183" s="34"/>
      <c r="V183" s="51"/>
      <c r="W183" s="54" t="str">
        <f aca="false">IF(A183="","",IF(ISNUMBER(I183),IF(I183&lt;AsOf,"Expired",IF(I183&lt;=AsOf+WarnEvidenceDays,"Approaching expiry","Current")),IF(ISNUMBER(K183),IF(K183&lt;AsOf,"Historical period ended "&amp;TEXT(K183,"yyyy-mm-dd")&amp;" - assess relevance; request update","Period current"),"No expiry or period recorded")))</f>
        <v/>
      </c>
      <c r="X183" s="52" t="str">
        <f aca="false">IF(A183="","",IF(OR(N183="Pending verification",N183=""),"Verification pending",""))</f>
        <v/>
      </c>
      <c r="Y183" s="54" t="str">
        <f aca="false">IF(A183="","",IF(R183="Yes","Scope limitation recorded",""))</f>
        <v/>
      </c>
      <c r="Z183" s="52" t="str">
        <f aca="false">IF(A183="","",IF(AND(ISNUMBER(V183),V183&lt;AsOf,U183&lt;&gt;""),"Follow-up overdue",""))</f>
        <v/>
      </c>
      <c r="AA183" s="54" t="str">
        <f aca="false">IF(A183="","",IF(COUNTIF(EV_ID,A183)&gt;1,"CHECK: duplicate ID",IF(B183="","CHECK: Supplier ID missing",IF(COUNTIF(INV_ID,B183)=0,"CHECK: Supplier ID not in inventory","OK"))))</f>
        <v/>
      </c>
      <c r="AB183" s="52" t="str">
        <f aca="false">IF(OR(A183="",B183=""),"",IF(B183=RptSup,B183&amp;"|"&amp;COUNTIF($B$7:B183,B183),""))</f>
        <v/>
      </c>
    </row>
    <row r="184" customFormat="false" ht="15" hidden="false" customHeight="false" outlineLevel="0" collapsed="false">
      <c r="A184" s="50"/>
      <c r="B184" s="50"/>
      <c r="C184" s="59" t="str">
        <f aca="false">IF(B184="","",IFERROR(INDEX(INV_NAME,MATCH(B184,INV_ID,0)),"CHECK: Supplier ID not found"))</f>
        <v/>
      </c>
      <c r="D184" s="34"/>
      <c r="E184" s="34"/>
      <c r="F184" s="34"/>
      <c r="G184" s="34"/>
      <c r="H184" s="51"/>
      <c r="I184" s="51"/>
      <c r="J184" s="51"/>
      <c r="K184" s="51"/>
      <c r="L184" s="34"/>
      <c r="M184" s="34"/>
      <c r="N184" s="34"/>
      <c r="O184" s="34"/>
      <c r="P184" s="34"/>
      <c r="Q184" s="34"/>
      <c r="R184" s="50"/>
      <c r="S184" s="50"/>
      <c r="T184" s="51"/>
      <c r="U184" s="34"/>
      <c r="V184" s="51"/>
      <c r="W184" s="54" t="str">
        <f aca="false">IF(A184="","",IF(ISNUMBER(I184),IF(I184&lt;AsOf,"Expired",IF(I184&lt;=AsOf+WarnEvidenceDays,"Approaching expiry","Current")),IF(ISNUMBER(K184),IF(K184&lt;AsOf,"Historical period ended "&amp;TEXT(K184,"yyyy-mm-dd")&amp;" - assess relevance; request update","Period current"),"No expiry or period recorded")))</f>
        <v/>
      </c>
      <c r="X184" s="52" t="str">
        <f aca="false">IF(A184="","",IF(OR(N184="Pending verification",N184=""),"Verification pending",""))</f>
        <v/>
      </c>
      <c r="Y184" s="54" t="str">
        <f aca="false">IF(A184="","",IF(R184="Yes","Scope limitation recorded",""))</f>
        <v/>
      </c>
      <c r="Z184" s="52" t="str">
        <f aca="false">IF(A184="","",IF(AND(ISNUMBER(V184),V184&lt;AsOf,U184&lt;&gt;""),"Follow-up overdue",""))</f>
        <v/>
      </c>
      <c r="AA184" s="54" t="str">
        <f aca="false">IF(A184="","",IF(COUNTIF(EV_ID,A184)&gt;1,"CHECK: duplicate ID",IF(B184="","CHECK: Supplier ID missing",IF(COUNTIF(INV_ID,B184)=0,"CHECK: Supplier ID not in inventory","OK"))))</f>
        <v/>
      </c>
      <c r="AB184" s="52" t="str">
        <f aca="false">IF(OR(A184="",B184=""),"",IF(B184=RptSup,B184&amp;"|"&amp;COUNTIF($B$7:B184,B184),""))</f>
        <v/>
      </c>
    </row>
    <row r="185" customFormat="false" ht="15" hidden="false" customHeight="false" outlineLevel="0" collapsed="false">
      <c r="A185" s="50"/>
      <c r="B185" s="50"/>
      <c r="C185" s="59" t="str">
        <f aca="false">IF(B185="","",IFERROR(INDEX(INV_NAME,MATCH(B185,INV_ID,0)),"CHECK: Supplier ID not found"))</f>
        <v/>
      </c>
      <c r="D185" s="34"/>
      <c r="E185" s="34"/>
      <c r="F185" s="34"/>
      <c r="G185" s="34"/>
      <c r="H185" s="51"/>
      <c r="I185" s="51"/>
      <c r="J185" s="51"/>
      <c r="K185" s="51"/>
      <c r="L185" s="34"/>
      <c r="M185" s="34"/>
      <c r="N185" s="34"/>
      <c r="O185" s="34"/>
      <c r="P185" s="34"/>
      <c r="Q185" s="34"/>
      <c r="R185" s="50"/>
      <c r="S185" s="50"/>
      <c r="T185" s="51"/>
      <c r="U185" s="34"/>
      <c r="V185" s="51"/>
      <c r="W185" s="54" t="str">
        <f aca="false">IF(A185="","",IF(ISNUMBER(I185),IF(I185&lt;AsOf,"Expired",IF(I185&lt;=AsOf+WarnEvidenceDays,"Approaching expiry","Current")),IF(ISNUMBER(K185),IF(K185&lt;AsOf,"Historical period ended "&amp;TEXT(K185,"yyyy-mm-dd")&amp;" - assess relevance; request update","Period current"),"No expiry or period recorded")))</f>
        <v/>
      </c>
      <c r="X185" s="52" t="str">
        <f aca="false">IF(A185="","",IF(OR(N185="Pending verification",N185=""),"Verification pending",""))</f>
        <v/>
      </c>
      <c r="Y185" s="54" t="str">
        <f aca="false">IF(A185="","",IF(R185="Yes","Scope limitation recorded",""))</f>
        <v/>
      </c>
      <c r="Z185" s="52" t="str">
        <f aca="false">IF(A185="","",IF(AND(ISNUMBER(V185),V185&lt;AsOf,U185&lt;&gt;""),"Follow-up overdue",""))</f>
        <v/>
      </c>
      <c r="AA185" s="54" t="str">
        <f aca="false">IF(A185="","",IF(COUNTIF(EV_ID,A185)&gt;1,"CHECK: duplicate ID",IF(B185="","CHECK: Supplier ID missing",IF(COUNTIF(INV_ID,B185)=0,"CHECK: Supplier ID not in inventory","OK"))))</f>
        <v/>
      </c>
      <c r="AB185" s="52" t="str">
        <f aca="false">IF(OR(A185="",B185=""),"",IF(B185=RptSup,B185&amp;"|"&amp;COUNTIF($B$7:B185,B185),""))</f>
        <v/>
      </c>
    </row>
    <row r="186" customFormat="false" ht="15" hidden="false" customHeight="false" outlineLevel="0" collapsed="false">
      <c r="A186" s="50"/>
      <c r="B186" s="50"/>
      <c r="C186" s="59" t="str">
        <f aca="false">IF(B186="","",IFERROR(INDEX(INV_NAME,MATCH(B186,INV_ID,0)),"CHECK: Supplier ID not found"))</f>
        <v/>
      </c>
      <c r="D186" s="34"/>
      <c r="E186" s="34"/>
      <c r="F186" s="34"/>
      <c r="G186" s="34"/>
      <c r="H186" s="51"/>
      <c r="I186" s="51"/>
      <c r="J186" s="51"/>
      <c r="K186" s="51"/>
      <c r="L186" s="34"/>
      <c r="M186" s="34"/>
      <c r="N186" s="34"/>
      <c r="O186" s="34"/>
      <c r="P186" s="34"/>
      <c r="Q186" s="34"/>
      <c r="R186" s="50"/>
      <c r="S186" s="50"/>
      <c r="T186" s="51"/>
      <c r="U186" s="34"/>
      <c r="V186" s="51"/>
      <c r="W186" s="54" t="str">
        <f aca="false">IF(A186="","",IF(ISNUMBER(I186),IF(I186&lt;AsOf,"Expired",IF(I186&lt;=AsOf+WarnEvidenceDays,"Approaching expiry","Current")),IF(ISNUMBER(K186),IF(K186&lt;AsOf,"Historical period ended "&amp;TEXT(K186,"yyyy-mm-dd")&amp;" - assess relevance; request update","Period current"),"No expiry or period recorded")))</f>
        <v/>
      </c>
      <c r="X186" s="52" t="str">
        <f aca="false">IF(A186="","",IF(OR(N186="Pending verification",N186=""),"Verification pending",""))</f>
        <v/>
      </c>
      <c r="Y186" s="54" t="str">
        <f aca="false">IF(A186="","",IF(R186="Yes","Scope limitation recorded",""))</f>
        <v/>
      </c>
      <c r="Z186" s="52" t="str">
        <f aca="false">IF(A186="","",IF(AND(ISNUMBER(V186),V186&lt;AsOf,U186&lt;&gt;""),"Follow-up overdue",""))</f>
        <v/>
      </c>
      <c r="AA186" s="54" t="str">
        <f aca="false">IF(A186="","",IF(COUNTIF(EV_ID,A186)&gt;1,"CHECK: duplicate ID",IF(B186="","CHECK: Supplier ID missing",IF(COUNTIF(INV_ID,B186)=0,"CHECK: Supplier ID not in inventory","OK"))))</f>
        <v/>
      </c>
      <c r="AB186" s="52" t="str">
        <f aca="false">IF(OR(A186="",B186=""),"",IF(B186=RptSup,B186&amp;"|"&amp;COUNTIF($B$7:B186,B186),""))</f>
        <v/>
      </c>
    </row>
    <row r="187" customFormat="false" ht="15" hidden="false" customHeight="false" outlineLevel="0" collapsed="false">
      <c r="A187" s="50"/>
      <c r="B187" s="50"/>
      <c r="C187" s="59" t="str">
        <f aca="false">IF(B187="","",IFERROR(INDEX(INV_NAME,MATCH(B187,INV_ID,0)),"CHECK: Supplier ID not found"))</f>
        <v/>
      </c>
      <c r="D187" s="34"/>
      <c r="E187" s="34"/>
      <c r="F187" s="34"/>
      <c r="G187" s="34"/>
      <c r="H187" s="51"/>
      <c r="I187" s="51"/>
      <c r="J187" s="51"/>
      <c r="K187" s="51"/>
      <c r="L187" s="34"/>
      <c r="M187" s="34"/>
      <c r="N187" s="34"/>
      <c r="O187" s="34"/>
      <c r="P187" s="34"/>
      <c r="Q187" s="34"/>
      <c r="R187" s="50"/>
      <c r="S187" s="50"/>
      <c r="T187" s="51"/>
      <c r="U187" s="34"/>
      <c r="V187" s="51"/>
      <c r="W187" s="54" t="str">
        <f aca="false">IF(A187="","",IF(ISNUMBER(I187),IF(I187&lt;AsOf,"Expired",IF(I187&lt;=AsOf+WarnEvidenceDays,"Approaching expiry","Current")),IF(ISNUMBER(K187),IF(K187&lt;AsOf,"Historical period ended "&amp;TEXT(K187,"yyyy-mm-dd")&amp;" - assess relevance; request update","Period current"),"No expiry or period recorded")))</f>
        <v/>
      </c>
      <c r="X187" s="52" t="str">
        <f aca="false">IF(A187="","",IF(OR(N187="Pending verification",N187=""),"Verification pending",""))</f>
        <v/>
      </c>
      <c r="Y187" s="54" t="str">
        <f aca="false">IF(A187="","",IF(R187="Yes","Scope limitation recorded",""))</f>
        <v/>
      </c>
      <c r="Z187" s="52" t="str">
        <f aca="false">IF(A187="","",IF(AND(ISNUMBER(V187),V187&lt;AsOf,U187&lt;&gt;""),"Follow-up overdue",""))</f>
        <v/>
      </c>
      <c r="AA187" s="54" t="str">
        <f aca="false">IF(A187="","",IF(COUNTIF(EV_ID,A187)&gt;1,"CHECK: duplicate ID",IF(B187="","CHECK: Supplier ID missing",IF(COUNTIF(INV_ID,B187)=0,"CHECK: Supplier ID not in inventory","OK"))))</f>
        <v/>
      </c>
      <c r="AB187" s="52" t="str">
        <f aca="false">IF(OR(A187="",B187=""),"",IF(B187=RptSup,B187&amp;"|"&amp;COUNTIF($B$7:B187,B187),""))</f>
        <v/>
      </c>
    </row>
    <row r="188" customFormat="false" ht="15" hidden="false" customHeight="false" outlineLevel="0" collapsed="false">
      <c r="A188" s="50"/>
      <c r="B188" s="50"/>
      <c r="C188" s="59" t="str">
        <f aca="false">IF(B188="","",IFERROR(INDEX(INV_NAME,MATCH(B188,INV_ID,0)),"CHECK: Supplier ID not found"))</f>
        <v/>
      </c>
      <c r="D188" s="34"/>
      <c r="E188" s="34"/>
      <c r="F188" s="34"/>
      <c r="G188" s="34"/>
      <c r="H188" s="51"/>
      <c r="I188" s="51"/>
      <c r="J188" s="51"/>
      <c r="K188" s="51"/>
      <c r="L188" s="34"/>
      <c r="M188" s="34"/>
      <c r="N188" s="34"/>
      <c r="O188" s="34"/>
      <c r="P188" s="34"/>
      <c r="Q188" s="34"/>
      <c r="R188" s="50"/>
      <c r="S188" s="50"/>
      <c r="T188" s="51"/>
      <c r="U188" s="34"/>
      <c r="V188" s="51"/>
      <c r="W188" s="54" t="str">
        <f aca="false">IF(A188="","",IF(ISNUMBER(I188),IF(I188&lt;AsOf,"Expired",IF(I188&lt;=AsOf+WarnEvidenceDays,"Approaching expiry","Current")),IF(ISNUMBER(K188),IF(K188&lt;AsOf,"Historical period ended "&amp;TEXT(K188,"yyyy-mm-dd")&amp;" - assess relevance; request update","Period current"),"No expiry or period recorded")))</f>
        <v/>
      </c>
      <c r="X188" s="52" t="str">
        <f aca="false">IF(A188="","",IF(OR(N188="Pending verification",N188=""),"Verification pending",""))</f>
        <v/>
      </c>
      <c r="Y188" s="54" t="str">
        <f aca="false">IF(A188="","",IF(R188="Yes","Scope limitation recorded",""))</f>
        <v/>
      </c>
      <c r="Z188" s="52" t="str">
        <f aca="false">IF(A188="","",IF(AND(ISNUMBER(V188),V188&lt;AsOf,U188&lt;&gt;""),"Follow-up overdue",""))</f>
        <v/>
      </c>
      <c r="AA188" s="54" t="str">
        <f aca="false">IF(A188="","",IF(COUNTIF(EV_ID,A188)&gt;1,"CHECK: duplicate ID",IF(B188="","CHECK: Supplier ID missing",IF(COUNTIF(INV_ID,B188)=0,"CHECK: Supplier ID not in inventory","OK"))))</f>
        <v/>
      </c>
      <c r="AB188" s="52" t="str">
        <f aca="false">IF(OR(A188="",B188=""),"",IF(B188=RptSup,B188&amp;"|"&amp;COUNTIF($B$7:B188,B188),""))</f>
        <v/>
      </c>
    </row>
    <row r="189" customFormat="false" ht="15" hidden="false" customHeight="false" outlineLevel="0" collapsed="false">
      <c r="A189" s="50"/>
      <c r="B189" s="50"/>
      <c r="C189" s="59" t="str">
        <f aca="false">IF(B189="","",IFERROR(INDEX(INV_NAME,MATCH(B189,INV_ID,0)),"CHECK: Supplier ID not found"))</f>
        <v/>
      </c>
      <c r="D189" s="34"/>
      <c r="E189" s="34"/>
      <c r="F189" s="34"/>
      <c r="G189" s="34"/>
      <c r="H189" s="51"/>
      <c r="I189" s="51"/>
      <c r="J189" s="51"/>
      <c r="K189" s="51"/>
      <c r="L189" s="34"/>
      <c r="M189" s="34"/>
      <c r="N189" s="34"/>
      <c r="O189" s="34"/>
      <c r="P189" s="34"/>
      <c r="Q189" s="34"/>
      <c r="R189" s="50"/>
      <c r="S189" s="50"/>
      <c r="T189" s="51"/>
      <c r="U189" s="34"/>
      <c r="V189" s="51"/>
      <c r="W189" s="54" t="str">
        <f aca="false">IF(A189="","",IF(ISNUMBER(I189),IF(I189&lt;AsOf,"Expired",IF(I189&lt;=AsOf+WarnEvidenceDays,"Approaching expiry","Current")),IF(ISNUMBER(K189),IF(K189&lt;AsOf,"Historical period ended "&amp;TEXT(K189,"yyyy-mm-dd")&amp;" - assess relevance; request update","Period current"),"No expiry or period recorded")))</f>
        <v/>
      </c>
      <c r="X189" s="52" t="str">
        <f aca="false">IF(A189="","",IF(OR(N189="Pending verification",N189=""),"Verification pending",""))</f>
        <v/>
      </c>
      <c r="Y189" s="54" t="str">
        <f aca="false">IF(A189="","",IF(R189="Yes","Scope limitation recorded",""))</f>
        <v/>
      </c>
      <c r="Z189" s="52" t="str">
        <f aca="false">IF(A189="","",IF(AND(ISNUMBER(V189),V189&lt;AsOf,U189&lt;&gt;""),"Follow-up overdue",""))</f>
        <v/>
      </c>
      <c r="AA189" s="54" t="str">
        <f aca="false">IF(A189="","",IF(COUNTIF(EV_ID,A189)&gt;1,"CHECK: duplicate ID",IF(B189="","CHECK: Supplier ID missing",IF(COUNTIF(INV_ID,B189)=0,"CHECK: Supplier ID not in inventory","OK"))))</f>
        <v/>
      </c>
      <c r="AB189" s="52" t="str">
        <f aca="false">IF(OR(A189="",B189=""),"",IF(B189=RptSup,B189&amp;"|"&amp;COUNTIF($B$7:B189,B189),""))</f>
        <v/>
      </c>
    </row>
    <row r="190" customFormat="false" ht="15" hidden="false" customHeight="false" outlineLevel="0" collapsed="false">
      <c r="A190" s="50"/>
      <c r="B190" s="50"/>
      <c r="C190" s="59" t="str">
        <f aca="false">IF(B190="","",IFERROR(INDEX(INV_NAME,MATCH(B190,INV_ID,0)),"CHECK: Supplier ID not found"))</f>
        <v/>
      </c>
      <c r="D190" s="34"/>
      <c r="E190" s="34"/>
      <c r="F190" s="34"/>
      <c r="G190" s="34"/>
      <c r="H190" s="51"/>
      <c r="I190" s="51"/>
      <c r="J190" s="51"/>
      <c r="K190" s="51"/>
      <c r="L190" s="34"/>
      <c r="M190" s="34"/>
      <c r="N190" s="34"/>
      <c r="O190" s="34"/>
      <c r="P190" s="34"/>
      <c r="Q190" s="34"/>
      <c r="R190" s="50"/>
      <c r="S190" s="50"/>
      <c r="T190" s="51"/>
      <c r="U190" s="34"/>
      <c r="V190" s="51"/>
      <c r="W190" s="54" t="str">
        <f aca="false">IF(A190="","",IF(ISNUMBER(I190),IF(I190&lt;AsOf,"Expired",IF(I190&lt;=AsOf+WarnEvidenceDays,"Approaching expiry","Current")),IF(ISNUMBER(K190),IF(K190&lt;AsOf,"Historical period ended "&amp;TEXT(K190,"yyyy-mm-dd")&amp;" - assess relevance; request update","Period current"),"No expiry or period recorded")))</f>
        <v/>
      </c>
      <c r="X190" s="52" t="str">
        <f aca="false">IF(A190="","",IF(OR(N190="Pending verification",N190=""),"Verification pending",""))</f>
        <v/>
      </c>
      <c r="Y190" s="54" t="str">
        <f aca="false">IF(A190="","",IF(R190="Yes","Scope limitation recorded",""))</f>
        <v/>
      </c>
      <c r="Z190" s="52" t="str">
        <f aca="false">IF(A190="","",IF(AND(ISNUMBER(V190),V190&lt;AsOf,U190&lt;&gt;""),"Follow-up overdue",""))</f>
        <v/>
      </c>
      <c r="AA190" s="54" t="str">
        <f aca="false">IF(A190="","",IF(COUNTIF(EV_ID,A190)&gt;1,"CHECK: duplicate ID",IF(B190="","CHECK: Supplier ID missing",IF(COUNTIF(INV_ID,B190)=0,"CHECK: Supplier ID not in inventory","OK"))))</f>
        <v/>
      </c>
      <c r="AB190" s="52" t="str">
        <f aca="false">IF(OR(A190="",B190=""),"",IF(B190=RptSup,B190&amp;"|"&amp;COUNTIF($B$7:B190,B190),""))</f>
        <v/>
      </c>
    </row>
    <row r="191" customFormat="false" ht="15" hidden="false" customHeight="false" outlineLevel="0" collapsed="false">
      <c r="A191" s="50"/>
      <c r="B191" s="50"/>
      <c r="C191" s="59" t="str">
        <f aca="false">IF(B191="","",IFERROR(INDEX(INV_NAME,MATCH(B191,INV_ID,0)),"CHECK: Supplier ID not found"))</f>
        <v/>
      </c>
      <c r="D191" s="34"/>
      <c r="E191" s="34"/>
      <c r="F191" s="34"/>
      <c r="G191" s="34"/>
      <c r="H191" s="51"/>
      <c r="I191" s="51"/>
      <c r="J191" s="51"/>
      <c r="K191" s="51"/>
      <c r="L191" s="34"/>
      <c r="M191" s="34"/>
      <c r="N191" s="34"/>
      <c r="O191" s="34"/>
      <c r="P191" s="34"/>
      <c r="Q191" s="34"/>
      <c r="R191" s="50"/>
      <c r="S191" s="50"/>
      <c r="T191" s="51"/>
      <c r="U191" s="34"/>
      <c r="V191" s="51"/>
      <c r="W191" s="54" t="str">
        <f aca="false">IF(A191="","",IF(ISNUMBER(I191),IF(I191&lt;AsOf,"Expired",IF(I191&lt;=AsOf+WarnEvidenceDays,"Approaching expiry","Current")),IF(ISNUMBER(K191),IF(K191&lt;AsOf,"Historical period ended "&amp;TEXT(K191,"yyyy-mm-dd")&amp;" - assess relevance; request update","Period current"),"No expiry or period recorded")))</f>
        <v/>
      </c>
      <c r="X191" s="52" t="str">
        <f aca="false">IF(A191="","",IF(OR(N191="Pending verification",N191=""),"Verification pending",""))</f>
        <v/>
      </c>
      <c r="Y191" s="54" t="str">
        <f aca="false">IF(A191="","",IF(R191="Yes","Scope limitation recorded",""))</f>
        <v/>
      </c>
      <c r="Z191" s="52" t="str">
        <f aca="false">IF(A191="","",IF(AND(ISNUMBER(V191),V191&lt;AsOf,U191&lt;&gt;""),"Follow-up overdue",""))</f>
        <v/>
      </c>
      <c r="AA191" s="54" t="str">
        <f aca="false">IF(A191="","",IF(COUNTIF(EV_ID,A191)&gt;1,"CHECK: duplicate ID",IF(B191="","CHECK: Supplier ID missing",IF(COUNTIF(INV_ID,B191)=0,"CHECK: Supplier ID not in inventory","OK"))))</f>
        <v/>
      </c>
      <c r="AB191" s="52" t="str">
        <f aca="false">IF(OR(A191="",B191=""),"",IF(B191=RptSup,B191&amp;"|"&amp;COUNTIF($B$7:B191,B191),""))</f>
        <v/>
      </c>
    </row>
    <row r="192" customFormat="false" ht="15" hidden="false" customHeight="false" outlineLevel="0" collapsed="false">
      <c r="A192" s="50"/>
      <c r="B192" s="50"/>
      <c r="C192" s="59" t="str">
        <f aca="false">IF(B192="","",IFERROR(INDEX(INV_NAME,MATCH(B192,INV_ID,0)),"CHECK: Supplier ID not found"))</f>
        <v/>
      </c>
      <c r="D192" s="34"/>
      <c r="E192" s="34"/>
      <c r="F192" s="34"/>
      <c r="G192" s="34"/>
      <c r="H192" s="51"/>
      <c r="I192" s="51"/>
      <c r="J192" s="51"/>
      <c r="K192" s="51"/>
      <c r="L192" s="34"/>
      <c r="M192" s="34"/>
      <c r="N192" s="34"/>
      <c r="O192" s="34"/>
      <c r="P192" s="34"/>
      <c r="Q192" s="34"/>
      <c r="R192" s="50"/>
      <c r="S192" s="50"/>
      <c r="T192" s="51"/>
      <c r="U192" s="34"/>
      <c r="V192" s="51"/>
      <c r="W192" s="54" t="str">
        <f aca="false">IF(A192="","",IF(ISNUMBER(I192),IF(I192&lt;AsOf,"Expired",IF(I192&lt;=AsOf+WarnEvidenceDays,"Approaching expiry","Current")),IF(ISNUMBER(K192),IF(K192&lt;AsOf,"Historical period ended "&amp;TEXT(K192,"yyyy-mm-dd")&amp;" - assess relevance; request update","Period current"),"No expiry or period recorded")))</f>
        <v/>
      </c>
      <c r="X192" s="52" t="str">
        <f aca="false">IF(A192="","",IF(OR(N192="Pending verification",N192=""),"Verification pending",""))</f>
        <v/>
      </c>
      <c r="Y192" s="54" t="str">
        <f aca="false">IF(A192="","",IF(R192="Yes","Scope limitation recorded",""))</f>
        <v/>
      </c>
      <c r="Z192" s="52" t="str">
        <f aca="false">IF(A192="","",IF(AND(ISNUMBER(V192),V192&lt;AsOf,U192&lt;&gt;""),"Follow-up overdue",""))</f>
        <v/>
      </c>
      <c r="AA192" s="54" t="str">
        <f aca="false">IF(A192="","",IF(COUNTIF(EV_ID,A192)&gt;1,"CHECK: duplicate ID",IF(B192="","CHECK: Supplier ID missing",IF(COUNTIF(INV_ID,B192)=0,"CHECK: Supplier ID not in inventory","OK"))))</f>
        <v/>
      </c>
      <c r="AB192" s="52" t="str">
        <f aca="false">IF(OR(A192="",B192=""),"",IF(B192=RptSup,B192&amp;"|"&amp;COUNTIF($B$7:B192,B192),""))</f>
        <v/>
      </c>
    </row>
    <row r="193" customFormat="false" ht="15" hidden="false" customHeight="false" outlineLevel="0" collapsed="false">
      <c r="A193" s="50"/>
      <c r="B193" s="50"/>
      <c r="C193" s="59" t="str">
        <f aca="false">IF(B193="","",IFERROR(INDEX(INV_NAME,MATCH(B193,INV_ID,0)),"CHECK: Supplier ID not found"))</f>
        <v/>
      </c>
      <c r="D193" s="34"/>
      <c r="E193" s="34"/>
      <c r="F193" s="34"/>
      <c r="G193" s="34"/>
      <c r="H193" s="51"/>
      <c r="I193" s="51"/>
      <c r="J193" s="51"/>
      <c r="K193" s="51"/>
      <c r="L193" s="34"/>
      <c r="M193" s="34"/>
      <c r="N193" s="34"/>
      <c r="O193" s="34"/>
      <c r="P193" s="34"/>
      <c r="Q193" s="34"/>
      <c r="R193" s="50"/>
      <c r="S193" s="50"/>
      <c r="T193" s="51"/>
      <c r="U193" s="34"/>
      <c r="V193" s="51"/>
      <c r="W193" s="54" t="str">
        <f aca="false">IF(A193="","",IF(ISNUMBER(I193),IF(I193&lt;AsOf,"Expired",IF(I193&lt;=AsOf+WarnEvidenceDays,"Approaching expiry","Current")),IF(ISNUMBER(K193),IF(K193&lt;AsOf,"Historical period ended "&amp;TEXT(K193,"yyyy-mm-dd")&amp;" - assess relevance; request update","Period current"),"No expiry or period recorded")))</f>
        <v/>
      </c>
      <c r="X193" s="52" t="str">
        <f aca="false">IF(A193="","",IF(OR(N193="Pending verification",N193=""),"Verification pending",""))</f>
        <v/>
      </c>
      <c r="Y193" s="54" t="str">
        <f aca="false">IF(A193="","",IF(R193="Yes","Scope limitation recorded",""))</f>
        <v/>
      </c>
      <c r="Z193" s="52" t="str">
        <f aca="false">IF(A193="","",IF(AND(ISNUMBER(V193),V193&lt;AsOf,U193&lt;&gt;""),"Follow-up overdue",""))</f>
        <v/>
      </c>
      <c r="AA193" s="54" t="str">
        <f aca="false">IF(A193="","",IF(COUNTIF(EV_ID,A193)&gt;1,"CHECK: duplicate ID",IF(B193="","CHECK: Supplier ID missing",IF(COUNTIF(INV_ID,B193)=0,"CHECK: Supplier ID not in inventory","OK"))))</f>
        <v/>
      </c>
      <c r="AB193" s="52" t="str">
        <f aca="false">IF(OR(A193="",B193=""),"",IF(B193=RptSup,B193&amp;"|"&amp;COUNTIF($B$7:B193,B193),""))</f>
        <v/>
      </c>
    </row>
    <row r="194" customFormat="false" ht="15" hidden="false" customHeight="false" outlineLevel="0" collapsed="false">
      <c r="A194" s="50"/>
      <c r="B194" s="50"/>
      <c r="C194" s="59" t="str">
        <f aca="false">IF(B194="","",IFERROR(INDEX(INV_NAME,MATCH(B194,INV_ID,0)),"CHECK: Supplier ID not found"))</f>
        <v/>
      </c>
      <c r="D194" s="34"/>
      <c r="E194" s="34"/>
      <c r="F194" s="34"/>
      <c r="G194" s="34"/>
      <c r="H194" s="51"/>
      <c r="I194" s="51"/>
      <c r="J194" s="51"/>
      <c r="K194" s="51"/>
      <c r="L194" s="34"/>
      <c r="M194" s="34"/>
      <c r="N194" s="34"/>
      <c r="O194" s="34"/>
      <c r="P194" s="34"/>
      <c r="Q194" s="34"/>
      <c r="R194" s="50"/>
      <c r="S194" s="50"/>
      <c r="T194" s="51"/>
      <c r="U194" s="34"/>
      <c r="V194" s="51"/>
      <c r="W194" s="54" t="str">
        <f aca="false">IF(A194="","",IF(ISNUMBER(I194),IF(I194&lt;AsOf,"Expired",IF(I194&lt;=AsOf+WarnEvidenceDays,"Approaching expiry","Current")),IF(ISNUMBER(K194),IF(K194&lt;AsOf,"Historical period ended "&amp;TEXT(K194,"yyyy-mm-dd")&amp;" - assess relevance; request update","Period current"),"No expiry or period recorded")))</f>
        <v/>
      </c>
      <c r="X194" s="52" t="str">
        <f aca="false">IF(A194="","",IF(OR(N194="Pending verification",N194=""),"Verification pending",""))</f>
        <v/>
      </c>
      <c r="Y194" s="54" t="str">
        <f aca="false">IF(A194="","",IF(R194="Yes","Scope limitation recorded",""))</f>
        <v/>
      </c>
      <c r="Z194" s="52" t="str">
        <f aca="false">IF(A194="","",IF(AND(ISNUMBER(V194),V194&lt;AsOf,U194&lt;&gt;""),"Follow-up overdue",""))</f>
        <v/>
      </c>
      <c r="AA194" s="54" t="str">
        <f aca="false">IF(A194="","",IF(COUNTIF(EV_ID,A194)&gt;1,"CHECK: duplicate ID",IF(B194="","CHECK: Supplier ID missing",IF(COUNTIF(INV_ID,B194)=0,"CHECK: Supplier ID not in inventory","OK"))))</f>
        <v/>
      </c>
      <c r="AB194" s="52" t="str">
        <f aca="false">IF(OR(A194="",B194=""),"",IF(B194=RptSup,B194&amp;"|"&amp;COUNTIF($B$7:B194,B194),""))</f>
        <v/>
      </c>
    </row>
    <row r="195" customFormat="false" ht="15" hidden="false" customHeight="false" outlineLevel="0" collapsed="false">
      <c r="A195" s="50"/>
      <c r="B195" s="50"/>
      <c r="C195" s="59" t="str">
        <f aca="false">IF(B195="","",IFERROR(INDEX(INV_NAME,MATCH(B195,INV_ID,0)),"CHECK: Supplier ID not found"))</f>
        <v/>
      </c>
      <c r="D195" s="34"/>
      <c r="E195" s="34"/>
      <c r="F195" s="34"/>
      <c r="G195" s="34"/>
      <c r="H195" s="51"/>
      <c r="I195" s="51"/>
      <c r="J195" s="51"/>
      <c r="K195" s="51"/>
      <c r="L195" s="34"/>
      <c r="M195" s="34"/>
      <c r="N195" s="34"/>
      <c r="O195" s="34"/>
      <c r="P195" s="34"/>
      <c r="Q195" s="34"/>
      <c r="R195" s="50"/>
      <c r="S195" s="50"/>
      <c r="T195" s="51"/>
      <c r="U195" s="34"/>
      <c r="V195" s="51"/>
      <c r="W195" s="54" t="str">
        <f aca="false">IF(A195="","",IF(ISNUMBER(I195),IF(I195&lt;AsOf,"Expired",IF(I195&lt;=AsOf+WarnEvidenceDays,"Approaching expiry","Current")),IF(ISNUMBER(K195),IF(K195&lt;AsOf,"Historical period ended "&amp;TEXT(K195,"yyyy-mm-dd")&amp;" - assess relevance; request update","Period current"),"No expiry or period recorded")))</f>
        <v/>
      </c>
      <c r="X195" s="52" t="str">
        <f aca="false">IF(A195="","",IF(OR(N195="Pending verification",N195=""),"Verification pending",""))</f>
        <v/>
      </c>
      <c r="Y195" s="54" t="str">
        <f aca="false">IF(A195="","",IF(R195="Yes","Scope limitation recorded",""))</f>
        <v/>
      </c>
      <c r="Z195" s="52" t="str">
        <f aca="false">IF(A195="","",IF(AND(ISNUMBER(V195),V195&lt;AsOf,U195&lt;&gt;""),"Follow-up overdue",""))</f>
        <v/>
      </c>
      <c r="AA195" s="54" t="str">
        <f aca="false">IF(A195="","",IF(COUNTIF(EV_ID,A195)&gt;1,"CHECK: duplicate ID",IF(B195="","CHECK: Supplier ID missing",IF(COUNTIF(INV_ID,B195)=0,"CHECK: Supplier ID not in inventory","OK"))))</f>
        <v/>
      </c>
      <c r="AB195" s="52" t="str">
        <f aca="false">IF(OR(A195="",B195=""),"",IF(B195=RptSup,B195&amp;"|"&amp;COUNTIF($B$7:B195,B195),""))</f>
        <v/>
      </c>
    </row>
    <row r="196" customFormat="false" ht="15" hidden="false" customHeight="false" outlineLevel="0" collapsed="false">
      <c r="A196" s="50"/>
      <c r="B196" s="50"/>
      <c r="C196" s="59" t="str">
        <f aca="false">IF(B196="","",IFERROR(INDEX(INV_NAME,MATCH(B196,INV_ID,0)),"CHECK: Supplier ID not found"))</f>
        <v/>
      </c>
      <c r="D196" s="34"/>
      <c r="E196" s="34"/>
      <c r="F196" s="34"/>
      <c r="G196" s="34"/>
      <c r="H196" s="51"/>
      <c r="I196" s="51"/>
      <c r="J196" s="51"/>
      <c r="K196" s="51"/>
      <c r="L196" s="34"/>
      <c r="M196" s="34"/>
      <c r="N196" s="34"/>
      <c r="O196" s="34"/>
      <c r="P196" s="34"/>
      <c r="Q196" s="34"/>
      <c r="R196" s="50"/>
      <c r="S196" s="50"/>
      <c r="T196" s="51"/>
      <c r="U196" s="34"/>
      <c r="V196" s="51"/>
      <c r="W196" s="54" t="str">
        <f aca="false">IF(A196="","",IF(ISNUMBER(I196),IF(I196&lt;AsOf,"Expired",IF(I196&lt;=AsOf+WarnEvidenceDays,"Approaching expiry","Current")),IF(ISNUMBER(K196),IF(K196&lt;AsOf,"Historical period ended "&amp;TEXT(K196,"yyyy-mm-dd")&amp;" - assess relevance; request update","Period current"),"No expiry or period recorded")))</f>
        <v/>
      </c>
      <c r="X196" s="52" t="str">
        <f aca="false">IF(A196="","",IF(OR(N196="Pending verification",N196=""),"Verification pending",""))</f>
        <v/>
      </c>
      <c r="Y196" s="54" t="str">
        <f aca="false">IF(A196="","",IF(R196="Yes","Scope limitation recorded",""))</f>
        <v/>
      </c>
      <c r="Z196" s="52" t="str">
        <f aca="false">IF(A196="","",IF(AND(ISNUMBER(V196),V196&lt;AsOf,U196&lt;&gt;""),"Follow-up overdue",""))</f>
        <v/>
      </c>
      <c r="AA196" s="54" t="str">
        <f aca="false">IF(A196="","",IF(COUNTIF(EV_ID,A196)&gt;1,"CHECK: duplicate ID",IF(B196="","CHECK: Supplier ID missing",IF(COUNTIF(INV_ID,B196)=0,"CHECK: Supplier ID not in inventory","OK"))))</f>
        <v/>
      </c>
      <c r="AB196" s="52" t="str">
        <f aca="false">IF(OR(A196="",B196=""),"",IF(B196=RptSup,B196&amp;"|"&amp;COUNTIF($B$7:B196,B196),""))</f>
        <v/>
      </c>
    </row>
    <row r="197" customFormat="false" ht="15" hidden="false" customHeight="false" outlineLevel="0" collapsed="false">
      <c r="A197" s="50"/>
      <c r="B197" s="50"/>
      <c r="C197" s="59" t="str">
        <f aca="false">IF(B197="","",IFERROR(INDEX(INV_NAME,MATCH(B197,INV_ID,0)),"CHECK: Supplier ID not found"))</f>
        <v/>
      </c>
      <c r="D197" s="34"/>
      <c r="E197" s="34"/>
      <c r="F197" s="34"/>
      <c r="G197" s="34"/>
      <c r="H197" s="51"/>
      <c r="I197" s="51"/>
      <c r="J197" s="51"/>
      <c r="K197" s="51"/>
      <c r="L197" s="34"/>
      <c r="M197" s="34"/>
      <c r="N197" s="34"/>
      <c r="O197" s="34"/>
      <c r="P197" s="34"/>
      <c r="Q197" s="34"/>
      <c r="R197" s="50"/>
      <c r="S197" s="50"/>
      <c r="T197" s="51"/>
      <c r="U197" s="34"/>
      <c r="V197" s="51"/>
      <c r="W197" s="54" t="str">
        <f aca="false">IF(A197="","",IF(ISNUMBER(I197),IF(I197&lt;AsOf,"Expired",IF(I197&lt;=AsOf+WarnEvidenceDays,"Approaching expiry","Current")),IF(ISNUMBER(K197),IF(K197&lt;AsOf,"Historical period ended "&amp;TEXT(K197,"yyyy-mm-dd")&amp;" - assess relevance; request update","Period current"),"No expiry or period recorded")))</f>
        <v/>
      </c>
      <c r="X197" s="52" t="str">
        <f aca="false">IF(A197="","",IF(OR(N197="Pending verification",N197=""),"Verification pending",""))</f>
        <v/>
      </c>
      <c r="Y197" s="54" t="str">
        <f aca="false">IF(A197="","",IF(R197="Yes","Scope limitation recorded",""))</f>
        <v/>
      </c>
      <c r="Z197" s="52" t="str">
        <f aca="false">IF(A197="","",IF(AND(ISNUMBER(V197),V197&lt;AsOf,U197&lt;&gt;""),"Follow-up overdue",""))</f>
        <v/>
      </c>
      <c r="AA197" s="54" t="str">
        <f aca="false">IF(A197="","",IF(COUNTIF(EV_ID,A197)&gt;1,"CHECK: duplicate ID",IF(B197="","CHECK: Supplier ID missing",IF(COUNTIF(INV_ID,B197)=0,"CHECK: Supplier ID not in inventory","OK"))))</f>
        <v/>
      </c>
      <c r="AB197" s="52" t="str">
        <f aca="false">IF(OR(A197="",B197=""),"",IF(B197=RptSup,B197&amp;"|"&amp;COUNTIF($B$7:B197,B197),""))</f>
        <v/>
      </c>
    </row>
    <row r="198" customFormat="false" ht="15" hidden="false" customHeight="false" outlineLevel="0" collapsed="false">
      <c r="A198" s="50"/>
      <c r="B198" s="50"/>
      <c r="C198" s="59" t="str">
        <f aca="false">IF(B198="","",IFERROR(INDEX(INV_NAME,MATCH(B198,INV_ID,0)),"CHECK: Supplier ID not found"))</f>
        <v/>
      </c>
      <c r="D198" s="34"/>
      <c r="E198" s="34"/>
      <c r="F198" s="34"/>
      <c r="G198" s="34"/>
      <c r="H198" s="51"/>
      <c r="I198" s="51"/>
      <c r="J198" s="51"/>
      <c r="K198" s="51"/>
      <c r="L198" s="34"/>
      <c r="M198" s="34"/>
      <c r="N198" s="34"/>
      <c r="O198" s="34"/>
      <c r="P198" s="34"/>
      <c r="Q198" s="34"/>
      <c r="R198" s="50"/>
      <c r="S198" s="50"/>
      <c r="T198" s="51"/>
      <c r="U198" s="34"/>
      <c r="V198" s="51"/>
      <c r="W198" s="54" t="str">
        <f aca="false">IF(A198="","",IF(ISNUMBER(I198),IF(I198&lt;AsOf,"Expired",IF(I198&lt;=AsOf+WarnEvidenceDays,"Approaching expiry","Current")),IF(ISNUMBER(K198),IF(K198&lt;AsOf,"Historical period ended "&amp;TEXT(K198,"yyyy-mm-dd")&amp;" - assess relevance; request update","Period current"),"No expiry or period recorded")))</f>
        <v/>
      </c>
      <c r="X198" s="52" t="str">
        <f aca="false">IF(A198="","",IF(OR(N198="Pending verification",N198=""),"Verification pending",""))</f>
        <v/>
      </c>
      <c r="Y198" s="54" t="str">
        <f aca="false">IF(A198="","",IF(R198="Yes","Scope limitation recorded",""))</f>
        <v/>
      </c>
      <c r="Z198" s="52" t="str">
        <f aca="false">IF(A198="","",IF(AND(ISNUMBER(V198),V198&lt;AsOf,U198&lt;&gt;""),"Follow-up overdue",""))</f>
        <v/>
      </c>
      <c r="AA198" s="54" t="str">
        <f aca="false">IF(A198="","",IF(COUNTIF(EV_ID,A198)&gt;1,"CHECK: duplicate ID",IF(B198="","CHECK: Supplier ID missing",IF(COUNTIF(INV_ID,B198)=0,"CHECK: Supplier ID not in inventory","OK"))))</f>
        <v/>
      </c>
      <c r="AB198" s="52" t="str">
        <f aca="false">IF(OR(A198="",B198=""),"",IF(B198=RptSup,B198&amp;"|"&amp;COUNTIF($B$7:B198,B198),""))</f>
        <v/>
      </c>
    </row>
    <row r="199" customFormat="false" ht="15" hidden="false" customHeight="false" outlineLevel="0" collapsed="false">
      <c r="A199" s="50"/>
      <c r="B199" s="50"/>
      <c r="C199" s="59" t="str">
        <f aca="false">IF(B199="","",IFERROR(INDEX(INV_NAME,MATCH(B199,INV_ID,0)),"CHECK: Supplier ID not found"))</f>
        <v/>
      </c>
      <c r="D199" s="34"/>
      <c r="E199" s="34"/>
      <c r="F199" s="34"/>
      <c r="G199" s="34"/>
      <c r="H199" s="51"/>
      <c r="I199" s="51"/>
      <c r="J199" s="51"/>
      <c r="K199" s="51"/>
      <c r="L199" s="34"/>
      <c r="M199" s="34"/>
      <c r="N199" s="34"/>
      <c r="O199" s="34"/>
      <c r="P199" s="34"/>
      <c r="Q199" s="34"/>
      <c r="R199" s="50"/>
      <c r="S199" s="50"/>
      <c r="T199" s="51"/>
      <c r="U199" s="34"/>
      <c r="V199" s="51"/>
      <c r="W199" s="54" t="str">
        <f aca="false">IF(A199="","",IF(ISNUMBER(I199),IF(I199&lt;AsOf,"Expired",IF(I199&lt;=AsOf+WarnEvidenceDays,"Approaching expiry","Current")),IF(ISNUMBER(K199),IF(K199&lt;AsOf,"Historical period ended "&amp;TEXT(K199,"yyyy-mm-dd")&amp;" - assess relevance; request update","Period current"),"No expiry or period recorded")))</f>
        <v/>
      </c>
      <c r="X199" s="52" t="str">
        <f aca="false">IF(A199="","",IF(OR(N199="Pending verification",N199=""),"Verification pending",""))</f>
        <v/>
      </c>
      <c r="Y199" s="54" t="str">
        <f aca="false">IF(A199="","",IF(R199="Yes","Scope limitation recorded",""))</f>
        <v/>
      </c>
      <c r="Z199" s="52" t="str">
        <f aca="false">IF(A199="","",IF(AND(ISNUMBER(V199),V199&lt;AsOf,U199&lt;&gt;""),"Follow-up overdue",""))</f>
        <v/>
      </c>
      <c r="AA199" s="54" t="str">
        <f aca="false">IF(A199="","",IF(COUNTIF(EV_ID,A199)&gt;1,"CHECK: duplicate ID",IF(B199="","CHECK: Supplier ID missing",IF(COUNTIF(INV_ID,B199)=0,"CHECK: Supplier ID not in inventory","OK"))))</f>
        <v/>
      </c>
      <c r="AB199" s="52" t="str">
        <f aca="false">IF(OR(A199="",B199=""),"",IF(B199=RptSup,B199&amp;"|"&amp;COUNTIF($B$7:B199,B199),""))</f>
        <v/>
      </c>
    </row>
    <row r="200" customFormat="false" ht="15" hidden="false" customHeight="false" outlineLevel="0" collapsed="false">
      <c r="A200" s="50"/>
      <c r="B200" s="50"/>
      <c r="C200" s="59" t="str">
        <f aca="false">IF(B200="","",IFERROR(INDEX(INV_NAME,MATCH(B200,INV_ID,0)),"CHECK: Supplier ID not found"))</f>
        <v/>
      </c>
      <c r="D200" s="34"/>
      <c r="E200" s="34"/>
      <c r="F200" s="34"/>
      <c r="G200" s="34"/>
      <c r="H200" s="51"/>
      <c r="I200" s="51"/>
      <c r="J200" s="51"/>
      <c r="K200" s="51"/>
      <c r="L200" s="34"/>
      <c r="M200" s="34"/>
      <c r="N200" s="34"/>
      <c r="O200" s="34"/>
      <c r="P200" s="34"/>
      <c r="Q200" s="34"/>
      <c r="R200" s="50"/>
      <c r="S200" s="50"/>
      <c r="T200" s="51"/>
      <c r="U200" s="34"/>
      <c r="V200" s="51"/>
      <c r="W200" s="54" t="str">
        <f aca="false">IF(A200="","",IF(ISNUMBER(I200),IF(I200&lt;AsOf,"Expired",IF(I200&lt;=AsOf+WarnEvidenceDays,"Approaching expiry","Current")),IF(ISNUMBER(K200),IF(K200&lt;AsOf,"Historical period ended "&amp;TEXT(K200,"yyyy-mm-dd")&amp;" - assess relevance; request update","Period current"),"No expiry or period recorded")))</f>
        <v/>
      </c>
      <c r="X200" s="52" t="str">
        <f aca="false">IF(A200="","",IF(OR(N200="Pending verification",N200=""),"Verification pending",""))</f>
        <v/>
      </c>
      <c r="Y200" s="54" t="str">
        <f aca="false">IF(A200="","",IF(R200="Yes","Scope limitation recorded",""))</f>
        <v/>
      </c>
      <c r="Z200" s="52" t="str">
        <f aca="false">IF(A200="","",IF(AND(ISNUMBER(V200),V200&lt;AsOf,U200&lt;&gt;""),"Follow-up overdue",""))</f>
        <v/>
      </c>
      <c r="AA200" s="54" t="str">
        <f aca="false">IF(A200="","",IF(COUNTIF(EV_ID,A200)&gt;1,"CHECK: duplicate ID",IF(B200="","CHECK: Supplier ID missing",IF(COUNTIF(INV_ID,B200)=0,"CHECK: Supplier ID not in inventory","OK"))))</f>
        <v/>
      </c>
      <c r="AB200" s="52" t="str">
        <f aca="false">IF(OR(A200="",B200=""),"",IF(B200=RptSup,B200&amp;"|"&amp;COUNTIF($B$7:B200,B200),""))</f>
        <v/>
      </c>
    </row>
    <row r="201" customFormat="false" ht="15" hidden="false" customHeight="false" outlineLevel="0" collapsed="false">
      <c r="A201" s="50"/>
      <c r="B201" s="50"/>
      <c r="C201" s="59" t="str">
        <f aca="false">IF(B201="","",IFERROR(INDEX(INV_NAME,MATCH(B201,INV_ID,0)),"CHECK: Supplier ID not found"))</f>
        <v/>
      </c>
      <c r="D201" s="34"/>
      <c r="E201" s="34"/>
      <c r="F201" s="34"/>
      <c r="G201" s="34"/>
      <c r="H201" s="51"/>
      <c r="I201" s="51"/>
      <c r="J201" s="51"/>
      <c r="K201" s="51"/>
      <c r="L201" s="34"/>
      <c r="M201" s="34"/>
      <c r="N201" s="34"/>
      <c r="O201" s="34"/>
      <c r="P201" s="34"/>
      <c r="Q201" s="34"/>
      <c r="R201" s="50"/>
      <c r="S201" s="50"/>
      <c r="T201" s="51"/>
      <c r="U201" s="34"/>
      <c r="V201" s="51"/>
      <c r="W201" s="54" t="str">
        <f aca="false">IF(A201="","",IF(ISNUMBER(I201),IF(I201&lt;AsOf,"Expired",IF(I201&lt;=AsOf+WarnEvidenceDays,"Approaching expiry","Current")),IF(ISNUMBER(K201),IF(K201&lt;AsOf,"Historical period ended "&amp;TEXT(K201,"yyyy-mm-dd")&amp;" - assess relevance; request update","Period current"),"No expiry or period recorded")))</f>
        <v/>
      </c>
      <c r="X201" s="52" t="str">
        <f aca="false">IF(A201="","",IF(OR(N201="Pending verification",N201=""),"Verification pending",""))</f>
        <v/>
      </c>
      <c r="Y201" s="54" t="str">
        <f aca="false">IF(A201="","",IF(R201="Yes","Scope limitation recorded",""))</f>
        <v/>
      </c>
      <c r="Z201" s="52" t="str">
        <f aca="false">IF(A201="","",IF(AND(ISNUMBER(V201),V201&lt;AsOf,U201&lt;&gt;""),"Follow-up overdue",""))</f>
        <v/>
      </c>
      <c r="AA201" s="54" t="str">
        <f aca="false">IF(A201="","",IF(COUNTIF(EV_ID,A201)&gt;1,"CHECK: duplicate ID",IF(B201="","CHECK: Supplier ID missing",IF(COUNTIF(INV_ID,B201)=0,"CHECK: Supplier ID not in inventory","OK"))))</f>
        <v/>
      </c>
      <c r="AB201" s="52" t="str">
        <f aca="false">IF(OR(A201="",B201=""),"",IF(B201=RptSup,B201&amp;"|"&amp;COUNTIF($B$7:B201,B201),""))</f>
        <v/>
      </c>
    </row>
    <row r="202" customFormat="false" ht="15" hidden="false" customHeight="false" outlineLevel="0" collapsed="false">
      <c r="A202" s="50"/>
      <c r="B202" s="50"/>
      <c r="C202" s="59" t="str">
        <f aca="false">IF(B202="","",IFERROR(INDEX(INV_NAME,MATCH(B202,INV_ID,0)),"CHECK: Supplier ID not found"))</f>
        <v/>
      </c>
      <c r="D202" s="34"/>
      <c r="E202" s="34"/>
      <c r="F202" s="34"/>
      <c r="G202" s="34"/>
      <c r="H202" s="51"/>
      <c r="I202" s="51"/>
      <c r="J202" s="51"/>
      <c r="K202" s="51"/>
      <c r="L202" s="34"/>
      <c r="M202" s="34"/>
      <c r="N202" s="34"/>
      <c r="O202" s="34"/>
      <c r="P202" s="34"/>
      <c r="Q202" s="34"/>
      <c r="R202" s="50"/>
      <c r="S202" s="50"/>
      <c r="T202" s="51"/>
      <c r="U202" s="34"/>
      <c r="V202" s="51"/>
      <c r="W202" s="54" t="str">
        <f aca="false">IF(A202="","",IF(ISNUMBER(I202),IF(I202&lt;AsOf,"Expired",IF(I202&lt;=AsOf+WarnEvidenceDays,"Approaching expiry","Current")),IF(ISNUMBER(K202),IF(K202&lt;AsOf,"Historical period ended "&amp;TEXT(K202,"yyyy-mm-dd")&amp;" - assess relevance; request update","Period current"),"No expiry or period recorded")))</f>
        <v/>
      </c>
      <c r="X202" s="52" t="str">
        <f aca="false">IF(A202="","",IF(OR(N202="Pending verification",N202=""),"Verification pending",""))</f>
        <v/>
      </c>
      <c r="Y202" s="54" t="str">
        <f aca="false">IF(A202="","",IF(R202="Yes","Scope limitation recorded",""))</f>
        <v/>
      </c>
      <c r="Z202" s="52" t="str">
        <f aca="false">IF(A202="","",IF(AND(ISNUMBER(V202),V202&lt;AsOf,U202&lt;&gt;""),"Follow-up overdue",""))</f>
        <v/>
      </c>
      <c r="AA202" s="54" t="str">
        <f aca="false">IF(A202="","",IF(COUNTIF(EV_ID,A202)&gt;1,"CHECK: duplicate ID",IF(B202="","CHECK: Supplier ID missing",IF(COUNTIF(INV_ID,B202)=0,"CHECK: Supplier ID not in inventory","OK"))))</f>
        <v/>
      </c>
      <c r="AB202" s="52" t="str">
        <f aca="false">IF(OR(A202="",B202=""),"",IF(B202=RptSup,B202&amp;"|"&amp;COUNTIF($B$7:B202,B202),""))</f>
        <v/>
      </c>
    </row>
    <row r="203" customFormat="false" ht="15" hidden="false" customHeight="false" outlineLevel="0" collapsed="false">
      <c r="A203" s="50"/>
      <c r="B203" s="50"/>
      <c r="C203" s="59" t="str">
        <f aca="false">IF(B203="","",IFERROR(INDEX(INV_NAME,MATCH(B203,INV_ID,0)),"CHECK: Supplier ID not found"))</f>
        <v/>
      </c>
      <c r="D203" s="34"/>
      <c r="E203" s="34"/>
      <c r="F203" s="34"/>
      <c r="G203" s="34"/>
      <c r="H203" s="51"/>
      <c r="I203" s="51"/>
      <c r="J203" s="51"/>
      <c r="K203" s="51"/>
      <c r="L203" s="34"/>
      <c r="M203" s="34"/>
      <c r="N203" s="34"/>
      <c r="O203" s="34"/>
      <c r="P203" s="34"/>
      <c r="Q203" s="34"/>
      <c r="R203" s="50"/>
      <c r="S203" s="50"/>
      <c r="T203" s="51"/>
      <c r="U203" s="34"/>
      <c r="V203" s="51"/>
      <c r="W203" s="54" t="str">
        <f aca="false">IF(A203="","",IF(ISNUMBER(I203),IF(I203&lt;AsOf,"Expired",IF(I203&lt;=AsOf+WarnEvidenceDays,"Approaching expiry","Current")),IF(ISNUMBER(K203),IF(K203&lt;AsOf,"Historical period ended "&amp;TEXT(K203,"yyyy-mm-dd")&amp;" - assess relevance; request update","Period current"),"No expiry or period recorded")))</f>
        <v/>
      </c>
      <c r="X203" s="52" t="str">
        <f aca="false">IF(A203="","",IF(OR(N203="Pending verification",N203=""),"Verification pending",""))</f>
        <v/>
      </c>
      <c r="Y203" s="54" t="str">
        <f aca="false">IF(A203="","",IF(R203="Yes","Scope limitation recorded",""))</f>
        <v/>
      </c>
      <c r="Z203" s="52" t="str">
        <f aca="false">IF(A203="","",IF(AND(ISNUMBER(V203),V203&lt;AsOf,U203&lt;&gt;""),"Follow-up overdue",""))</f>
        <v/>
      </c>
      <c r="AA203" s="54" t="str">
        <f aca="false">IF(A203="","",IF(COUNTIF(EV_ID,A203)&gt;1,"CHECK: duplicate ID",IF(B203="","CHECK: Supplier ID missing",IF(COUNTIF(INV_ID,B203)=0,"CHECK: Supplier ID not in inventory","OK"))))</f>
        <v/>
      </c>
      <c r="AB203" s="52" t="str">
        <f aca="false">IF(OR(A203="",B203=""),"",IF(B203=RptSup,B203&amp;"|"&amp;COUNTIF($B$7:B203,B203),""))</f>
        <v/>
      </c>
    </row>
    <row r="204" customFormat="false" ht="15" hidden="false" customHeight="false" outlineLevel="0" collapsed="false">
      <c r="A204" s="50"/>
      <c r="B204" s="50"/>
      <c r="C204" s="59" t="str">
        <f aca="false">IF(B204="","",IFERROR(INDEX(INV_NAME,MATCH(B204,INV_ID,0)),"CHECK: Supplier ID not found"))</f>
        <v/>
      </c>
      <c r="D204" s="34"/>
      <c r="E204" s="34"/>
      <c r="F204" s="34"/>
      <c r="G204" s="34"/>
      <c r="H204" s="51"/>
      <c r="I204" s="51"/>
      <c r="J204" s="51"/>
      <c r="K204" s="51"/>
      <c r="L204" s="34"/>
      <c r="M204" s="34"/>
      <c r="N204" s="34"/>
      <c r="O204" s="34"/>
      <c r="P204" s="34"/>
      <c r="Q204" s="34"/>
      <c r="R204" s="50"/>
      <c r="S204" s="50"/>
      <c r="T204" s="51"/>
      <c r="U204" s="34"/>
      <c r="V204" s="51"/>
      <c r="W204" s="54" t="str">
        <f aca="false">IF(A204="","",IF(ISNUMBER(I204),IF(I204&lt;AsOf,"Expired",IF(I204&lt;=AsOf+WarnEvidenceDays,"Approaching expiry","Current")),IF(ISNUMBER(K204),IF(K204&lt;AsOf,"Historical period ended "&amp;TEXT(K204,"yyyy-mm-dd")&amp;" - assess relevance; request update","Period current"),"No expiry or period recorded")))</f>
        <v/>
      </c>
      <c r="X204" s="52" t="str">
        <f aca="false">IF(A204="","",IF(OR(N204="Pending verification",N204=""),"Verification pending",""))</f>
        <v/>
      </c>
      <c r="Y204" s="54" t="str">
        <f aca="false">IF(A204="","",IF(R204="Yes","Scope limitation recorded",""))</f>
        <v/>
      </c>
      <c r="Z204" s="52" t="str">
        <f aca="false">IF(A204="","",IF(AND(ISNUMBER(V204),V204&lt;AsOf,U204&lt;&gt;""),"Follow-up overdue",""))</f>
        <v/>
      </c>
      <c r="AA204" s="54" t="str">
        <f aca="false">IF(A204="","",IF(COUNTIF(EV_ID,A204)&gt;1,"CHECK: duplicate ID",IF(B204="","CHECK: Supplier ID missing",IF(COUNTIF(INV_ID,B204)=0,"CHECK: Supplier ID not in inventory","OK"))))</f>
        <v/>
      </c>
      <c r="AB204" s="52" t="str">
        <f aca="false">IF(OR(A204="",B204=""),"",IF(B204=RptSup,B204&amp;"|"&amp;COUNTIF($B$7:B204,B204),""))</f>
        <v/>
      </c>
    </row>
    <row r="205" customFormat="false" ht="15" hidden="false" customHeight="false" outlineLevel="0" collapsed="false">
      <c r="A205" s="50"/>
      <c r="B205" s="50"/>
      <c r="C205" s="59" t="str">
        <f aca="false">IF(B205="","",IFERROR(INDEX(INV_NAME,MATCH(B205,INV_ID,0)),"CHECK: Supplier ID not found"))</f>
        <v/>
      </c>
      <c r="D205" s="34"/>
      <c r="E205" s="34"/>
      <c r="F205" s="34"/>
      <c r="G205" s="34"/>
      <c r="H205" s="51"/>
      <c r="I205" s="51"/>
      <c r="J205" s="51"/>
      <c r="K205" s="51"/>
      <c r="L205" s="34"/>
      <c r="M205" s="34"/>
      <c r="N205" s="34"/>
      <c r="O205" s="34"/>
      <c r="P205" s="34"/>
      <c r="Q205" s="34"/>
      <c r="R205" s="50"/>
      <c r="S205" s="50"/>
      <c r="T205" s="51"/>
      <c r="U205" s="34"/>
      <c r="V205" s="51"/>
      <c r="W205" s="54" t="str">
        <f aca="false">IF(A205="","",IF(ISNUMBER(I205),IF(I205&lt;AsOf,"Expired",IF(I205&lt;=AsOf+WarnEvidenceDays,"Approaching expiry","Current")),IF(ISNUMBER(K205),IF(K205&lt;AsOf,"Historical period ended "&amp;TEXT(K205,"yyyy-mm-dd")&amp;" - assess relevance; request update","Period current"),"No expiry or period recorded")))</f>
        <v/>
      </c>
      <c r="X205" s="52" t="str">
        <f aca="false">IF(A205="","",IF(OR(N205="Pending verification",N205=""),"Verification pending",""))</f>
        <v/>
      </c>
      <c r="Y205" s="54" t="str">
        <f aca="false">IF(A205="","",IF(R205="Yes","Scope limitation recorded",""))</f>
        <v/>
      </c>
      <c r="Z205" s="52" t="str">
        <f aca="false">IF(A205="","",IF(AND(ISNUMBER(V205),V205&lt;AsOf,U205&lt;&gt;""),"Follow-up overdue",""))</f>
        <v/>
      </c>
      <c r="AA205" s="54" t="str">
        <f aca="false">IF(A205="","",IF(COUNTIF(EV_ID,A205)&gt;1,"CHECK: duplicate ID",IF(B205="","CHECK: Supplier ID missing",IF(COUNTIF(INV_ID,B205)=0,"CHECK: Supplier ID not in inventory","OK"))))</f>
        <v/>
      </c>
      <c r="AB205" s="52" t="str">
        <f aca="false">IF(OR(A205="",B205=""),"",IF(B205=RptSup,B205&amp;"|"&amp;COUNTIF($B$7:B205,B205),""))</f>
        <v/>
      </c>
    </row>
    <row r="206" customFormat="false" ht="15" hidden="false" customHeight="false" outlineLevel="0" collapsed="false">
      <c r="A206" s="50"/>
      <c r="B206" s="50"/>
      <c r="C206" s="59" t="str">
        <f aca="false">IF(B206="","",IFERROR(INDEX(INV_NAME,MATCH(B206,INV_ID,0)),"CHECK: Supplier ID not found"))</f>
        <v/>
      </c>
      <c r="D206" s="34"/>
      <c r="E206" s="34"/>
      <c r="F206" s="34"/>
      <c r="G206" s="34"/>
      <c r="H206" s="51"/>
      <c r="I206" s="51"/>
      <c r="J206" s="51"/>
      <c r="K206" s="51"/>
      <c r="L206" s="34"/>
      <c r="M206" s="34"/>
      <c r="N206" s="34"/>
      <c r="O206" s="34"/>
      <c r="P206" s="34"/>
      <c r="Q206" s="34"/>
      <c r="R206" s="50"/>
      <c r="S206" s="50"/>
      <c r="T206" s="51"/>
      <c r="U206" s="34"/>
      <c r="V206" s="51"/>
      <c r="W206" s="54" t="str">
        <f aca="false">IF(A206="","",IF(ISNUMBER(I206),IF(I206&lt;AsOf,"Expired",IF(I206&lt;=AsOf+WarnEvidenceDays,"Approaching expiry","Current")),IF(ISNUMBER(K206),IF(K206&lt;AsOf,"Historical period ended "&amp;TEXT(K206,"yyyy-mm-dd")&amp;" - assess relevance; request update","Period current"),"No expiry or period recorded")))</f>
        <v/>
      </c>
      <c r="X206" s="52" t="str">
        <f aca="false">IF(A206="","",IF(OR(N206="Pending verification",N206=""),"Verification pending",""))</f>
        <v/>
      </c>
      <c r="Y206" s="54" t="str">
        <f aca="false">IF(A206="","",IF(R206="Yes","Scope limitation recorded",""))</f>
        <v/>
      </c>
      <c r="Z206" s="52" t="str">
        <f aca="false">IF(A206="","",IF(AND(ISNUMBER(V206),V206&lt;AsOf,U206&lt;&gt;""),"Follow-up overdue",""))</f>
        <v/>
      </c>
      <c r="AA206" s="54" t="str">
        <f aca="false">IF(A206="","",IF(COUNTIF(EV_ID,A206)&gt;1,"CHECK: duplicate ID",IF(B206="","CHECK: Supplier ID missing",IF(COUNTIF(INV_ID,B206)=0,"CHECK: Supplier ID not in inventory","OK"))))</f>
        <v/>
      </c>
      <c r="AB206" s="52" t="str">
        <f aca="false">IF(OR(A206="",B206=""),"",IF(B206=RptSup,B206&amp;"|"&amp;COUNTIF($B$7:B206,B206),""))</f>
        <v/>
      </c>
    </row>
  </sheetData>
  <sheetProtection sheet="true" formatColumns="false" formatRows="false" sort="false" autoFilter="false"/>
  <conditionalFormatting sqref="W7:W206">
    <cfRule type="expression" priority="2" aboveAverage="0" equalAverage="0" bottom="0" percent="0" rank="0" text="" dxfId="0">
      <formula>OR(ISNUMBER(SEARCH("Above appetite",W7)),ISNUMBER(SEARCH("Overdue",W7)),ISNUMBER(SEARCH("Expired",W7)),ISNUMBER(SEARCH("Breach",W7)),ISNUMBER(SEARCH("CHECK",W7)),ISNUMBER(SEARCH("Not ready",W7)),ISNUMBER(SEARCH("REMAINS",W7)),ISNUMBER(SEARCH("Failed",W7)),ISNUMBER(SEARCH("Cannot assess",W7)))</formula>
    </cfRule>
    <cfRule type="expression" priority="3" aboveAverage="0" equalAverage="0" bottom="0" percent="0" rank="0" text="" dxfId="21">
      <formula>OR(ISNUMBER(SEARCH("Incomplete",W7)),ISNUMBER(SEARCH("Pending",W7)),ISNUMBER(SEARCH("Approaching",W7)),ISNUMBER(SEARCH("insufficient",W7)),ISNUMBER(SEARCH("Awaiting",W7)),ISNUMBER(SEARCH("Review due",W7)),ISNUMBER(SEARCH("Not configured",W7)),ISNUMBER(SEARCH("Not classified",W7)),ISNUMBER(SEARCH("Proposed",W7)),ISNUMBER(SEARCH("Verification",W7)),ISNUMBER(SEARCH("Scope limitation",W7)),ISNUMBER(SEARCH("Follow-up",W7)),ISNUMBER(SEARCH("Open gap",W7)),ISNUMBER(SEARCH("Delivered - verification",W7)),ISNUMBER(SEARCH("Historical",W7)),ISNUMBER(SEARCH("Not scheduled",W7)),ISNUMBER(SEARCH("Not determined",W7)),ISNUMBER(SEARCH("Decision record",W7)),ISNUMBER(SEARCH("Due soon",W7)),ISNUMBER(SEARCH("Not reviewed",W7)),ISNUMBER(SEARCH("Tier not",W7)),ISNUMBER(SEARCH("No decision",W7)),ISNUMBER(SEARCH("Superseded",W7)),ISNUMBER(SEARCH("Optional",W7)),ISNUMBER(SEARCH("legal review",W7)),ISNUMBER(SEARCH("No treatment",W7)),ISNUMBER(SEARCH("not recorded",W7)),ISNUMBER(SEARCH("consider",W7)),ISNUMBER(SEARCH("Not set",W7)),ISNUMBER(SEARCH("Not started",W7)),ISNUMBER(SEARCH("No expiry",W7)),ISNUMBER(SEARCH("No KRI",W7)),ISNUMBER(SEARCH("no reassessment",W7)),ISNUMBER(SEARCH("Applicability",W7)),ISNUMBER(SEARCH("Not current",W7)),ISNUMBER(SEARCH("assess relevance",W7)))</formula>
    </cfRule>
    <cfRule type="expression" priority="4" aboveAverage="0" equalAverage="0" bottom="0" percent="0" rank="0" text="" dxfId="22">
      <formula>OR(LEFT(W7,2)="OK",LEFT(W7,8)="Complete",LEFT(W7,7)="Current",LEFT(W7,10)="Authorised",LEFT(W7,6)="Within",LEFT(W7,11)="On schedule",LEFT(W7,17)="Ready for closure",LEFT(W7,17)="Evidence reviewed",LEFT(W7,19)="Decision referenced",LEFT(W7,27)="Reassessment event recorded",LEFT(W7,14)="Period current",LEFT(W7,17)="Gap dispositioned",LEFT(W7,17)="Reviewed - no gap",LEFT(W7,11)="Recommended",LEFT(W7,17)="Closed - verified")</formula>
    </cfRule>
  </conditionalFormatting>
  <conditionalFormatting sqref="X7:X206">
    <cfRule type="expression" priority="5" aboveAverage="0" equalAverage="0" bottom="0" percent="0" rank="0" text="" dxfId="0">
      <formula>OR(ISNUMBER(SEARCH("Above appetite",X7)),ISNUMBER(SEARCH("Overdue",X7)),ISNUMBER(SEARCH("Expired",X7)),ISNUMBER(SEARCH("Breach",X7)),ISNUMBER(SEARCH("CHECK",X7)),ISNUMBER(SEARCH("Not ready",X7)),ISNUMBER(SEARCH("REMAINS",X7)),ISNUMBER(SEARCH("Failed",X7)),ISNUMBER(SEARCH("Cannot assess",X7)))</formula>
    </cfRule>
    <cfRule type="expression" priority="6" aboveAverage="0" equalAverage="0" bottom="0" percent="0" rank="0" text="" dxfId="21">
      <formula>OR(ISNUMBER(SEARCH("Incomplete",X7)),ISNUMBER(SEARCH("Pending",X7)),ISNUMBER(SEARCH("Approaching",X7)),ISNUMBER(SEARCH("insufficient",X7)),ISNUMBER(SEARCH("Awaiting",X7)),ISNUMBER(SEARCH("Review due",X7)),ISNUMBER(SEARCH("Not configured",X7)),ISNUMBER(SEARCH("Not classified",X7)),ISNUMBER(SEARCH("Proposed",X7)),ISNUMBER(SEARCH("Verification",X7)),ISNUMBER(SEARCH("Scope limitation",X7)),ISNUMBER(SEARCH("Follow-up",X7)),ISNUMBER(SEARCH("Open gap",X7)),ISNUMBER(SEARCH("Delivered - verification",X7)),ISNUMBER(SEARCH("Historical",X7)),ISNUMBER(SEARCH("Not scheduled",X7)),ISNUMBER(SEARCH("Not determined",X7)),ISNUMBER(SEARCH("Decision record",X7)),ISNUMBER(SEARCH("Due soon",X7)),ISNUMBER(SEARCH("Not reviewed",X7)),ISNUMBER(SEARCH("Tier not",X7)),ISNUMBER(SEARCH("No decision",X7)),ISNUMBER(SEARCH("Superseded",X7)),ISNUMBER(SEARCH("Optional",X7)),ISNUMBER(SEARCH("legal review",X7)),ISNUMBER(SEARCH("No treatment",X7)),ISNUMBER(SEARCH("not recorded",X7)),ISNUMBER(SEARCH("consider",X7)),ISNUMBER(SEARCH("Not set",X7)),ISNUMBER(SEARCH("Not started",X7)),ISNUMBER(SEARCH("No expiry",X7)),ISNUMBER(SEARCH("No KRI",X7)),ISNUMBER(SEARCH("no reassessment",X7)),ISNUMBER(SEARCH("Applicability",X7)),ISNUMBER(SEARCH("Not current",X7)),ISNUMBER(SEARCH("assess relevance",X7)))</formula>
    </cfRule>
    <cfRule type="expression" priority="7" aboveAverage="0" equalAverage="0" bottom="0" percent="0" rank="0" text="" dxfId="22">
      <formula>OR(LEFT(X7,2)="OK",LEFT(X7,8)="Complete",LEFT(X7,7)="Current",LEFT(X7,10)="Authorised",LEFT(X7,6)="Within",LEFT(X7,11)="On schedule",LEFT(X7,17)="Ready for closure",LEFT(X7,17)="Evidence reviewed",LEFT(X7,19)="Decision referenced",LEFT(X7,27)="Reassessment event recorded",LEFT(X7,14)="Period current",LEFT(X7,17)="Gap dispositioned",LEFT(X7,17)="Reviewed - no gap",LEFT(X7,11)="Recommended",LEFT(X7,17)="Closed - verified")</formula>
    </cfRule>
  </conditionalFormatting>
  <conditionalFormatting sqref="Y7:Y206">
    <cfRule type="expression" priority="8" aboveAverage="0" equalAverage="0" bottom="0" percent="0" rank="0" text="" dxfId="0">
      <formula>OR(ISNUMBER(SEARCH("Above appetite",Y7)),ISNUMBER(SEARCH("Overdue",Y7)),ISNUMBER(SEARCH("Expired",Y7)),ISNUMBER(SEARCH("Breach",Y7)),ISNUMBER(SEARCH("CHECK",Y7)),ISNUMBER(SEARCH("Not ready",Y7)),ISNUMBER(SEARCH("REMAINS",Y7)),ISNUMBER(SEARCH("Failed",Y7)),ISNUMBER(SEARCH("Cannot assess",Y7)))</formula>
    </cfRule>
    <cfRule type="expression" priority="9" aboveAverage="0" equalAverage="0" bottom="0" percent="0" rank="0" text="" dxfId="21">
      <formula>OR(ISNUMBER(SEARCH("Incomplete",Y7)),ISNUMBER(SEARCH("Pending",Y7)),ISNUMBER(SEARCH("Approaching",Y7)),ISNUMBER(SEARCH("insufficient",Y7)),ISNUMBER(SEARCH("Awaiting",Y7)),ISNUMBER(SEARCH("Review due",Y7)),ISNUMBER(SEARCH("Not configured",Y7)),ISNUMBER(SEARCH("Not classified",Y7)),ISNUMBER(SEARCH("Proposed",Y7)),ISNUMBER(SEARCH("Verification",Y7)),ISNUMBER(SEARCH("Scope limitation",Y7)),ISNUMBER(SEARCH("Follow-up",Y7)),ISNUMBER(SEARCH("Open gap",Y7)),ISNUMBER(SEARCH("Delivered - verification",Y7)),ISNUMBER(SEARCH("Historical",Y7)),ISNUMBER(SEARCH("Not scheduled",Y7)),ISNUMBER(SEARCH("Not determined",Y7)),ISNUMBER(SEARCH("Decision record",Y7)),ISNUMBER(SEARCH("Due soon",Y7)),ISNUMBER(SEARCH("Not reviewed",Y7)),ISNUMBER(SEARCH("Tier not",Y7)),ISNUMBER(SEARCH("No decision",Y7)),ISNUMBER(SEARCH("Superseded",Y7)),ISNUMBER(SEARCH("Optional",Y7)),ISNUMBER(SEARCH("legal review",Y7)),ISNUMBER(SEARCH("No treatment",Y7)),ISNUMBER(SEARCH("not recorded",Y7)),ISNUMBER(SEARCH("consider",Y7)),ISNUMBER(SEARCH("Not set",Y7)),ISNUMBER(SEARCH("Not started",Y7)),ISNUMBER(SEARCH("No expiry",Y7)),ISNUMBER(SEARCH("No KRI",Y7)),ISNUMBER(SEARCH("no reassessment",Y7)),ISNUMBER(SEARCH("Applicability",Y7)),ISNUMBER(SEARCH("Not current",Y7)),ISNUMBER(SEARCH("assess relevance",Y7)))</formula>
    </cfRule>
    <cfRule type="expression" priority="10" aboveAverage="0" equalAverage="0" bottom="0" percent="0" rank="0" text="" dxfId="22">
      <formula>OR(LEFT(Y7,2)="OK",LEFT(Y7,8)="Complete",LEFT(Y7,7)="Current",LEFT(Y7,10)="Authorised",LEFT(Y7,6)="Within",LEFT(Y7,11)="On schedule",LEFT(Y7,17)="Ready for closure",LEFT(Y7,17)="Evidence reviewed",LEFT(Y7,19)="Decision referenced",LEFT(Y7,27)="Reassessment event recorded",LEFT(Y7,14)="Period current",LEFT(Y7,17)="Gap dispositioned",LEFT(Y7,17)="Reviewed - no gap",LEFT(Y7,11)="Recommended",LEFT(Y7,17)="Closed - verified")</formula>
    </cfRule>
  </conditionalFormatting>
  <conditionalFormatting sqref="Z7:Z206">
    <cfRule type="expression" priority="11" aboveAverage="0" equalAverage="0" bottom="0" percent="0" rank="0" text="" dxfId="0">
      <formula>OR(ISNUMBER(SEARCH("Above appetite",Z7)),ISNUMBER(SEARCH("Overdue",Z7)),ISNUMBER(SEARCH("Expired",Z7)),ISNUMBER(SEARCH("Breach",Z7)),ISNUMBER(SEARCH("CHECK",Z7)),ISNUMBER(SEARCH("Not ready",Z7)),ISNUMBER(SEARCH("REMAINS",Z7)),ISNUMBER(SEARCH("Failed",Z7)),ISNUMBER(SEARCH("Cannot assess",Z7)))</formula>
    </cfRule>
    <cfRule type="expression" priority="12" aboveAverage="0" equalAverage="0" bottom="0" percent="0" rank="0" text="" dxfId="21">
      <formula>OR(ISNUMBER(SEARCH("Incomplete",Z7)),ISNUMBER(SEARCH("Pending",Z7)),ISNUMBER(SEARCH("Approaching",Z7)),ISNUMBER(SEARCH("insufficient",Z7)),ISNUMBER(SEARCH("Awaiting",Z7)),ISNUMBER(SEARCH("Review due",Z7)),ISNUMBER(SEARCH("Not configured",Z7)),ISNUMBER(SEARCH("Not classified",Z7)),ISNUMBER(SEARCH("Proposed",Z7)),ISNUMBER(SEARCH("Verification",Z7)),ISNUMBER(SEARCH("Scope limitation",Z7)),ISNUMBER(SEARCH("Follow-up",Z7)),ISNUMBER(SEARCH("Open gap",Z7)),ISNUMBER(SEARCH("Delivered - verification",Z7)),ISNUMBER(SEARCH("Historical",Z7)),ISNUMBER(SEARCH("Not scheduled",Z7)),ISNUMBER(SEARCH("Not determined",Z7)),ISNUMBER(SEARCH("Decision record",Z7)),ISNUMBER(SEARCH("Due soon",Z7)),ISNUMBER(SEARCH("Not reviewed",Z7)),ISNUMBER(SEARCH("Tier not",Z7)),ISNUMBER(SEARCH("No decision",Z7)),ISNUMBER(SEARCH("Superseded",Z7)),ISNUMBER(SEARCH("Optional",Z7)),ISNUMBER(SEARCH("legal review",Z7)),ISNUMBER(SEARCH("No treatment",Z7)),ISNUMBER(SEARCH("not recorded",Z7)),ISNUMBER(SEARCH("consider",Z7)),ISNUMBER(SEARCH("Not set",Z7)),ISNUMBER(SEARCH("Not started",Z7)),ISNUMBER(SEARCH("No expiry",Z7)),ISNUMBER(SEARCH("No KRI",Z7)),ISNUMBER(SEARCH("no reassessment",Z7)),ISNUMBER(SEARCH("Applicability",Z7)),ISNUMBER(SEARCH("Not current",Z7)),ISNUMBER(SEARCH("assess relevance",Z7)))</formula>
    </cfRule>
    <cfRule type="expression" priority="13" aboveAverage="0" equalAverage="0" bottom="0" percent="0" rank="0" text="" dxfId="22">
      <formula>OR(LEFT(Z7,2)="OK",LEFT(Z7,8)="Complete",LEFT(Z7,7)="Current",LEFT(Z7,10)="Authorised",LEFT(Z7,6)="Within",LEFT(Z7,11)="On schedule",LEFT(Z7,17)="Ready for closure",LEFT(Z7,17)="Evidence reviewed",LEFT(Z7,19)="Decision referenced",LEFT(Z7,27)="Reassessment event recorded",LEFT(Z7,14)="Period current",LEFT(Z7,17)="Gap dispositioned",LEFT(Z7,17)="Reviewed - no gap",LEFT(Z7,11)="Recommended",LEFT(Z7,17)="Closed - verified")</formula>
    </cfRule>
  </conditionalFormatting>
  <conditionalFormatting sqref="AA7:AA206">
    <cfRule type="expression" priority="14" aboveAverage="0" equalAverage="0" bottom="0" percent="0" rank="0" text="" dxfId="0">
      <formula>OR(ISNUMBER(SEARCH("Above appetite",AA7)),ISNUMBER(SEARCH("Overdue",AA7)),ISNUMBER(SEARCH("Expired",AA7)),ISNUMBER(SEARCH("Breach",AA7)),ISNUMBER(SEARCH("CHECK",AA7)),ISNUMBER(SEARCH("Not ready",AA7)),ISNUMBER(SEARCH("REMAINS",AA7)),ISNUMBER(SEARCH("Failed",AA7)),ISNUMBER(SEARCH("Cannot assess",AA7)))</formula>
    </cfRule>
    <cfRule type="expression" priority="15" aboveAverage="0" equalAverage="0" bottom="0" percent="0" rank="0" text="" dxfId="21">
      <formula>OR(ISNUMBER(SEARCH("Incomplete",AA7)),ISNUMBER(SEARCH("Pending",AA7)),ISNUMBER(SEARCH("Approaching",AA7)),ISNUMBER(SEARCH("insufficient",AA7)),ISNUMBER(SEARCH("Awaiting",AA7)),ISNUMBER(SEARCH("Review due",AA7)),ISNUMBER(SEARCH("Not configured",AA7)),ISNUMBER(SEARCH("Not classified",AA7)),ISNUMBER(SEARCH("Proposed",AA7)),ISNUMBER(SEARCH("Verification",AA7)),ISNUMBER(SEARCH("Scope limitation",AA7)),ISNUMBER(SEARCH("Follow-up",AA7)),ISNUMBER(SEARCH("Open gap",AA7)),ISNUMBER(SEARCH("Delivered - verification",AA7)),ISNUMBER(SEARCH("Historical",AA7)),ISNUMBER(SEARCH("Not scheduled",AA7)),ISNUMBER(SEARCH("Not determined",AA7)),ISNUMBER(SEARCH("Decision record",AA7)),ISNUMBER(SEARCH("Due soon",AA7)),ISNUMBER(SEARCH("Not reviewed",AA7)),ISNUMBER(SEARCH("Tier not",AA7)),ISNUMBER(SEARCH("No decision",AA7)),ISNUMBER(SEARCH("Superseded",AA7)),ISNUMBER(SEARCH("Optional",AA7)),ISNUMBER(SEARCH("legal review",AA7)),ISNUMBER(SEARCH("No treatment",AA7)),ISNUMBER(SEARCH("not recorded",AA7)),ISNUMBER(SEARCH("consider",AA7)),ISNUMBER(SEARCH("Not set",AA7)),ISNUMBER(SEARCH("Not started",AA7)),ISNUMBER(SEARCH("No expiry",AA7)),ISNUMBER(SEARCH("No KRI",AA7)),ISNUMBER(SEARCH("no reassessment",AA7)),ISNUMBER(SEARCH("Applicability",AA7)),ISNUMBER(SEARCH("Not current",AA7)),ISNUMBER(SEARCH("assess relevance",AA7)))</formula>
    </cfRule>
    <cfRule type="expression" priority="16" aboveAverage="0" equalAverage="0" bottom="0" percent="0" rank="0" text="" dxfId="22">
      <formula>OR(LEFT(AA7,2)="OK",LEFT(AA7,8)="Complete",LEFT(AA7,7)="Current",LEFT(AA7,10)="Authorised",LEFT(AA7,6)="Within",LEFT(AA7,11)="On schedule",LEFT(AA7,17)="Ready for closure",LEFT(AA7,17)="Evidence reviewed",LEFT(AA7,19)="Decision referenced",LEFT(AA7,27)="Reassessment event recorded",LEFT(AA7,14)="Period current",LEFT(AA7,17)="Gap dispositioned",LEFT(AA7,17)="Reviewed - no gap",LEFT(AA7,11)="Recommended",LEFT(AA7,17)="Closed - verified")</formula>
    </cfRule>
  </conditionalFormatting>
  <conditionalFormatting sqref="AB7:AB206">
    <cfRule type="expression" priority="17" aboveAverage="0" equalAverage="0" bottom="0" percent="0" rank="0" text="" dxfId="0">
      <formula>OR(ISNUMBER(SEARCH("Above appetite",AB7)),ISNUMBER(SEARCH("Overdue",AB7)),ISNUMBER(SEARCH("Expired",AB7)),ISNUMBER(SEARCH("Breach",AB7)),ISNUMBER(SEARCH("CHECK",AB7)),ISNUMBER(SEARCH("Not ready",AB7)),ISNUMBER(SEARCH("REMAINS",AB7)),ISNUMBER(SEARCH("Failed",AB7)),ISNUMBER(SEARCH("Cannot assess",AB7)))</formula>
    </cfRule>
    <cfRule type="expression" priority="18" aboveAverage="0" equalAverage="0" bottom="0" percent="0" rank="0" text="" dxfId="21">
      <formula>OR(ISNUMBER(SEARCH("Incomplete",AB7)),ISNUMBER(SEARCH("Pending",AB7)),ISNUMBER(SEARCH("Approaching",AB7)),ISNUMBER(SEARCH("insufficient",AB7)),ISNUMBER(SEARCH("Awaiting",AB7)),ISNUMBER(SEARCH("Review due",AB7)),ISNUMBER(SEARCH("Not configured",AB7)),ISNUMBER(SEARCH("Not classified",AB7)),ISNUMBER(SEARCH("Proposed",AB7)),ISNUMBER(SEARCH("Verification",AB7)),ISNUMBER(SEARCH("Scope limitation",AB7)),ISNUMBER(SEARCH("Follow-up",AB7)),ISNUMBER(SEARCH("Open gap",AB7)),ISNUMBER(SEARCH("Delivered - verification",AB7)),ISNUMBER(SEARCH("Historical",AB7)),ISNUMBER(SEARCH("Not scheduled",AB7)),ISNUMBER(SEARCH("Not determined",AB7)),ISNUMBER(SEARCH("Decision record",AB7)),ISNUMBER(SEARCH("Due soon",AB7)),ISNUMBER(SEARCH("Not reviewed",AB7)),ISNUMBER(SEARCH("Tier not",AB7)),ISNUMBER(SEARCH("No decision",AB7)),ISNUMBER(SEARCH("Superseded",AB7)),ISNUMBER(SEARCH("Optional",AB7)),ISNUMBER(SEARCH("legal review",AB7)),ISNUMBER(SEARCH("No treatment",AB7)),ISNUMBER(SEARCH("not recorded",AB7)),ISNUMBER(SEARCH("consider",AB7)),ISNUMBER(SEARCH("Not set",AB7)),ISNUMBER(SEARCH("Not started",AB7)),ISNUMBER(SEARCH("No expiry",AB7)),ISNUMBER(SEARCH("No KRI",AB7)),ISNUMBER(SEARCH("no reassessment",AB7)),ISNUMBER(SEARCH("Applicability",AB7)),ISNUMBER(SEARCH("Not current",AB7)),ISNUMBER(SEARCH("assess relevance",AB7)))</formula>
    </cfRule>
    <cfRule type="expression" priority="19" aboveAverage="0" equalAverage="0" bottom="0" percent="0" rank="0" text="" dxfId="22">
      <formula>OR(LEFT(AB7,2)="OK",LEFT(AB7,8)="Complete",LEFT(AB7,7)="Current",LEFT(AB7,10)="Authorised",LEFT(AB7,6)="Within",LEFT(AB7,11)="On schedule",LEFT(AB7,17)="Ready for closure",LEFT(AB7,17)="Evidence reviewed",LEFT(AB7,19)="Decision referenced",LEFT(AB7,27)="Reassessment event recorded",LEFT(AB7,14)="Period current",LEFT(AB7,17)="Gap dispositioned",LEFT(AB7,17)="Reviewed - no gap",LEFT(AB7,11)="Recommended",LEFT(AB7,17)="Closed - verified")</formula>
    </cfRule>
  </conditionalFormatting>
  <conditionalFormatting sqref="A7:A206">
    <cfRule type="expression" priority="20" aboveAverage="0" equalAverage="0" bottom="0" percent="0" rank="0" text="" dxfId="0">
      <formula>AND(A7&lt;&gt;"",COUNTIF($A$7:$A$206,A7)&gt;1)</formula>
    </cfRule>
  </conditionalFormatting>
  <dataValidations count="6">
    <dataValidation allowBlank="true" error="Enter a valid date (on or after 1 Jan 2000)." errorStyle="stop" errorTitle="Invalid date" operator="greaterThanOrEqual" showDropDown="false" showErrorMessage="true" showInputMessage="false" sqref="H7:K206 T7:T206 V7:V206" type="date">
      <formula1>36526</formula1>
      <formula2>0</formula2>
    </dataValidation>
    <dataValidation allowBlank="true" error="Choose a value from the list (controlled vocabulary or an existing ID)." errorStyle="stop" errorTitle="Invalid entry" operator="between" showDropDown="false" showErrorMessage="true" showInputMessage="false" sqref="B7:B206" type="list">
      <formula1>INV_ID</formula1>
      <formula2>0</formula2>
    </dataValidation>
    <dataValidation allowBlank="true" error="Choose a value from the list (controlled vocabulary or an existing ID)." errorStyle="stop" errorTitle="Invalid entry" operator="between" showDropDown="false" showErrorMessage="true" showInputMessage="false" sqref="E7:E206" type="list">
      <formula1>L_EvType</formula1>
      <formula2>0</formula2>
    </dataValidation>
    <dataValidation allowBlank="true" error="Choose a value from the list (controlled vocabulary or an existing ID)." errorStyle="stop" errorTitle="Invalid entry" operator="between" showDropDown="false" showErrorMessage="true" showInputMessage="false" sqref="N7:N206" type="list">
      <formula1>L_Verif</formula1>
      <formula2>0</formula2>
    </dataValidation>
    <dataValidation allowBlank="true" error="Choose a value from the list (controlled vocabulary or an existing ID)." errorStyle="stop" errorTitle="Invalid entry" operator="between" showDropDown="false" showErrorMessage="true" showInputMessage="false" sqref="O7:O206" type="list">
      <formula1>L_Suff</formula1>
      <formula2>0</formula2>
    </dataValidation>
    <dataValidation allowBlank="true" error="Choose a value from the list (controlled vocabulary or an existing ID)." errorStyle="stop" errorTitle="Invalid entry" operator="between" showDropDown="false" showErrorMessage="true" showInputMessage="false" sqref="R7:R206" type="list">
      <formula1>L_YesNo</formula1>
      <formula2>0</formula2>
    </dataValidation>
  </dataValidations>
  <hyperlinks>
    <hyperlink ref="H1" r:id="rId1" location="'01%20Start%20Here'!A1" display="&lt;&lt; Back to Start Here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tableParts>
    <tablePart r:id="rId2"/>
  </tableParts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U20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6" topLeftCell="C7" activePane="bottomRight" state="frozen"/>
      <selection pane="topLeft" activeCell="A1" activeCellId="0" sqref="A1"/>
      <selection pane="topRight" activeCell="C1" activeCellId="0" sqref="C1"/>
      <selection pane="bottomLeft" activeCell="A7" activeCellId="0" sqref="A7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2" min="1" style="1" width="12"/>
    <col collapsed="false" customWidth="true" hidden="false" outlineLevel="0" max="3" min="3" style="1" width="22"/>
    <col collapsed="false" customWidth="true" hidden="false" outlineLevel="0" max="4" min="4" style="1" width="28"/>
    <col collapsed="false" customWidth="true" hidden="false" outlineLevel="0" max="5" min="5" style="1" width="11"/>
    <col collapsed="false" customWidth="true" hidden="false" outlineLevel="0" max="6" min="6" style="1" width="30"/>
    <col collapsed="false" customWidth="true" hidden="false" outlineLevel="0" max="7" min="7" style="1" width="16"/>
    <col collapsed="false" customWidth="true" hidden="false" outlineLevel="0" max="9" min="8" style="1" width="17"/>
    <col collapsed="false" customWidth="true" hidden="false" outlineLevel="0" max="10" min="10" style="1" width="18"/>
    <col collapsed="false" customWidth="true" hidden="false" outlineLevel="0" max="11" min="11" style="1" width="11"/>
    <col collapsed="false" customWidth="true" hidden="false" outlineLevel="0" max="12" min="12" style="1" width="16"/>
    <col collapsed="false" customWidth="true" hidden="false" outlineLevel="0" max="13" min="13" style="1" width="20"/>
    <col collapsed="false" customWidth="true" hidden="false" outlineLevel="0" max="14" min="14" style="1" width="16"/>
    <col collapsed="false" customWidth="true" hidden="false" outlineLevel="0" max="15" min="15" style="1" width="11"/>
    <col collapsed="false" customWidth="true" hidden="false" outlineLevel="0" max="16" min="16" style="1" width="14"/>
    <col collapsed="false" customWidth="true" hidden="false" outlineLevel="0" max="17" min="17" style="1" width="13"/>
    <col collapsed="false" customWidth="true" hidden="false" outlineLevel="0" max="18" min="18" style="1" width="40"/>
    <col collapsed="false" customWidth="true" hidden="false" outlineLevel="0" max="21" min="19" style="1" width="34"/>
  </cols>
  <sheetData>
    <row r="1" customFormat="false" ht="17.35" hidden="false" customHeight="false" outlineLevel="0" collapsed="false">
      <c r="A1" s="22" t="s">
        <v>22</v>
      </c>
      <c r="H1" s="10" t="s">
        <v>100</v>
      </c>
    </row>
    <row r="2" customFormat="false" ht="15" hidden="false" customHeight="false" outlineLevel="0" collapsed="false">
      <c r="A2" s="3" t="s">
        <v>1331</v>
      </c>
    </row>
    <row r="3" customFormat="false" ht="15" hidden="false" customHeight="false" outlineLevel="0" collapsed="false">
      <c r="A3" s="4" t="s">
        <v>1332</v>
      </c>
    </row>
    <row r="4" customFormat="false" ht="24" hidden="false" customHeight="true" outlineLevel="0" collapsed="false">
      <c r="A4" s="45" t="s">
        <v>69</v>
      </c>
      <c r="B4" s="45" t="s">
        <v>69</v>
      </c>
      <c r="C4" s="55" t="s">
        <v>73</v>
      </c>
      <c r="D4" s="45" t="s">
        <v>69</v>
      </c>
      <c r="E4" s="45" t="s">
        <v>69</v>
      </c>
      <c r="F4" s="45" t="s">
        <v>69</v>
      </c>
      <c r="G4" s="45" t="s">
        <v>69</v>
      </c>
      <c r="H4" s="45" t="s">
        <v>69</v>
      </c>
      <c r="I4" s="45" t="s">
        <v>69</v>
      </c>
      <c r="J4" s="45" t="s">
        <v>69</v>
      </c>
      <c r="K4" s="46" t="s">
        <v>442</v>
      </c>
      <c r="L4" s="45" t="s">
        <v>69</v>
      </c>
      <c r="M4" s="45" t="s">
        <v>69</v>
      </c>
      <c r="N4" s="45" t="s">
        <v>69</v>
      </c>
      <c r="O4" s="45" t="s">
        <v>69</v>
      </c>
      <c r="P4" s="45" t="s">
        <v>69</v>
      </c>
      <c r="Q4" s="45" t="s">
        <v>69</v>
      </c>
      <c r="R4" s="45" t="s">
        <v>69</v>
      </c>
      <c r="S4" s="46" t="s">
        <v>442</v>
      </c>
      <c r="T4" s="46" t="s">
        <v>442</v>
      </c>
      <c r="U4" s="46" t="s">
        <v>442</v>
      </c>
    </row>
    <row r="5" customFormat="false" ht="30" hidden="false" customHeight="true" outlineLevel="0" collapsed="false">
      <c r="A5" s="47" t="s">
        <v>599</v>
      </c>
      <c r="B5" s="47" t="s">
        <v>443</v>
      </c>
      <c r="C5" s="47"/>
      <c r="D5" s="47" t="s">
        <v>1333</v>
      </c>
      <c r="E5" s="47" t="s">
        <v>1334</v>
      </c>
      <c r="F5" s="47"/>
      <c r="G5" s="47" t="s">
        <v>1335</v>
      </c>
      <c r="H5" s="47" t="s">
        <v>1336</v>
      </c>
      <c r="I5" s="47" t="s">
        <v>1337</v>
      </c>
      <c r="J5" s="47" t="s">
        <v>1143</v>
      </c>
      <c r="K5" s="47"/>
      <c r="L5" s="47" t="s">
        <v>1338</v>
      </c>
      <c r="M5" s="47" t="s">
        <v>1339</v>
      </c>
      <c r="N5" s="47" t="s">
        <v>1337</v>
      </c>
      <c r="O5" s="47" t="s">
        <v>1340</v>
      </c>
      <c r="P5" s="47"/>
      <c r="Q5" s="47" t="s">
        <v>1341</v>
      </c>
      <c r="R5" s="47"/>
      <c r="S5" s="47"/>
      <c r="T5" s="47"/>
      <c r="U5" s="47"/>
    </row>
    <row r="6" customFormat="false" ht="48" hidden="false" customHeight="true" outlineLevel="0" collapsed="false">
      <c r="A6" s="48" t="s">
        <v>1342</v>
      </c>
      <c r="B6" s="48" t="s">
        <v>456</v>
      </c>
      <c r="C6" s="57" t="s">
        <v>538</v>
      </c>
      <c r="D6" s="48" t="s">
        <v>1343</v>
      </c>
      <c r="E6" s="48" t="s">
        <v>1344</v>
      </c>
      <c r="F6" s="48" t="s">
        <v>1345</v>
      </c>
      <c r="G6" s="48" t="s">
        <v>1346</v>
      </c>
      <c r="H6" s="48" t="s">
        <v>1347</v>
      </c>
      <c r="I6" s="48" t="s">
        <v>1348</v>
      </c>
      <c r="J6" s="48" t="s">
        <v>1349</v>
      </c>
      <c r="K6" s="49" t="s">
        <v>1153</v>
      </c>
      <c r="L6" s="48" t="s">
        <v>1350</v>
      </c>
      <c r="M6" s="48" t="s">
        <v>1351</v>
      </c>
      <c r="N6" s="48" t="s">
        <v>1352</v>
      </c>
      <c r="O6" s="48" t="s">
        <v>1353</v>
      </c>
      <c r="P6" s="48" t="s">
        <v>1354</v>
      </c>
      <c r="Q6" s="48" t="s">
        <v>539</v>
      </c>
      <c r="R6" s="48" t="s">
        <v>1355</v>
      </c>
      <c r="S6" s="49" t="s">
        <v>1356</v>
      </c>
      <c r="T6" s="49" t="s">
        <v>1357</v>
      </c>
      <c r="U6" s="49" t="s">
        <v>560</v>
      </c>
    </row>
    <row r="7" customFormat="false" ht="46.25" hidden="false" customHeight="false" outlineLevel="0" collapsed="false">
      <c r="A7" s="50" t="s">
        <v>1358</v>
      </c>
      <c r="B7" s="50" t="s">
        <v>479</v>
      </c>
      <c r="C7" s="59" t="str">
        <f aca="false">IF(B7="","",IFERROR(INDEX(INV_NAME,MATCH(B7,INV_ID,0)),"CHECK: Supplier ID not found"))</f>
        <v>Northwind Cloud Hosting Ltd</v>
      </c>
      <c r="D7" s="34" t="s">
        <v>1359</v>
      </c>
      <c r="E7" s="50" t="s">
        <v>643</v>
      </c>
      <c r="F7" s="34" t="s">
        <v>1360</v>
      </c>
      <c r="G7" s="34" t="s">
        <v>255</v>
      </c>
      <c r="H7" s="34" t="s">
        <v>256</v>
      </c>
      <c r="I7" s="34" t="s">
        <v>274</v>
      </c>
      <c r="J7" s="34" t="s">
        <v>1167</v>
      </c>
      <c r="K7" s="62" t="n">
        <f aca="false">IF(J7="","",SUMPRODUCT(ISNUMBER(SEARCH(","&amp;EV_ID&amp;",",","&amp;SUBSTITUTE(J7," ","")&amp;","))*(EV_ID&lt;&gt;"")))</f>
        <v>1</v>
      </c>
      <c r="L7" s="34" t="s">
        <v>327</v>
      </c>
      <c r="M7" s="34" t="s">
        <v>328</v>
      </c>
      <c r="N7" s="34" t="s">
        <v>274</v>
      </c>
      <c r="O7" s="50" t="s">
        <v>1361</v>
      </c>
      <c r="P7" s="50" t="s">
        <v>1192</v>
      </c>
      <c r="Q7" s="51" t="n">
        <v>46277</v>
      </c>
      <c r="R7" s="34" t="s">
        <v>1362</v>
      </c>
      <c r="S7" s="54" t="str">
        <f aca="false">IF(A7="","",IF(M7="Confirmed weakness","Confirmed weakness",IF(OR(M7="Evidence insufficient",L7="Insufficient"),"Assurance limitation (evidence insufficient)",IF(AND(G7="Adequate",H7="Implemented",I7="Operating",L7="Sufficient"),"Design, implementation and operation evidenced",IF(AND(G7="Adequate",H7="Implemented"),"Designed and implemented; operation not evidenced",IF(G7="Adequate","Designed; implementation not evidenced","Not yet determined"))))))</f>
        <v>Assurance limitation (evidence insufficient)</v>
      </c>
      <c r="T7" s="54" t="str">
        <f aca="false">IF(A7="","",IF(AND(L7="Insufficient",N7="Ineffective"),"CHECK: evidence gap rated Ineffective - not permitted; record as Evidence insufficient",IF(AND(N7="Ineffective",M7&lt;&gt;"Confirmed weakness",M7&lt;&gt;"Exception identified"),"CHECK: Ineffective without a confirmed weakness or exception","OK")))</f>
        <v>OK</v>
      </c>
      <c r="U7" s="54" t="str">
        <f aca="false">IF(A7="","",IF(COUNTIF(CA_ID,A7)&gt;1,"CHECK: duplicate ID",IF(B7="","CHECK: Supplier ID missing",IF(COUNTIF(INV_ID,B7)=0,"CHECK: Supplier ID not in inventory",IF(AND(E7&lt;&gt;"",COUNTIF(RSK_ID,E7)=0),"CHECK: Risk ID not found",IF(AND(E7&lt;&gt;"",COUNTIF(RSK_ID,E7)&gt;0,IFERROR(INDEX(RSK_SUP,MATCH(E7,RSK_ID,0)),"")&lt;&gt;B7),"CHECK: Risk belongs to a different supplier",IF(AND(O7&lt;&gt;"",COUNTIF(FND_ID,O7)=0),"CHECK: Finding ID not found",IF(AND(J7&lt;&gt;"",K7&lt;LEN(SUBSTITUTE(J7," ",""))-LEN(SUBSTITUTE(SUBSTITUTE(J7," ",""),",",""))+1),"CHECK: some Evidence IDs not found","OK"))))))))</f>
        <v>OK</v>
      </c>
    </row>
    <row r="8" customFormat="false" ht="23.85" hidden="false" customHeight="false" outlineLevel="0" collapsed="false">
      <c r="A8" s="50" t="s">
        <v>639</v>
      </c>
      <c r="B8" s="50" t="s">
        <v>479</v>
      </c>
      <c r="C8" s="59" t="str">
        <f aca="false">IF(B8="","",IFERROR(INDEX(INV_NAME,MATCH(B8,INV_ID,0)),"CHECK: Supplier ID not found"))</f>
        <v>Northwind Cloud Hosting Ltd</v>
      </c>
      <c r="D8" s="34" t="s">
        <v>1363</v>
      </c>
      <c r="E8" s="50" t="s">
        <v>633</v>
      </c>
      <c r="F8" s="34" t="s">
        <v>1364</v>
      </c>
      <c r="G8" s="34" t="s">
        <v>255</v>
      </c>
      <c r="H8" s="34" t="s">
        <v>292</v>
      </c>
      <c r="I8" s="34" t="s">
        <v>293</v>
      </c>
      <c r="J8" s="34" t="s">
        <v>1177</v>
      </c>
      <c r="K8" s="62" t="n">
        <f aca="false">IF(J8="","",SUMPRODUCT(ISNUMBER(SEARCH(","&amp;EV_ID&amp;",",","&amp;SUBSTITUTE(J8," ","")&amp;","))*(EV_ID&lt;&gt;"")))</f>
        <v>1</v>
      </c>
      <c r="L8" s="34" t="s">
        <v>288</v>
      </c>
      <c r="M8" s="34" t="s">
        <v>362</v>
      </c>
      <c r="N8" s="34" t="s">
        <v>290</v>
      </c>
      <c r="O8" s="50" t="s">
        <v>1365</v>
      </c>
      <c r="P8" s="50" t="s">
        <v>1192</v>
      </c>
      <c r="Q8" s="51" t="n">
        <v>46277</v>
      </c>
      <c r="R8" s="34" t="s">
        <v>1366</v>
      </c>
      <c r="S8" s="54" t="str">
        <f aca="false">IF(A8="","",IF(M8="Confirmed weakness","Confirmed weakness",IF(OR(M8="Evidence insufficient",L8="Insufficient"),"Assurance limitation (evidence insufficient)",IF(AND(G8="Adequate",H8="Implemented",I8="Operating",L8="Sufficient"),"Design, implementation and operation evidenced",IF(AND(G8="Adequate",H8="Implemented"),"Designed and implemented; operation not evidenced",IF(G8="Adequate","Designed; implementation not evidenced","Not yet determined"))))))</f>
        <v>Confirmed weakness</v>
      </c>
      <c r="T8" s="54" t="str">
        <f aca="false">IF(A8="","",IF(AND(L8="Insufficient",N8="Ineffective"),"CHECK: evidence gap rated Ineffective - not permitted; record as Evidence insufficient",IF(AND(N8="Ineffective",M8&lt;&gt;"Confirmed weakness",M8&lt;&gt;"Exception identified"),"CHECK: Ineffective without a confirmed weakness or exception","OK")))</f>
        <v>OK</v>
      </c>
      <c r="U8" s="54" t="str">
        <f aca="false">IF(A8="","",IF(COUNTIF(CA_ID,A8)&gt;1,"CHECK: duplicate ID",IF(B8="","CHECK: Supplier ID missing",IF(COUNTIF(INV_ID,B8)=0,"CHECK: Supplier ID not in inventory",IF(AND(E8&lt;&gt;"",COUNTIF(RSK_ID,E8)=0),"CHECK: Risk ID not found",IF(AND(E8&lt;&gt;"",COUNTIF(RSK_ID,E8)&gt;0,IFERROR(INDEX(RSK_SUP,MATCH(E8,RSK_ID,0)),"")&lt;&gt;B8),"CHECK: Risk belongs to a different supplier",IF(AND(O8&lt;&gt;"",COUNTIF(FND_ID,O8)=0),"CHECK: Finding ID not found",IF(AND(J8&lt;&gt;"",K8&lt;LEN(SUBSTITUTE(J8," ",""))-LEN(SUBSTITUTE(SUBSTITUTE(J8," ",""),",",""))+1),"CHECK: some Evidence IDs not found","OK"))))))))</f>
        <v>OK</v>
      </c>
    </row>
    <row r="9" customFormat="false" ht="23.85" hidden="false" customHeight="false" outlineLevel="0" collapsed="false">
      <c r="A9" s="50" t="s">
        <v>1367</v>
      </c>
      <c r="B9" s="50" t="s">
        <v>479</v>
      </c>
      <c r="C9" s="59" t="str">
        <f aca="false">IF(B9="","",IFERROR(INDEX(INV_NAME,MATCH(B9,INV_ID,0)),"CHECK: Supplier ID not found"))</f>
        <v>Northwind Cloud Hosting Ltd</v>
      </c>
      <c r="D9" s="34" t="s">
        <v>1368</v>
      </c>
      <c r="E9" s="50" t="s">
        <v>643</v>
      </c>
      <c r="F9" s="34" t="s">
        <v>1369</v>
      </c>
      <c r="G9" s="34" t="s">
        <v>255</v>
      </c>
      <c r="H9" s="34" t="s">
        <v>256</v>
      </c>
      <c r="I9" s="34" t="s">
        <v>257</v>
      </c>
      <c r="J9" s="34" t="s">
        <v>1173</v>
      </c>
      <c r="K9" s="62" t="n">
        <f aca="false">IF(J9="","",SUMPRODUCT(ISNUMBER(SEARCH(","&amp;EV_ID&amp;",",","&amp;SUBSTITUTE(J9," ","")&amp;","))*(EV_ID&lt;&gt;"")))</f>
        <v>2</v>
      </c>
      <c r="L9" s="34" t="s">
        <v>252</v>
      </c>
      <c r="M9" s="34" t="s">
        <v>253</v>
      </c>
      <c r="N9" s="34" t="s">
        <v>254</v>
      </c>
      <c r="O9" s="50"/>
      <c r="P9" s="50" t="s">
        <v>1192</v>
      </c>
      <c r="Q9" s="51" t="n">
        <v>46277</v>
      </c>
      <c r="R9" s="34" t="s">
        <v>1370</v>
      </c>
      <c r="S9" s="54" t="str">
        <f aca="false">IF(A9="","",IF(M9="Confirmed weakness","Confirmed weakness",IF(OR(M9="Evidence insufficient",L9="Insufficient"),"Assurance limitation (evidence insufficient)",IF(AND(G9="Adequate",H9="Implemented",I9="Operating",L9="Sufficient"),"Design, implementation and operation evidenced",IF(AND(G9="Adequate",H9="Implemented"),"Designed and implemented; operation not evidenced",IF(G9="Adequate","Designed; implementation not evidenced","Not yet determined"))))))</f>
        <v>Design, implementation and operation evidenced</v>
      </c>
      <c r="T9" s="54" t="str">
        <f aca="false">IF(A9="","",IF(AND(L9="Insufficient",N9="Ineffective"),"CHECK: evidence gap rated Ineffective - not permitted; record as Evidence insufficient",IF(AND(N9="Ineffective",M9&lt;&gt;"Confirmed weakness",M9&lt;&gt;"Exception identified"),"CHECK: Ineffective without a confirmed weakness or exception","OK")))</f>
        <v>OK</v>
      </c>
      <c r="U9" s="54" t="str">
        <f aca="false">IF(A9="","",IF(COUNTIF(CA_ID,A9)&gt;1,"CHECK: duplicate ID",IF(B9="","CHECK: Supplier ID missing",IF(COUNTIF(INV_ID,B9)=0,"CHECK: Supplier ID not in inventory",IF(AND(E9&lt;&gt;"",COUNTIF(RSK_ID,E9)=0),"CHECK: Risk ID not found",IF(AND(E9&lt;&gt;"",COUNTIF(RSK_ID,E9)&gt;0,IFERROR(INDEX(RSK_SUP,MATCH(E9,RSK_ID,0)),"")&lt;&gt;B9),"CHECK: Risk belongs to a different supplier",IF(AND(O9&lt;&gt;"",COUNTIF(FND_ID,O9)=0),"CHECK: Finding ID not found",IF(AND(J9&lt;&gt;"",K9&lt;LEN(SUBSTITUTE(J9," ",""))-LEN(SUBSTITUTE(SUBSTITUTE(J9," ",""),",",""))+1),"CHECK: some Evidence IDs not found","OK"))))))))</f>
        <v>OK</v>
      </c>
    </row>
    <row r="10" customFormat="false" ht="35.05" hidden="false" customHeight="false" outlineLevel="0" collapsed="false">
      <c r="A10" s="50" t="s">
        <v>1371</v>
      </c>
      <c r="B10" s="50" t="s">
        <v>489</v>
      </c>
      <c r="C10" s="59" t="str">
        <f aca="false">IF(B10="","",IFERROR(INDEX(INV_NAME,MATCH(B10,INV_ID,0)),"CHECK: Supplier ID not found"))</f>
        <v>SupportLoop Ltd</v>
      </c>
      <c r="D10" s="34" t="s">
        <v>1372</v>
      </c>
      <c r="E10" s="50" t="s">
        <v>661</v>
      </c>
      <c r="F10" s="34" t="s">
        <v>1373</v>
      </c>
      <c r="G10" s="34" t="s">
        <v>255</v>
      </c>
      <c r="H10" s="34" t="s">
        <v>292</v>
      </c>
      <c r="I10" s="34" t="s">
        <v>332</v>
      </c>
      <c r="J10" s="34" t="s">
        <v>1200</v>
      </c>
      <c r="K10" s="62" t="n">
        <f aca="false">IF(J10="","",SUMPRODUCT(ISNUMBER(SEARCH(","&amp;EV_ID&amp;",",","&amp;SUBSTITUTE(J10," ","")&amp;","))*(EV_ID&lt;&gt;"")))</f>
        <v>1</v>
      </c>
      <c r="L10" s="34" t="s">
        <v>252</v>
      </c>
      <c r="M10" s="34" t="s">
        <v>362</v>
      </c>
      <c r="N10" s="34" t="s">
        <v>329</v>
      </c>
      <c r="O10" s="50" t="s">
        <v>1374</v>
      </c>
      <c r="P10" s="50" t="s">
        <v>1192</v>
      </c>
      <c r="Q10" s="51" t="n">
        <v>46307</v>
      </c>
      <c r="R10" s="34" t="s">
        <v>1375</v>
      </c>
      <c r="S10" s="54" t="str">
        <f aca="false">IF(A10="","",IF(M10="Confirmed weakness","Confirmed weakness",IF(OR(M10="Evidence insufficient",L10="Insufficient"),"Assurance limitation (evidence insufficient)",IF(AND(G10="Adequate",H10="Implemented",I10="Operating",L10="Sufficient"),"Design, implementation and operation evidenced",IF(AND(G10="Adequate",H10="Implemented"),"Designed and implemented; operation not evidenced",IF(G10="Adequate","Designed; implementation not evidenced","Not yet determined"))))))</f>
        <v>Confirmed weakness</v>
      </c>
      <c r="T10" s="54" t="str">
        <f aca="false">IF(A10="","",IF(AND(L10="Insufficient",N10="Ineffective"),"CHECK: evidence gap rated Ineffective - not permitted; record as Evidence insufficient",IF(AND(N10="Ineffective",M10&lt;&gt;"Confirmed weakness",M10&lt;&gt;"Exception identified"),"CHECK: Ineffective without a confirmed weakness or exception","OK")))</f>
        <v>OK</v>
      </c>
      <c r="U10" s="54" t="str">
        <f aca="false">IF(A10="","",IF(COUNTIF(CA_ID,A10)&gt;1,"CHECK: duplicate ID",IF(B10="","CHECK: Supplier ID missing",IF(COUNTIF(INV_ID,B10)=0,"CHECK: Supplier ID not in inventory",IF(AND(E10&lt;&gt;"",COUNTIF(RSK_ID,E10)=0),"CHECK: Risk ID not found",IF(AND(E10&lt;&gt;"",COUNTIF(RSK_ID,E10)&gt;0,IFERROR(INDEX(RSK_SUP,MATCH(E10,RSK_ID,0)),"")&lt;&gt;B10),"CHECK: Risk belongs to a different supplier",IF(AND(O10&lt;&gt;"",COUNTIF(FND_ID,O10)=0),"CHECK: Finding ID not found",IF(AND(J10&lt;&gt;"",K10&lt;LEN(SUBSTITUTE(J10," ",""))-LEN(SUBSTITUTE(SUBSTITUTE(J10," ",""),",",""))+1),"CHECK: some Evidence IDs not found","OK"))))))))</f>
        <v>OK</v>
      </c>
    </row>
    <row r="11" customFormat="false" ht="35.05" hidden="false" customHeight="false" outlineLevel="0" collapsed="false">
      <c r="A11" s="50" t="s">
        <v>676</v>
      </c>
      <c r="B11" s="50" t="s">
        <v>489</v>
      </c>
      <c r="C11" s="59" t="str">
        <f aca="false">IF(B11="","",IFERROR(INDEX(INV_NAME,MATCH(B11,INV_ID,0)),"CHECK: Supplier ID not found"))</f>
        <v>SupportLoop Ltd</v>
      </c>
      <c r="D11" s="34" t="s">
        <v>1376</v>
      </c>
      <c r="E11" s="50" t="s">
        <v>670</v>
      </c>
      <c r="F11" s="34" t="s">
        <v>1377</v>
      </c>
      <c r="G11" s="34" t="s">
        <v>274</v>
      </c>
      <c r="H11" s="34" t="s">
        <v>274</v>
      </c>
      <c r="I11" s="34" t="s">
        <v>274</v>
      </c>
      <c r="J11" s="34"/>
      <c r="K11" s="62" t="str">
        <f aca="false">IF(J11="","",SUMPRODUCT(ISNUMBER(SEARCH(","&amp;EV_ID&amp;",",","&amp;SUBSTITUTE(J11," ","")&amp;","))*(EV_ID&lt;&gt;"")))</f>
        <v/>
      </c>
      <c r="L11" s="34" t="s">
        <v>327</v>
      </c>
      <c r="M11" s="34" t="s">
        <v>328</v>
      </c>
      <c r="N11" s="34" t="s">
        <v>274</v>
      </c>
      <c r="O11" s="50" t="s">
        <v>1378</v>
      </c>
      <c r="P11" s="50" t="s">
        <v>1192</v>
      </c>
      <c r="Q11" s="51" t="n">
        <v>46307</v>
      </c>
      <c r="R11" s="34" t="s">
        <v>1379</v>
      </c>
      <c r="S11" s="54" t="str">
        <f aca="false">IF(A11="","",IF(M11="Confirmed weakness","Confirmed weakness",IF(OR(M11="Evidence insufficient",L11="Insufficient"),"Assurance limitation (evidence insufficient)",IF(AND(G11="Adequate",H11="Implemented",I11="Operating",L11="Sufficient"),"Design, implementation and operation evidenced",IF(AND(G11="Adequate",H11="Implemented"),"Designed and implemented; operation not evidenced",IF(G11="Adequate","Designed; implementation not evidenced","Not yet determined"))))))</f>
        <v>Assurance limitation (evidence insufficient)</v>
      </c>
      <c r="T11" s="54" t="str">
        <f aca="false">IF(A11="","",IF(AND(L11="Insufficient",N11="Ineffective"),"CHECK: evidence gap rated Ineffective - not permitted; record as Evidence insufficient",IF(AND(N11="Ineffective",M11&lt;&gt;"Confirmed weakness",M11&lt;&gt;"Exception identified"),"CHECK: Ineffective without a confirmed weakness or exception","OK")))</f>
        <v>OK</v>
      </c>
      <c r="U11" s="54" t="str">
        <f aca="false">IF(A11="","",IF(COUNTIF(CA_ID,A11)&gt;1,"CHECK: duplicate ID",IF(B11="","CHECK: Supplier ID missing",IF(COUNTIF(INV_ID,B11)=0,"CHECK: Supplier ID not in inventory",IF(AND(E11&lt;&gt;"",COUNTIF(RSK_ID,E11)=0),"CHECK: Risk ID not found",IF(AND(E11&lt;&gt;"",COUNTIF(RSK_ID,E11)&gt;0,IFERROR(INDEX(RSK_SUP,MATCH(E11,RSK_ID,0)),"")&lt;&gt;B11),"CHECK: Risk belongs to a different supplier",IF(AND(O11&lt;&gt;"",COUNTIF(FND_ID,O11)=0),"CHECK: Finding ID not found",IF(AND(J11&lt;&gt;"",K11&lt;LEN(SUBSTITUTE(J11," ",""))-LEN(SUBSTITUTE(SUBSTITUTE(J11," ",""),",",""))+1),"CHECK: some Evidence IDs not found","OK"))))))))</f>
        <v>OK</v>
      </c>
    </row>
    <row r="12" customFormat="false" ht="23.85" hidden="false" customHeight="false" outlineLevel="0" collapsed="false">
      <c r="A12" s="50" t="s">
        <v>1380</v>
      </c>
      <c r="B12" s="50" t="s">
        <v>489</v>
      </c>
      <c r="C12" s="59" t="str">
        <f aca="false">IF(B12="","",IFERROR(INDEX(INV_NAME,MATCH(B12,INV_ID,0)),"CHECK: Supplier ID not found"))</f>
        <v>SupportLoop Ltd</v>
      </c>
      <c r="D12" s="34" t="s">
        <v>1381</v>
      </c>
      <c r="E12" s="50" t="s">
        <v>661</v>
      </c>
      <c r="F12" s="34" t="s">
        <v>1382</v>
      </c>
      <c r="G12" s="34" t="s">
        <v>255</v>
      </c>
      <c r="H12" s="34" t="s">
        <v>256</v>
      </c>
      <c r="I12" s="34" t="s">
        <v>257</v>
      </c>
      <c r="J12" s="34" t="s">
        <v>1383</v>
      </c>
      <c r="K12" s="62" t="n">
        <f aca="false">IF(J12="","",SUMPRODUCT(ISNUMBER(SEARCH(","&amp;EV_ID&amp;",",","&amp;SUBSTITUTE(J12," ","")&amp;","))*(EV_ID&lt;&gt;"")))</f>
        <v>2</v>
      </c>
      <c r="L12" s="34" t="s">
        <v>252</v>
      </c>
      <c r="M12" s="34" t="s">
        <v>253</v>
      </c>
      <c r="N12" s="34" t="s">
        <v>254</v>
      </c>
      <c r="O12" s="50"/>
      <c r="P12" s="50" t="s">
        <v>1192</v>
      </c>
      <c r="Q12" s="51" t="n">
        <v>46307</v>
      </c>
      <c r="R12" s="34" t="s">
        <v>1384</v>
      </c>
      <c r="S12" s="54" t="str">
        <f aca="false">IF(A12="","",IF(M12="Confirmed weakness","Confirmed weakness",IF(OR(M12="Evidence insufficient",L12="Insufficient"),"Assurance limitation (evidence insufficient)",IF(AND(G12="Adequate",H12="Implemented",I12="Operating",L12="Sufficient"),"Design, implementation and operation evidenced",IF(AND(G12="Adequate",H12="Implemented"),"Designed and implemented; operation not evidenced",IF(G12="Adequate","Designed; implementation not evidenced","Not yet determined"))))))</f>
        <v>Design, implementation and operation evidenced</v>
      </c>
      <c r="T12" s="54" t="str">
        <f aca="false">IF(A12="","",IF(AND(L12="Insufficient",N12="Ineffective"),"CHECK: evidence gap rated Ineffective - not permitted; record as Evidence insufficient",IF(AND(N12="Ineffective",M12&lt;&gt;"Confirmed weakness",M12&lt;&gt;"Exception identified"),"CHECK: Ineffective without a confirmed weakness or exception","OK")))</f>
        <v>OK</v>
      </c>
      <c r="U12" s="54" t="str">
        <f aca="false">IF(A12="","",IF(COUNTIF(CA_ID,A12)&gt;1,"CHECK: duplicate ID",IF(B12="","CHECK: Supplier ID missing",IF(COUNTIF(INV_ID,B12)=0,"CHECK: Supplier ID not in inventory",IF(AND(E12&lt;&gt;"",COUNTIF(RSK_ID,E12)=0),"CHECK: Risk ID not found",IF(AND(E12&lt;&gt;"",COUNTIF(RSK_ID,E12)&gt;0,IFERROR(INDEX(RSK_SUP,MATCH(E12,RSK_ID,0)),"")&lt;&gt;B12),"CHECK: Risk belongs to a different supplier",IF(AND(O12&lt;&gt;"",COUNTIF(FND_ID,O12)=0),"CHECK: Finding ID not found",IF(AND(J12&lt;&gt;"",K12&lt;LEN(SUBSTITUTE(J12," ",""))-LEN(SUBSTITUTE(SUBSTITUTE(J12," ",""),",",""))+1),"CHECK: some Evidence IDs not found","OK"))))))))</f>
        <v>OK</v>
      </c>
    </row>
    <row r="13" customFormat="false" ht="23.85" hidden="false" customHeight="false" outlineLevel="0" collapsed="false">
      <c r="A13" s="50" t="s">
        <v>699</v>
      </c>
      <c r="B13" s="50" t="s">
        <v>506</v>
      </c>
      <c r="C13" s="59" t="str">
        <f aca="false">IF(B13="","",IFERROR(INDEX(INV_NAME,MATCH(B13,INV_ID,0)),"CHECK: Supplier ID not found"))</f>
        <v>Cleanwell Facilities Ltd</v>
      </c>
      <c r="D13" s="34" t="s">
        <v>1385</v>
      </c>
      <c r="E13" s="50" t="s">
        <v>693</v>
      </c>
      <c r="F13" s="34" t="s">
        <v>1386</v>
      </c>
      <c r="G13" s="34" t="s">
        <v>255</v>
      </c>
      <c r="H13" s="34" t="s">
        <v>256</v>
      </c>
      <c r="I13" s="34" t="s">
        <v>293</v>
      </c>
      <c r="J13" s="34" t="s">
        <v>1221</v>
      </c>
      <c r="K13" s="62" t="n">
        <f aca="false">IF(J13="","",SUMPRODUCT(ISNUMBER(SEARCH(","&amp;EV_ID&amp;",",","&amp;SUBSTITUTE(J13," ","")&amp;","))*(EV_ID&lt;&gt;"")))</f>
        <v>2</v>
      </c>
      <c r="L13" s="34" t="s">
        <v>288</v>
      </c>
      <c r="M13" s="34" t="s">
        <v>388</v>
      </c>
      <c r="N13" s="34" t="s">
        <v>290</v>
      </c>
      <c r="O13" s="50" t="s">
        <v>1387</v>
      </c>
      <c r="P13" s="50" t="s">
        <v>1192</v>
      </c>
      <c r="Q13" s="51" t="n">
        <v>46266</v>
      </c>
      <c r="R13" s="34" t="s">
        <v>1388</v>
      </c>
      <c r="S13" s="54" t="str">
        <f aca="false">IF(A13="","",IF(M13="Confirmed weakness","Confirmed weakness",IF(OR(M13="Evidence insufficient",L13="Insufficient"),"Assurance limitation (evidence insufficient)",IF(AND(G13="Adequate",H13="Implemented",I13="Operating",L13="Sufficient"),"Design, implementation and operation evidenced",IF(AND(G13="Adequate",H13="Implemented"),"Designed and implemented; operation not evidenced",IF(G13="Adequate","Designed; implementation not evidenced","Not yet determined"))))))</f>
        <v>Designed and implemented; operation not evidenced</v>
      </c>
      <c r="T13" s="54" t="str">
        <f aca="false">IF(A13="","",IF(AND(L13="Insufficient",N13="Ineffective"),"CHECK: evidence gap rated Ineffective - not permitted; record as Evidence insufficient",IF(AND(N13="Ineffective",M13&lt;&gt;"Confirmed weakness",M13&lt;&gt;"Exception identified"),"CHECK: Ineffective without a confirmed weakness or exception","OK")))</f>
        <v>OK</v>
      </c>
      <c r="U13" s="54" t="str">
        <f aca="false">IF(A13="","",IF(COUNTIF(CA_ID,A13)&gt;1,"CHECK: duplicate ID",IF(B13="","CHECK: Supplier ID missing",IF(COUNTIF(INV_ID,B13)=0,"CHECK: Supplier ID not in inventory",IF(AND(E13&lt;&gt;"",COUNTIF(RSK_ID,E13)=0),"CHECK: Risk ID not found",IF(AND(E13&lt;&gt;"",COUNTIF(RSK_ID,E13)&gt;0,IFERROR(INDEX(RSK_SUP,MATCH(E13,RSK_ID,0)),"")&lt;&gt;B13),"CHECK: Risk belongs to a different supplier",IF(AND(O13&lt;&gt;"",COUNTIF(FND_ID,O13)=0),"CHECK: Finding ID not found",IF(AND(J13&lt;&gt;"",K13&lt;LEN(SUBSTITUTE(J13," ",""))-LEN(SUBSTITUTE(SUBSTITUTE(J13," ",""),",",""))+1),"CHECK: some Evidence IDs not found","OK"))))))))</f>
        <v>OK</v>
      </c>
    </row>
    <row r="14" customFormat="false" ht="35.05" hidden="false" customHeight="false" outlineLevel="0" collapsed="false">
      <c r="A14" s="50" t="s">
        <v>708</v>
      </c>
      <c r="B14" s="50" t="s">
        <v>515</v>
      </c>
      <c r="C14" s="59" t="str">
        <f aca="false">IF(B14="","",IFERROR(INDEX(INV_NAME,MATCH(B14,INV_ID,0)),"CHECK: Supplier ID not found"))</f>
        <v>Datavault Backup Services Ltd</v>
      </c>
      <c r="D14" s="34" t="s">
        <v>1389</v>
      </c>
      <c r="E14" s="50" t="s">
        <v>702</v>
      </c>
      <c r="F14" s="34" t="s">
        <v>1390</v>
      </c>
      <c r="G14" s="34" t="s">
        <v>291</v>
      </c>
      <c r="H14" s="34" t="s">
        <v>274</v>
      </c>
      <c r="I14" s="34" t="s">
        <v>274</v>
      </c>
      <c r="J14" s="34" t="s">
        <v>1227</v>
      </c>
      <c r="K14" s="62" t="n">
        <f aca="false">IF(J14="","",SUMPRODUCT(ISNUMBER(SEARCH(","&amp;EV_ID&amp;",",","&amp;SUBSTITUTE(J14," ","")&amp;","))*(EV_ID&lt;&gt;"")))</f>
        <v>1</v>
      </c>
      <c r="L14" s="34" t="s">
        <v>327</v>
      </c>
      <c r="M14" s="34" t="s">
        <v>417</v>
      </c>
      <c r="N14" s="34" t="s">
        <v>274</v>
      </c>
      <c r="O14" s="50" t="s">
        <v>1391</v>
      </c>
      <c r="P14" s="50" t="s">
        <v>1192</v>
      </c>
      <c r="Q14" s="51" t="n">
        <v>46300</v>
      </c>
      <c r="R14" s="34" t="s">
        <v>1392</v>
      </c>
      <c r="S14" s="54" t="str">
        <f aca="false">IF(A14="","",IF(M14="Confirmed weakness","Confirmed weakness",IF(OR(M14="Evidence insufficient",L14="Insufficient"),"Assurance limitation (evidence insufficient)",IF(AND(G14="Adequate",H14="Implemented",I14="Operating",L14="Sufficient"),"Design, implementation and operation evidenced",IF(AND(G14="Adequate",H14="Implemented"),"Designed and implemented; operation not evidenced",IF(G14="Adequate","Designed; implementation not evidenced","Not yet determined"))))))</f>
        <v>Assurance limitation (evidence insufficient)</v>
      </c>
      <c r="T14" s="54" t="str">
        <f aca="false">IF(A14="","",IF(AND(L14="Insufficient",N14="Ineffective"),"CHECK: evidence gap rated Ineffective - not permitted; record as Evidence insufficient",IF(AND(N14="Ineffective",M14&lt;&gt;"Confirmed weakness",M14&lt;&gt;"Exception identified"),"CHECK: Ineffective without a confirmed weakness or exception","OK")))</f>
        <v>OK</v>
      </c>
      <c r="U14" s="54" t="str">
        <f aca="false">IF(A14="","",IF(COUNTIF(CA_ID,A14)&gt;1,"CHECK: duplicate ID",IF(B14="","CHECK: Supplier ID missing",IF(COUNTIF(INV_ID,B14)=0,"CHECK: Supplier ID not in inventory",IF(AND(E14&lt;&gt;"",COUNTIF(RSK_ID,E14)=0),"CHECK: Risk ID not found",IF(AND(E14&lt;&gt;"",COUNTIF(RSK_ID,E14)&gt;0,IFERROR(INDEX(RSK_SUP,MATCH(E14,RSK_ID,0)),"")&lt;&gt;B14),"CHECK: Risk belongs to a different supplier",IF(AND(O14&lt;&gt;"",COUNTIF(FND_ID,O14)=0),"CHECK: Finding ID not found",IF(AND(J14&lt;&gt;"",K14&lt;LEN(SUBSTITUTE(J14," ",""))-LEN(SUBSTITUTE(SUBSTITUTE(J14," ",""),",",""))+1),"CHECK: some Evidence IDs not found","OK"))))))))</f>
        <v>OK</v>
      </c>
    </row>
    <row r="15" customFormat="false" ht="15" hidden="false" customHeight="false" outlineLevel="0" collapsed="false">
      <c r="A15" s="50"/>
      <c r="B15" s="50"/>
      <c r="C15" s="59" t="str">
        <f aca="false">IF(B15="","",IFERROR(INDEX(INV_NAME,MATCH(B15,INV_ID,0)),"CHECK: Supplier ID not found"))</f>
        <v/>
      </c>
      <c r="D15" s="34"/>
      <c r="E15" s="50"/>
      <c r="F15" s="34"/>
      <c r="G15" s="34"/>
      <c r="H15" s="34"/>
      <c r="I15" s="34"/>
      <c r="J15" s="34"/>
      <c r="K15" s="62" t="str">
        <f aca="false">IF(J15="","",SUMPRODUCT(ISNUMBER(SEARCH(","&amp;EV_ID&amp;",",","&amp;SUBSTITUTE(J15," ","")&amp;","))*(EV_ID&lt;&gt;"")))</f>
        <v/>
      </c>
      <c r="L15" s="34"/>
      <c r="M15" s="34"/>
      <c r="N15" s="34"/>
      <c r="O15" s="50"/>
      <c r="P15" s="50"/>
      <c r="Q15" s="51"/>
      <c r="R15" s="34"/>
      <c r="S15" s="54" t="str">
        <f aca="false">IF(A15="","",IF(M15="Confirmed weakness","Confirmed weakness",IF(OR(M15="Evidence insufficient",L15="Insufficient"),"Assurance limitation (evidence insufficient)",IF(AND(G15="Adequate",H15="Implemented",I15="Operating",L15="Sufficient"),"Design, implementation and operation evidenced",IF(AND(G15="Adequate",H15="Implemented"),"Designed and implemented; operation not evidenced",IF(G15="Adequate","Designed; implementation not evidenced","Not yet determined"))))))</f>
        <v/>
      </c>
      <c r="T15" s="54" t="str">
        <f aca="false">IF(A15="","",IF(AND(L15="Insufficient",N15="Ineffective"),"CHECK: evidence gap rated Ineffective - not permitted; record as Evidence insufficient",IF(AND(N15="Ineffective",M15&lt;&gt;"Confirmed weakness",M15&lt;&gt;"Exception identified"),"CHECK: Ineffective without a confirmed weakness or exception","OK")))</f>
        <v/>
      </c>
      <c r="U15" s="54" t="str">
        <f aca="false">IF(A15="","",IF(COUNTIF(CA_ID,A15)&gt;1,"CHECK: duplicate ID",IF(B15="","CHECK: Supplier ID missing",IF(COUNTIF(INV_ID,B15)=0,"CHECK: Supplier ID not in inventory",IF(AND(E15&lt;&gt;"",COUNTIF(RSK_ID,E15)=0),"CHECK: Risk ID not found",IF(AND(E15&lt;&gt;"",COUNTIF(RSK_ID,E15)&gt;0,IFERROR(INDEX(RSK_SUP,MATCH(E15,RSK_ID,0)),"")&lt;&gt;B15),"CHECK: Risk belongs to a different supplier",IF(AND(O15&lt;&gt;"",COUNTIF(FND_ID,O15)=0),"CHECK: Finding ID not found",IF(AND(J15&lt;&gt;"",K15&lt;LEN(SUBSTITUTE(J15," ",""))-LEN(SUBSTITUTE(SUBSTITUTE(J15," ",""),",",""))+1),"CHECK: some Evidence IDs not found","OK"))))))))</f>
        <v/>
      </c>
    </row>
    <row r="16" customFormat="false" ht="15" hidden="false" customHeight="false" outlineLevel="0" collapsed="false">
      <c r="A16" s="50"/>
      <c r="B16" s="50"/>
      <c r="C16" s="59" t="str">
        <f aca="false">IF(B16="","",IFERROR(INDEX(INV_NAME,MATCH(B16,INV_ID,0)),"CHECK: Supplier ID not found"))</f>
        <v/>
      </c>
      <c r="D16" s="34"/>
      <c r="E16" s="50"/>
      <c r="F16" s="34"/>
      <c r="G16" s="34"/>
      <c r="H16" s="34"/>
      <c r="I16" s="34"/>
      <c r="J16" s="34"/>
      <c r="K16" s="62" t="str">
        <f aca="false">IF(J16="","",SUMPRODUCT(ISNUMBER(SEARCH(","&amp;EV_ID&amp;",",","&amp;SUBSTITUTE(J16," ","")&amp;","))*(EV_ID&lt;&gt;"")))</f>
        <v/>
      </c>
      <c r="L16" s="34"/>
      <c r="M16" s="34"/>
      <c r="N16" s="34"/>
      <c r="O16" s="50"/>
      <c r="P16" s="50"/>
      <c r="Q16" s="51"/>
      <c r="R16" s="34"/>
      <c r="S16" s="54" t="str">
        <f aca="false">IF(A16="","",IF(M16="Confirmed weakness","Confirmed weakness",IF(OR(M16="Evidence insufficient",L16="Insufficient"),"Assurance limitation (evidence insufficient)",IF(AND(G16="Adequate",H16="Implemented",I16="Operating",L16="Sufficient"),"Design, implementation and operation evidenced",IF(AND(G16="Adequate",H16="Implemented"),"Designed and implemented; operation not evidenced",IF(G16="Adequate","Designed; implementation not evidenced","Not yet determined"))))))</f>
        <v/>
      </c>
      <c r="T16" s="54" t="str">
        <f aca="false">IF(A16="","",IF(AND(L16="Insufficient",N16="Ineffective"),"CHECK: evidence gap rated Ineffective - not permitted; record as Evidence insufficient",IF(AND(N16="Ineffective",M16&lt;&gt;"Confirmed weakness",M16&lt;&gt;"Exception identified"),"CHECK: Ineffective without a confirmed weakness or exception","OK")))</f>
        <v/>
      </c>
      <c r="U16" s="54" t="str">
        <f aca="false">IF(A16="","",IF(COUNTIF(CA_ID,A16)&gt;1,"CHECK: duplicate ID",IF(B16="","CHECK: Supplier ID missing",IF(COUNTIF(INV_ID,B16)=0,"CHECK: Supplier ID not in inventory",IF(AND(E16&lt;&gt;"",COUNTIF(RSK_ID,E16)=0),"CHECK: Risk ID not found",IF(AND(E16&lt;&gt;"",COUNTIF(RSK_ID,E16)&gt;0,IFERROR(INDEX(RSK_SUP,MATCH(E16,RSK_ID,0)),"")&lt;&gt;B16),"CHECK: Risk belongs to a different supplier",IF(AND(O16&lt;&gt;"",COUNTIF(FND_ID,O16)=0),"CHECK: Finding ID not found",IF(AND(J16&lt;&gt;"",K16&lt;LEN(SUBSTITUTE(J16," ",""))-LEN(SUBSTITUTE(SUBSTITUTE(J16," ",""),",",""))+1),"CHECK: some Evidence IDs not found","OK"))))))))</f>
        <v/>
      </c>
    </row>
    <row r="17" customFormat="false" ht="15" hidden="false" customHeight="false" outlineLevel="0" collapsed="false">
      <c r="A17" s="50"/>
      <c r="B17" s="50"/>
      <c r="C17" s="59" t="str">
        <f aca="false">IF(B17="","",IFERROR(INDEX(INV_NAME,MATCH(B17,INV_ID,0)),"CHECK: Supplier ID not found"))</f>
        <v/>
      </c>
      <c r="D17" s="34"/>
      <c r="E17" s="50"/>
      <c r="F17" s="34"/>
      <c r="G17" s="34"/>
      <c r="H17" s="34"/>
      <c r="I17" s="34"/>
      <c r="J17" s="34"/>
      <c r="K17" s="62" t="str">
        <f aca="false">IF(J17="","",SUMPRODUCT(ISNUMBER(SEARCH(","&amp;EV_ID&amp;",",","&amp;SUBSTITUTE(J17," ","")&amp;","))*(EV_ID&lt;&gt;"")))</f>
        <v/>
      </c>
      <c r="L17" s="34"/>
      <c r="M17" s="34"/>
      <c r="N17" s="34"/>
      <c r="O17" s="50"/>
      <c r="P17" s="50"/>
      <c r="Q17" s="51"/>
      <c r="R17" s="34"/>
      <c r="S17" s="54" t="str">
        <f aca="false">IF(A17="","",IF(M17="Confirmed weakness","Confirmed weakness",IF(OR(M17="Evidence insufficient",L17="Insufficient"),"Assurance limitation (evidence insufficient)",IF(AND(G17="Adequate",H17="Implemented",I17="Operating",L17="Sufficient"),"Design, implementation and operation evidenced",IF(AND(G17="Adequate",H17="Implemented"),"Designed and implemented; operation not evidenced",IF(G17="Adequate","Designed; implementation not evidenced","Not yet determined"))))))</f>
        <v/>
      </c>
      <c r="T17" s="54" t="str">
        <f aca="false">IF(A17="","",IF(AND(L17="Insufficient",N17="Ineffective"),"CHECK: evidence gap rated Ineffective - not permitted; record as Evidence insufficient",IF(AND(N17="Ineffective",M17&lt;&gt;"Confirmed weakness",M17&lt;&gt;"Exception identified"),"CHECK: Ineffective without a confirmed weakness or exception","OK")))</f>
        <v/>
      </c>
      <c r="U17" s="54" t="str">
        <f aca="false">IF(A17="","",IF(COUNTIF(CA_ID,A17)&gt;1,"CHECK: duplicate ID",IF(B17="","CHECK: Supplier ID missing",IF(COUNTIF(INV_ID,B17)=0,"CHECK: Supplier ID not in inventory",IF(AND(E17&lt;&gt;"",COUNTIF(RSK_ID,E17)=0),"CHECK: Risk ID not found",IF(AND(E17&lt;&gt;"",COUNTIF(RSK_ID,E17)&gt;0,IFERROR(INDEX(RSK_SUP,MATCH(E17,RSK_ID,0)),"")&lt;&gt;B17),"CHECK: Risk belongs to a different supplier",IF(AND(O17&lt;&gt;"",COUNTIF(FND_ID,O17)=0),"CHECK: Finding ID not found",IF(AND(J17&lt;&gt;"",K17&lt;LEN(SUBSTITUTE(J17," ",""))-LEN(SUBSTITUTE(SUBSTITUTE(J17," ",""),",",""))+1),"CHECK: some Evidence IDs not found","OK"))))))))</f>
        <v/>
      </c>
    </row>
    <row r="18" customFormat="false" ht="15" hidden="false" customHeight="false" outlineLevel="0" collapsed="false">
      <c r="A18" s="50"/>
      <c r="B18" s="50"/>
      <c r="C18" s="59" t="str">
        <f aca="false">IF(B18="","",IFERROR(INDEX(INV_NAME,MATCH(B18,INV_ID,0)),"CHECK: Supplier ID not found"))</f>
        <v/>
      </c>
      <c r="D18" s="34"/>
      <c r="E18" s="50"/>
      <c r="F18" s="34"/>
      <c r="G18" s="34"/>
      <c r="H18" s="34"/>
      <c r="I18" s="34"/>
      <c r="J18" s="34"/>
      <c r="K18" s="62" t="str">
        <f aca="false">IF(J18="","",SUMPRODUCT(ISNUMBER(SEARCH(","&amp;EV_ID&amp;",",","&amp;SUBSTITUTE(J18," ","")&amp;","))*(EV_ID&lt;&gt;"")))</f>
        <v/>
      </c>
      <c r="L18" s="34"/>
      <c r="M18" s="34"/>
      <c r="N18" s="34"/>
      <c r="O18" s="50"/>
      <c r="P18" s="50"/>
      <c r="Q18" s="51"/>
      <c r="R18" s="34"/>
      <c r="S18" s="54" t="str">
        <f aca="false">IF(A18="","",IF(M18="Confirmed weakness","Confirmed weakness",IF(OR(M18="Evidence insufficient",L18="Insufficient"),"Assurance limitation (evidence insufficient)",IF(AND(G18="Adequate",H18="Implemented",I18="Operating",L18="Sufficient"),"Design, implementation and operation evidenced",IF(AND(G18="Adequate",H18="Implemented"),"Designed and implemented; operation not evidenced",IF(G18="Adequate","Designed; implementation not evidenced","Not yet determined"))))))</f>
        <v/>
      </c>
      <c r="T18" s="54" t="str">
        <f aca="false">IF(A18="","",IF(AND(L18="Insufficient",N18="Ineffective"),"CHECK: evidence gap rated Ineffective - not permitted; record as Evidence insufficient",IF(AND(N18="Ineffective",M18&lt;&gt;"Confirmed weakness",M18&lt;&gt;"Exception identified"),"CHECK: Ineffective without a confirmed weakness or exception","OK")))</f>
        <v/>
      </c>
      <c r="U18" s="54" t="str">
        <f aca="false">IF(A18="","",IF(COUNTIF(CA_ID,A18)&gt;1,"CHECK: duplicate ID",IF(B18="","CHECK: Supplier ID missing",IF(COUNTIF(INV_ID,B18)=0,"CHECK: Supplier ID not in inventory",IF(AND(E18&lt;&gt;"",COUNTIF(RSK_ID,E18)=0),"CHECK: Risk ID not found",IF(AND(E18&lt;&gt;"",COUNTIF(RSK_ID,E18)&gt;0,IFERROR(INDEX(RSK_SUP,MATCH(E18,RSK_ID,0)),"")&lt;&gt;B18),"CHECK: Risk belongs to a different supplier",IF(AND(O18&lt;&gt;"",COUNTIF(FND_ID,O18)=0),"CHECK: Finding ID not found",IF(AND(J18&lt;&gt;"",K18&lt;LEN(SUBSTITUTE(J18," ",""))-LEN(SUBSTITUTE(SUBSTITUTE(J18," ",""),",",""))+1),"CHECK: some Evidence IDs not found","OK"))))))))</f>
        <v/>
      </c>
    </row>
    <row r="19" customFormat="false" ht="15" hidden="false" customHeight="false" outlineLevel="0" collapsed="false">
      <c r="A19" s="50"/>
      <c r="B19" s="50"/>
      <c r="C19" s="59" t="str">
        <f aca="false">IF(B19="","",IFERROR(INDEX(INV_NAME,MATCH(B19,INV_ID,0)),"CHECK: Supplier ID not found"))</f>
        <v/>
      </c>
      <c r="D19" s="34"/>
      <c r="E19" s="50"/>
      <c r="F19" s="34"/>
      <c r="G19" s="34"/>
      <c r="H19" s="34"/>
      <c r="I19" s="34"/>
      <c r="J19" s="34"/>
      <c r="K19" s="62" t="str">
        <f aca="false">IF(J19="","",SUMPRODUCT(ISNUMBER(SEARCH(","&amp;EV_ID&amp;",",","&amp;SUBSTITUTE(J19," ","")&amp;","))*(EV_ID&lt;&gt;"")))</f>
        <v/>
      </c>
      <c r="L19" s="34"/>
      <c r="M19" s="34"/>
      <c r="N19" s="34"/>
      <c r="O19" s="50"/>
      <c r="P19" s="50"/>
      <c r="Q19" s="51"/>
      <c r="R19" s="34"/>
      <c r="S19" s="54" t="str">
        <f aca="false">IF(A19="","",IF(M19="Confirmed weakness","Confirmed weakness",IF(OR(M19="Evidence insufficient",L19="Insufficient"),"Assurance limitation (evidence insufficient)",IF(AND(G19="Adequate",H19="Implemented",I19="Operating",L19="Sufficient"),"Design, implementation and operation evidenced",IF(AND(G19="Adequate",H19="Implemented"),"Designed and implemented; operation not evidenced",IF(G19="Adequate","Designed; implementation not evidenced","Not yet determined"))))))</f>
        <v/>
      </c>
      <c r="T19" s="54" t="str">
        <f aca="false">IF(A19="","",IF(AND(L19="Insufficient",N19="Ineffective"),"CHECK: evidence gap rated Ineffective - not permitted; record as Evidence insufficient",IF(AND(N19="Ineffective",M19&lt;&gt;"Confirmed weakness",M19&lt;&gt;"Exception identified"),"CHECK: Ineffective without a confirmed weakness or exception","OK")))</f>
        <v/>
      </c>
      <c r="U19" s="54" t="str">
        <f aca="false">IF(A19="","",IF(COUNTIF(CA_ID,A19)&gt;1,"CHECK: duplicate ID",IF(B19="","CHECK: Supplier ID missing",IF(COUNTIF(INV_ID,B19)=0,"CHECK: Supplier ID not in inventory",IF(AND(E19&lt;&gt;"",COUNTIF(RSK_ID,E19)=0),"CHECK: Risk ID not found",IF(AND(E19&lt;&gt;"",COUNTIF(RSK_ID,E19)&gt;0,IFERROR(INDEX(RSK_SUP,MATCH(E19,RSK_ID,0)),"")&lt;&gt;B19),"CHECK: Risk belongs to a different supplier",IF(AND(O19&lt;&gt;"",COUNTIF(FND_ID,O19)=0),"CHECK: Finding ID not found",IF(AND(J19&lt;&gt;"",K19&lt;LEN(SUBSTITUTE(J19," ",""))-LEN(SUBSTITUTE(SUBSTITUTE(J19," ",""),",",""))+1),"CHECK: some Evidence IDs not found","OK"))))))))</f>
        <v/>
      </c>
    </row>
    <row r="20" customFormat="false" ht="15" hidden="false" customHeight="false" outlineLevel="0" collapsed="false">
      <c r="A20" s="50"/>
      <c r="B20" s="50"/>
      <c r="C20" s="59" t="str">
        <f aca="false">IF(B20="","",IFERROR(INDEX(INV_NAME,MATCH(B20,INV_ID,0)),"CHECK: Supplier ID not found"))</f>
        <v/>
      </c>
      <c r="D20" s="34"/>
      <c r="E20" s="50"/>
      <c r="F20" s="34"/>
      <c r="G20" s="34"/>
      <c r="H20" s="34"/>
      <c r="I20" s="34"/>
      <c r="J20" s="34"/>
      <c r="K20" s="62" t="str">
        <f aca="false">IF(J20="","",SUMPRODUCT(ISNUMBER(SEARCH(","&amp;EV_ID&amp;",",","&amp;SUBSTITUTE(J20," ","")&amp;","))*(EV_ID&lt;&gt;"")))</f>
        <v/>
      </c>
      <c r="L20" s="34"/>
      <c r="M20" s="34"/>
      <c r="N20" s="34"/>
      <c r="O20" s="50"/>
      <c r="P20" s="50"/>
      <c r="Q20" s="51"/>
      <c r="R20" s="34"/>
      <c r="S20" s="54" t="str">
        <f aca="false">IF(A20="","",IF(M20="Confirmed weakness","Confirmed weakness",IF(OR(M20="Evidence insufficient",L20="Insufficient"),"Assurance limitation (evidence insufficient)",IF(AND(G20="Adequate",H20="Implemented",I20="Operating",L20="Sufficient"),"Design, implementation and operation evidenced",IF(AND(G20="Adequate",H20="Implemented"),"Designed and implemented; operation not evidenced",IF(G20="Adequate","Designed; implementation not evidenced","Not yet determined"))))))</f>
        <v/>
      </c>
      <c r="T20" s="54" t="str">
        <f aca="false">IF(A20="","",IF(AND(L20="Insufficient",N20="Ineffective"),"CHECK: evidence gap rated Ineffective - not permitted; record as Evidence insufficient",IF(AND(N20="Ineffective",M20&lt;&gt;"Confirmed weakness",M20&lt;&gt;"Exception identified"),"CHECK: Ineffective without a confirmed weakness or exception","OK")))</f>
        <v/>
      </c>
      <c r="U20" s="54" t="str">
        <f aca="false">IF(A20="","",IF(COUNTIF(CA_ID,A20)&gt;1,"CHECK: duplicate ID",IF(B20="","CHECK: Supplier ID missing",IF(COUNTIF(INV_ID,B20)=0,"CHECK: Supplier ID not in inventory",IF(AND(E20&lt;&gt;"",COUNTIF(RSK_ID,E20)=0),"CHECK: Risk ID not found",IF(AND(E20&lt;&gt;"",COUNTIF(RSK_ID,E20)&gt;0,IFERROR(INDEX(RSK_SUP,MATCH(E20,RSK_ID,0)),"")&lt;&gt;B20),"CHECK: Risk belongs to a different supplier",IF(AND(O20&lt;&gt;"",COUNTIF(FND_ID,O20)=0),"CHECK: Finding ID not found",IF(AND(J20&lt;&gt;"",K20&lt;LEN(SUBSTITUTE(J20," ",""))-LEN(SUBSTITUTE(SUBSTITUTE(J20," ",""),",",""))+1),"CHECK: some Evidence IDs not found","OK"))))))))</f>
        <v/>
      </c>
    </row>
    <row r="21" customFormat="false" ht="15" hidden="false" customHeight="false" outlineLevel="0" collapsed="false">
      <c r="A21" s="50"/>
      <c r="B21" s="50"/>
      <c r="C21" s="59" t="str">
        <f aca="false">IF(B21="","",IFERROR(INDEX(INV_NAME,MATCH(B21,INV_ID,0)),"CHECK: Supplier ID not found"))</f>
        <v/>
      </c>
      <c r="D21" s="34"/>
      <c r="E21" s="50"/>
      <c r="F21" s="34"/>
      <c r="G21" s="34"/>
      <c r="H21" s="34"/>
      <c r="I21" s="34"/>
      <c r="J21" s="34"/>
      <c r="K21" s="62" t="str">
        <f aca="false">IF(J21="","",SUMPRODUCT(ISNUMBER(SEARCH(","&amp;EV_ID&amp;",",","&amp;SUBSTITUTE(J21," ","")&amp;","))*(EV_ID&lt;&gt;"")))</f>
        <v/>
      </c>
      <c r="L21" s="34"/>
      <c r="M21" s="34"/>
      <c r="N21" s="34"/>
      <c r="O21" s="50"/>
      <c r="P21" s="50"/>
      <c r="Q21" s="51"/>
      <c r="R21" s="34"/>
      <c r="S21" s="54" t="str">
        <f aca="false">IF(A21="","",IF(M21="Confirmed weakness","Confirmed weakness",IF(OR(M21="Evidence insufficient",L21="Insufficient"),"Assurance limitation (evidence insufficient)",IF(AND(G21="Adequate",H21="Implemented",I21="Operating",L21="Sufficient"),"Design, implementation and operation evidenced",IF(AND(G21="Adequate",H21="Implemented"),"Designed and implemented; operation not evidenced",IF(G21="Adequate","Designed; implementation not evidenced","Not yet determined"))))))</f>
        <v/>
      </c>
      <c r="T21" s="54" t="str">
        <f aca="false">IF(A21="","",IF(AND(L21="Insufficient",N21="Ineffective"),"CHECK: evidence gap rated Ineffective - not permitted; record as Evidence insufficient",IF(AND(N21="Ineffective",M21&lt;&gt;"Confirmed weakness",M21&lt;&gt;"Exception identified"),"CHECK: Ineffective without a confirmed weakness or exception","OK")))</f>
        <v/>
      </c>
      <c r="U21" s="54" t="str">
        <f aca="false">IF(A21="","",IF(COUNTIF(CA_ID,A21)&gt;1,"CHECK: duplicate ID",IF(B21="","CHECK: Supplier ID missing",IF(COUNTIF(INV_ID,B21)=0,"CHECK: Supplier ID not in inventory",IF(AND(E21&lt;&gt;"",COUNTIF(RSK_ID,E21)=0),"CHECK: Risk ID not found",IF(AND(E21&lt;&gt;"",COUNTIF(RSK_ID,E21)&gt;0,IFERROR(INDEX(RSK_SUP,MATCH(E21,RSK_ID,0)),"")&lt;&gt;B21),"CHECK: Risk belongs to a different supplier",IF(AND(O21&lt;&gt;"",COUNTIF(FND_ID,O21)=0),"CHECK: Finding ID not found",IF(AND(J21&lt;&gt;"",K21&lt;LEN(SUBSTITUTE(J21," ",""))-LEN(SUBSTITUTE(SUBSTITUTE(J21," ",""),",",""))+1),"CHECK: some Evidence IDs not found","OK"))))))))</f>
        <v/>
      </c>
    </row>
    <row r="22" customFormat="false" ht="15" hidden="false" customHeight="false" outlineLevel="0" collapsed="false">
      <c r="A22" s="50"/>
      <c r="B22" s="50"/>
      <c r="C22" s="59" t="str">
        <f aca="false">IF(B22="","",IFERROR(INDEX(INV_NAME,MATCH(B22,INV_ID,0)),"CHECK: Supplier ID not found"))</f>
        <v/>
      </c>
      <c r="D22" s="34"/>
      <c r="E22" s="50"/>
      <c r="F22" s="34"/>
      <c r="G22" s="34"/>
      <c r="H22" s="34"/>
      <c r="I22" s="34"/>
      <c r="J22" s="34"/>
      <c r="K22" s="62" t="str">
        <f aca="false">IF(J22="","",SUMPRODUCT(ISNUMBER(SEARCH(","&amp;EV_ID&amp;",",","&amp;SUBSTITUTE(J22," ","")&amp;","))*(EV_ID&lt;&gt;"")))</f>
        <v/>
      </c>
      <c r="L22" s="34"/>
      <c r="M22" s="34"/>
      <c r="N22" s="34"/>
      <c r="O22" s="50"/>
      <c r="P22" s="50"/>
      <c r="Q22" s="51"/>
      <c r="R22" s="34"/>
      <c r="S22" s="54" t="str">
        <f aca="false">IF(A22="","",IF(M22="Confirmed weakness","Confirmed weakness",IF(OR(M22="Evidence insufficient",L22="Insufficient"),"Assurance limitation (evidence insufficient)",IF(AND(G22="Adequate",H22="Implemented",I22="Operating",L22="Sufficient"),"Design, implementation and operation evidenced",IF(AND(G22="Adequate",H22="Implemented"),"Designed and implemented; operation not evidenced",IF(G22="Adequate","Designed; implementation not evidenced","Not yet determined"))))))</f>
        <v/>
      </c>
      <c r="T22" s="54" t="str">
        <f aca="false">IF(A22="","",IF(AND(L22="Insufficient",N22="Ineffective"),"CHECK: evidence gap rated Ineffective - not permitted; record as Evidence insufficient",IF(AND(N22="Ineffective",M22&lt;&gt;"Confirmed weakness",M22&lt;&gt;"Exception identified"),"CHECK: Ineffective without a confirmed weakness or exception","OK")))</f>
        <v/>
      </c>
      <c r="U22" s="54" t="str">
        <f aca="false">IF(A22="","",IF(COUNTIF(CA_ID,A22)&gt;1,"CHECK: duplicate ID",IF(B22="","CHECK: Supplier ID missing",IF(COUNTIF(INV_ID,B22)=0,"CHECK: Supplier ID not in inventory",IF(AND(E22&lt;&gt;"",COUNTIF(RSK_ID,E22)=0),"CHECK: Risk ID not found",IF(AND(E22&lt;&gt;"",COUNTIF(RSK_ID,E22)&gt;0,IFERROR(INDEX(RSK_SUP,MATCH(E22,RSK_ID,0)),"")&lt;&gt;B22),"CHECK: Risk belongs to a different supplier",IF(AND(O22&lt;&gt;"",COUNTIF(FND_ID,O22)=0),"CHECK: Finding ID not found",IF(AND(J22&lt;&gt;"",K22&lt;LEN(SUBSTITUTE(J22," ",""))-LEN(SUBSTITUTE(SUBSTITUTE(J22," ",""),",",""))+1),"CHECK: some Evidence IDs not found","OK"))))))))</f>
        <v/>
      </c>
    </row>
    <row r="23" customFormat="false" ht="15" hidden="false" customHeight="false" outlineLevel="0" collapsed="false">
      <c r="A23" s="50"/>
      <c r="B23" s="50"/>
      <c r="C23" s="59" t="str">
        <f aca="false">IF(B23="","",IFERROR(INDEX(INV_NAME,MATCH(B23,INV_ID,0)),"CHECK: Supplier ID not found"))</f>
        <v/>
      </c>
      <c r="D23" s="34"/>
      <c r="E23" s="50"/>
      <c r="F23" s="34"/>
      <c r="G23" s="34"/>
      <c r="H23" s="34"/>
      <c r="I23" s="34"/>
      <c r="J23" s="34"/>
      <c r="K23" s="62" t="str">
        <f aca="false">IF(J23="","",SUMPRODUCT(ISNUMBER(SEARCH(","&amp;EV_ID&amp;",",","&amp;SUBSTITUTE(J23," ","")&amp;","))*(EV_ID&lt;&gt;"")))</f>
        <v/>
      </c>
      <c r="L23" s="34"/>
      <c r="M23" s="34"/>
      <c r="N23" s="34"/>
      <c r="O23" s="50"/>
      <c r="P23" s="50"/>
      <c r="Q23" s="51"/>
      <c r="R23" s="34"/>
      <c r="S23" s="54" t="str">
        <f aca="false">IF(A23="","",IF(M23="Confirmed weakness","Confirmed weakness",IF(OR(M23="Evidence insufficient",L23="Insufficient"),"Assurance limitation (evidence insufficient)",IF(AND(G23="Adequate",H23="Implemented",I23="Operating",L23="Sufficient"),"Design, implementation and operation evidenced",IF(AND(G23="Adequate",H23="Implemented"),"Designed and implemented; operation not evidenced",IF(G23="Adequate","Designed; implementation not evidenced","Not yet determined"))))))</f>
        <v/>
      </c>
      <c r="T23" s="54" t="str">
        <f aca="false">IF(A23="","",IF(AND(L23="Insufficient",N23="Ineffective"),"CHECK: evidence gap rated Ineffective - not permitted; record as Evidence insufficient",IF(AND(N23="Ineffective",M23&lt;&gt;"Confirmed weakness",M23&lt;&gt;"Exception identified"),"CHECK: Ineffective without a confirmed weakness or exception","OK")))</f>
        <v/>
      </c>
      <c r="U23" s="54" t="str">
        <f aca="false">IF(A23="","",IF(COUNTIF(CA_ID,A23)&gt;1,"CHECK: duplicate ID",IF(B23="","CHECK: Supplier ID missing",IF(COUNTIF(INV_ID,B23)=0,"CHECK: Supplier ID not in inventory",IF(AND(E23&lt;&gt;"",COUNTIF(RSK_ID,E23)=0),"CHECK: Risk ID not found",IF(AND(E23&lt;&gt;"",COUNTIF(RSK_ID,E23)&gt;0,IFERROR(INDEX(RSK_SUP,MATCH(E23,RSK_ID,0)),"")&lt;&gt;B23),"CHECK: Risk belongs to a different supplier",IF(AND(O23&lt;&gt;"",COUNTIF(FND_ID,O23)=0),"CHECK: Finding ID not found",IF(AND(J23&lt;&gt;"",K23&lt;LEN(SUBSTITUTE(J23," ",""))-LEN(SUBSTITUTE(SUBSTITUTE(J23," ",""),",",""))+1),"CHECK: some Evidence IDs not found","OK"))))))))</f>
        <v/>
      </c>
    </row>
    <row r="24" customFormat="false" ht="15" hidden="false" customHeight="false" outlineLevel="0" collapsed="false">
      <c r="A24" s="50"/>
      <c r="B24" s="50"/>
      <c r="C24" s="59" t="str">
        <f aca="false">IF(B24="","",IFERROR(INDEX(INV_NAME,MATCH(B24,INV_ID,0)),"CHECK: Supplier ID not found"))</f>
        <v/>
      </c>
      <c r="D24" s="34"/>
      <c r="E24" s="50"/>
      <c r="F24" s="34"/>
      <c r="G24" s="34"/>
      <c r="H24" s="34"/>
      <c r="I24" s="34"/>
      <c r="J24" s="34"/>
      <c r="K24" s="62" t="str">
        <f aca="false">IF(J24="","",SUMPRODUCT(ISNUMBER(SEARCH(","&amp;EV_ID&amp;",",","&amp;SUBSTITUTE(J24," ","")&amp;","))*(EV_ID&lt;&gt;"")))</f>
        <v/>
      </c>
      <c r="L24" s="34"/>
      <c r="M24" s="34"/>
      <c r="N24" s="34"/>
      <c r="O24" s="50"/>
      <c r="P24" s="50"/>
      <c r="Q24" s="51"/>
      <c r="R24" s="34"/>
      <c r="S24" s="54" t="str">
        <f aca="false">IF(A24="","",IF(M24="Confirmed weakness","Confirmed weakness",IF(OR(M24="Evidence insufficient",L24="Insufficient"),"Assurance limitation (evidence insufficient)",IF(AND(G24="Adequate",H24="Implemented",I24="Operating",L24="Sufficient"),"Design, implementation and operation evidenced",IF(AND(G24="Adequate",H24="Implemented"),"Designed and implemented; operation not evidenced",IF(G24="Adequate","Designed; implementation not evidenced","Not yet determined"))))))</f>
        <v/>
      </c>
      <c r="T24" s="54" t="str">
        <f aca="false">IF(A24="","",IF(AND(L24="Insufficient",N24="Ineffective"),"CHECK: evidence gap rated Ineffective - not permitted; record as Evidence insufficient",IF(AND(N24="Ineffective",M24&lt;&gt;"Confirmed weakness",M24&lt;&gt;"Exception identified"),"CHECK: Ineffective without a confirmed weakness or exception","OK")))</f>
        <v/>
      </c>
      <c r="U24" s="54" t="str">
        <f aca="false">IF(A24="","",IF(COUNTIF(CA_ID,A24)&gt;1,"CHECK: duplicate ID",IF(B24="","CHECK: Supplier ID missing",IF(COUNTIF(INV_ID,B24)=0,"CHECK: Supplier ID not in inventory",IF(AND(E24&lt;&gt;"",COUNTIF(RSK_ID,E24)=0),"CHECK: Risk ID not found",IF(AND(E24&lt;&gt;"",COUNTIF(RSK_ID,E24)&gt;0,IFERROR(INDEX(RSK_SUP,MATCH(E24,RSK_ID,0)),"")&lt;&gt;B24),"CHECK: Risk belongs to a different supplier",IF(AND(O24&lt;&gt;"",COUNTIF(FND_ID,O24)=0),"CHECK: Finding ID not found",IF(AND(J24&lt;&gt;"",K24&lt;LEN(SUBSTITUTE(J24," ",""))-LEN(SUBSTITUTE(SUBSTITUTE(J24," ",""),",",""))+1),"CHECK: some Evidence IDs not found","OK"))))))))</f>
        <v/>
      </c>
    </row>
    <row r="25" customFormat="false" ht="15" hidden="false" customHeight="false" outlineLevel="0" collapsed="false">
      <c r="A25" s="50"/>
      <c r="B25" s="50"/>
      <c r="C25" s="59" t="str">
        <f aca="false">IF(B25="","",IFERROR(INDEX(INV_NAME,MATCH(B25,INV_ID,0)),"CHECK: Supplier ID not found"))</f>
        <v/>
      </c>
      <c r="D25" s="34"/>
      <c r="E25" s="50"/>
      <c r="F25" s="34"/>
      <c r="G25" s="34"/>
      <c r="H25" s="34"/>
      <c r="I25" s="34"/>
      <c r="J25" s="34"/>
      <c r="K25" s="62" t="str">
        <f aca="false">IF(J25="","",SUMPRODUCT(ISNUMBER(SEARCH(","&amp;EV_ID&amp;",",","&amp;SUBSTITUTE(J25," ","")&amp;","))*(EV_ID&lt;&gt;"")))</f>
        <v/>
      </c>
      <c r="L25" s="34"/>
      <c r="M25" s="34"/>
      <c r="N25" s="34"/>
      <c r="O25" s="50"/>
      <c r="P25" s="50"/>
      <c r="Q25" s="51"/>
      <c r="R25" s="34"/>
      <c r="S25" s="54" t="str">
        <f aca="false">IF(A25="","",IF(M25="Confirmed weakness","Confirmed weakness",IF(OR(M25="Evidence insufficient",L25="Insufficient"),"Assurance limitation (evidence insufficient)",IF(AND(G25="Adequate",H25="Implemented",I25="Operating",L25="Sufficient"),"Design, implementation and operation evidenced",IF(AND(G25="Adequate",H25="Implemented"),"Designed and implemented; operation not evidenced",IF(G25="Adequate","Designed; implementation not evidenced","Not yet determined"))))))</f>
        <v/>
      </c>
      <c r="T25" s="54" t="str">
        <f aca="false">IF(A25="","",IF(AND(L25="Insufficient",N25="Ineffective"),"CHECK: evidence gap rated Ineffective - not permitted; record as Evidence insufficient",IF(AND(N25="Ineffective",M25&lt;&gt;"Confirmed weakness",M25&lt;&gt;"Exception identified"),"CHECK: Ineffective without a confirmed weakness or exception","OK")))</f>
        <v/>
      </c>
      <c r="U25" s="54" t="str">
        <f aca="false">IF(A25="","",IF(COUNTIF(CA_ID,A25)&gt;1,"CHECK: duplicate ID",IF(B25="","CHECK: Supplier ID missing",IF(COUNTIF(INV_ID,B25)=0,"CHECK: Supplier ID not in inventory",IF(AND(E25&lt;&gt;"",COUNTIF(RSK_ID,E25)=0),"CHECK: Risk ID not found",IF(AND(E25&lt;&gt;"",COUNTIF(RSK_ID,E25)&gt;0,IFERROR(INDEX(RSK_SUP,MATCH(E25,RSK_ID,0)),"")&lt;&gt;B25),"CHECK: Risk belongs to a different supplier",IF(AND(O25&lt;&gt;"",COUNTIF(FND_ID,O25)=0),"CHECK: Finding ID not found",IF(AND(J25&lt;&gt;"",K25&lt;LEN(SUBSTITUTE(J25," ",""))-LEN(SUBSTITUTE(SUBSTITUTE(J25," ",""),",",""))+1),"CHECK: some Evidence IDs not found","OK"))))))))</f>
        <v/>
      </c>
    </row>
    <row r="26" customFormat="false" ht="15" hidden="false" customHeight="false" outlineLevel="0" collapsed="false">
      <c r="A26" s="50"/>
      <c r="B26" s="50"/>
      <c r="C26" s="59" t="str">
        <f aca="false">IF(B26="","",IFERROR(INDEX(INV_NAME,MATCH(B26,INV_ID,0)),"CHECK: Supplier ID not found"))</f>
        <v/>
      </c>
      <c r="D26" s="34"/>
      <c r="E26" s="50"/>
      <c r="F26" s="34"/>
      <c r="G26" s="34"/>
      <c r="H26" s="34"/>
      <c r="I26" s="34"/>
      <c r="J26" s="34"/>
      <c r="K26" s="62" t="str">
        <f aca="false">IF(J26="","",SUMPRODUCT(ISNUMBER(SEARCH(","&amp;EV_ID&amp;",",","&amp;SUBSTITUTE(J26," ","")&amp;","))*(EV_ID&lt;&gt;"")))</f>
        <v/>
      </c>
      <c r="L26" s="34"/>
      <c r="M26" s="34"/>
      <c r="N26" s="34"/>
      <c r="O26" s="50"/>
      <c r="P26" s="50"/>
      <c r="Q26" s="51"/>
      <c r="R26" s="34"/>
      <c r="S26" s="54" t="str">
        <f aca="false">IF(A26="","",IF(M26="Confirmed weakness","Confirmed weakness",IF(OR(M26="Evidence insufficient",L26="Insufficient"),"Assurance limitation (evidence insufficient)",IF(AND(G26="Adequate",H26="Implemented",I26="Operating",L26="Sufficient"),"Design, implementation and operation evidenced",IF(AND(G26="Adequate",H26="Implemented"),"Designed and implemented; operation not evidenced",IF(G26="Adequate","Designed; implementation not evidenced","Not yet determined"))))))</f>
        <v/>
      </c>
      <c r="T26" s="54" t="str">
        <f aca="false">IF(A26="","",IF(AND(L26="Insufficient",N26="Ineffective"),"CHECK: evidence gap rated Ineffective - not permitted; record as Evidence insufficient",IF(AND(N26="Ineffective",M26&lt;&gt;"Confirmed weakness",M26&lt;&gt;"Exception identified"),"CHECK: Ineffective without a confirmed weakness or exception","OK")))</f>
        <v/>
      </c>
      <c r="U26" s="54" t="str">
        <f aca="false">IF(A26="","",IF(COUNTIF(CA_ID,A26)&gt;1,"CHECK: duplicate ID",IF(B26="","CHECK: Supplier ID missing",IF(COUNTIF(INV_ID,B26)=0,"CHECK: Supplier ID not in inventory",IF(AND(E26&lt;&gt;"",COUNTIF(RSK_ID,E26)=0),"CHECK: Risk ID not found",IF(AND(E26&lt;&gt;"",COUNTIF(RSK_ID,E26)&gt;0,IFERROR(INDEX(RSK_SUP,MATCH(E26,RSK_ID,0)),"")&lt;&gt;B26),"CHECK: Risk belongs to a different supplier",IF(AND(O26&lt;&gt;"",COUNTIF(FND_ID,O26)=0),"CHECK: Finding ID not found",IF(AND(J26&lt;&gt;"",K26&lt;LEN(SUBSTITUTE(J26," ",""))-LEN(SUBSTITUTE(SUBSTITUTE(J26," ",""),",",""))+1),"CHECK: some Evidence IDs not found","OK"))))))))</f>
        <v/>
      </c>
    </row>
    <row r="27" customFormat="false" ht="15" hidden="false" customHeight="false" outlineLevel="0" collapsed="false">
      <c r="A27" s="50"/>
      <c r="B27" s="50"/>
      <c r="C27" s="59" t="str">
        <f aca="false">IF(B27="","",IFERROR(INDEX(INV_NAME,MATCH(B27,INV_ID,0)),"CHECK: Supplier ID not found"))</f>
        <v/>
      </c>
      <c r="D27" s="34"/>
      <c r="E27" s="50"/>
      <c r="F27" s="34"/>
      <c r="G27" s="34"/>
      <c r="H27" s="34"/>
      <c r="I27" s="34"/>
      <c r="J27" s="34"/>
      <c r="K27" s="62" t="str">
        <f aca="false">IF(J27="","",SUMPRODUCT(ISNUMBER(SEARCH(","&amp;EV_ID&amp;",",","&amp;SUBSTITUTE(J27," ","")&amp;","))*(EV_ID&lt;&gt;"")))</f>
        <v/>
      </c>
      <c r="L27" s="34"/>
      <c r="M27" s="34"/>
      <c r="N27" s="34"/>
      <c r="O27" s="50"/>
      <c r="P27" s="50"/>
      <c r="Q27" s="51"/>
      <c r="R27" s="34"/>
      <c r="S27" s="54" t="str">
        <f aca="false">IF(A27="","",IF(M27="Confirmed weakness","Confirmed weakness",IF(OR(M27="Evidence insufficient",L27="Insufficient"),"Assurance limitation (evidence insufficient)",IF(AND(G27="Adequate",H27="Implemented",I27="Operating",L27="Sufficient"),"Design, implementation and operation evidenced",IF(AND(G27="Adequate",H27="Implemented"),"Designed and implemented; operation not evidenced",IF(G27="Adequate","Designed; implementation not evidenced","Not yet determined"))))))</f>
        <v/>
      </c>
      <c r="T27" s="54" t="str">
        <f aca="false">IF(A27="","",IF(AND(L27="Insufficient",N27="Ineffective"),"CHECK: evidence gap rated Ineffective - not permitted; record as Evidence insufficient",IF(AND(N27="Ineffective",M27&lt;&gt;"Confirmed weakness",M27&lt;&gt;"Exception identified"),"CHECK: Ineffective without a confirmed weakness or exception","OK")))</f>
        <v/>
      </c>
      <c r="U27" s="54" t="str">
        <f aca="false">IF(A27="","",IF(COUNTIF(CA_ID,A27)&gt;1,"CHECK: duplicate ID",IF(B27="","CHECK: Supplier ID missing",IF(COUNTIF(INV_ID,B27)=0,"CHECK: Supplier ID not in inventory",IF(AND(E27&lt;&gt;"",COUNTIF(RSK_ID,E27)=0),"CHECK: Risk ID not found",IF(AND(E27&lt;&gt;"",COUNTIF(RSK_ID,E27)&gt;0,IFERROR(INDEX(RSK_SUP,MATCH(E27,RSK_ID,0)),"")&lt;&gt;B27),"CHECK: Risk belongs to a different supplier",IF(AND(O27&lt;&gt;"",COUNTIF(FND_ID,O27)=0),"CHECK: Finding ID not found",IF(AND(J27&lt;&gt;"",K27&lt;LEN(SUBSTITUTE(J27," ",""))-LEN(SUBSTITUTE(SUBSTITUTE(J27," ",""),",",""))+1),"CHECK: some Evidence IDs not found","OK"))))))))</f>
        <v/>
      </c>
    </row>
    <row r="28" customFormat="false" ht="15" hidden="false" customHeight="false" outlineLevel="0" collapsed="false">
      <c r="A28" s="50"/>
      <c r="B28" s="50"/>
      <c r="C28" s="59" t="str">
        <f aca="false">IF(B28="","",IFERROR(INDEX(INV_NAME,MATCH(B28,INV_ID,0)),"CHECK: Supplier ID not found"))</f>
        <v/>
      </c>
      <c r="D28" s="34"/>
      <c r="E28" s="50"/>
      <c r="F28" s="34"/>
      <c r="G28" s="34"/>
      <c r="H28" s="34"/>
      <c r="I28" s="34"/>
      <c r="J28" s="34"/>
      <c r="K28" s="62" t="str">
        <f aca="false">IF(J28="","",SUMPRODUCT(ISNUMBER(SEARCH(","&amp;EV_ID&amp;",",","&amp;SUBSTITUTE(J28," ","")&amp;","))*(EV_ID&lt;&gt;"")))</f>
        <v/>
      </c>
      <c r="L28" s="34"/>
      <c r="M28" s="34"/>
      <c r="N28" s="34"/>
      <c r="O28" s="50"/>
      <c r="P28" s="50"/>
      <c r="Q28" s="51"/>
      <c r="R28" s="34"/>
      <c r="S28" s="54" t="str">
        <f aca="false">IF(A28="","",IF(M28="Confirmed weakness","Confirmed weakness",IF(OR(M28="Evidence insufficient",L28="Insufficient"),"Assurance limitation (evidence insufficient)",IF(AND(G28="Adequate",H28="Implemented",I28="Operating",L28="Sufficient"),"Design, implementation and operation evidenced",IF(AND(G28="Adequate",H28="Implemented"),"Designed and implemented; operation not evidenced",IF(G28="Adequate","Designed; implementation not evidenced","Not yet determined"))))))</f>
        <v/>
      </c>
      <c r="T28" s="54" t="str">
        <f aca="false">IF(A28="","",IF(AND(L28="Insufficient",N28="Ineffective"),"CHECK: evidence gap rated Ineffective - not permitted; record as Evidence insufficient",IF(AND(N28="Ineffective",M28&lt;&gt;"Confirmed weakness",M28&lt;&gt;"Exception identified"),"CHECK: Ineffective without a confirmed weakness or exception","OK")))</f>
        <v/>
      </c>
      <c r="U28" s="54" t="str">
        <f aca="false">IF(A28="","",IF(COUNTIF(CA_ID,A28)&gt;1,"CHECK: duplicate ID",IF(B28="","CHECK: Supplier ID missing",IF(COUNTIF(INV_ID,B28)=0,"CHECK: Supplier ID not in inventory",IF(AND(E28&lt;&gt;"",COUNTIF(RSK_ID,E28)=0),"CHECK: Risk ID not found",IF(AND(E28&lt;&gt;"",COUNTIF(RSK_ID,E28)&gt;0,IFERROR(INDEX(RSK_SUP,MATCH(E28,RSK_ID,0)),"")&lt;&gt;B28),"CHECK: Risk belongs to a different supplier",IF(AND(O28&lt;&gt;"",COUNTIF(FND_ID,O28)=0),"CHECK: Finding ID not found",IF(AND(J28&lt;&gt;"",K28&lt;LEN(SUBSTITUTE(J28," ",""))-LEN(SUBSTITUTE(SUBSTITUTE(J28," ",""),",",""))+1),"CHECK: some Evidence IDs not found","OK"))))))))</f>
        <v/>
      </c>
    </row>
    <row r="29" customFormat="false" ht="15" hidden="false" customHeight="false" outlineLevel="0" collapsed="false">
      <c r="A29" s="50"/>
      <c r="B29" s="50"/>
      <c r="C29" s="59" t="str">
        <f aca="false">IF(B29="","",IFERROR(INDEX(INV_NAME,MATCH(B29,INV_ID,0)),"CHECK: Supplier ID not found"))</f>
        <v/>
      </c>
      <c r="D29" s="34"/>
      <c r="E29" s="50"/>
      <c r="F29" s="34"/>
      <c r="G29" s="34"/>
      <c r="H29" s="34"/>
      <c r="I29" s="34"/>
      <c r="J29" s="34"/>
      <c r="K29" s="62" t="str">
        <f aca="false">IF(J29="","",SUMPRODUCT(ISNUMBER(SEARCH(","&amp;EV_ID&amp;",",","&amp;SUBSTITUTE(J29," ","")&amp;","))*(EV_ID&lt;&gt;"")))</f>
        <v/>
      </c>
      <c r="L29" s="34"/>
      <c r="M29" s="34"/>
      <c r="N29" s="34"/>
      <c r="O29" s="50"/>
      <c r="P29" s="50"/>
      <c r="Q29" s="51"/>
      <c r="R29" s="34"/>
      <c r="S29" s="54" t="str">
        <f aca="false">IF(A29="","",IF(M29="Confirmed weakness","Confirmed weakness",IF(OR(M29="Evidence insufficient",L29="Insufficient"),"Assurance limitation (evidence insufficient)",IF(AND(G29="Adequate",H29="Implemented",I29="Operating",L29="Sufficient"),"Design, implementation and operation evidenced",IF(AND(G29="Adequate",H29="Implemented"),"Designed and implemented; operation not evidenced",IF(G29="Adequate","Designed; implementation not evidenced","Not yet determined"))))))</f>
        <v/>
      </c>
      <c r="T29" s="54" t="str">
        <f aca="false">IF(A29="","",IF(AND(L29="Insufficient",N29="Ineffective"),"CHECK: evidence gap rated Ineffective - not permitted; record as Evidence insufficient",IF(AND(N29="Ineffective",M29&lt;&gt;"Confirmed weakness",M29&lt;&gt;"Exception identified"),"CHECK: Ineffective without a confirmed weakness or exception","OK")))</f>
        <v/>
      </c>
      <c r="U29" s="54" t="str">
        <f aca="false">IF(A29="","",IF(COUNTIF(CA_ID,A29)&gt;1,"CHECK: duplicate ID",IF(B29="","CHECK: Supplier ID missing",IF(COUNTIF(INV_ID,B29)=0,"CHECK: Supplier ID not in inventory",IF(AND(E29&lt;&gt;"",COUNTIF(RSK_ID,E29)=0),"CHECK: Risk ID not found",IF(AND(E29&lt;&gt;"",COUNTIF(RSK_ID,E29)&gt;0,IFERROR(INDEX(RSK_SUP,MATCH(E29,RSK_ID,0)),"")&lt;&gt;B29),"CHECK: Risk belongs to a different supplier",IF(AND(O29&lt;&gt;"",COUNTIF(FND_ID,O29)=0),"CHECK: Finding ID not found",IF(AND(J29&lt;&gt;"",K29&lt;LEN(SUBSTITUTE(J29," ",""))-LEN(SUBSTITUTE(SUBSTITUTE(J29," ",""),",",""))+1),"CHECK: some Evidence IDs not found","OK"))))))))</f>
        <v/>
      </c>
    </row>
    <row r="30" customFormat="false" ht="15" hidden="false" customHeight="false" outlineLevel="0" collapsed="false">
      <c r="A30" s="50"/>
      <c r="B30" s="50"/>
      <c r="C30" s="59" t="str">
        <f aca="false">IF(B30="","",IFERROR(INDEX(INV_NAME,MATCH(B30,INV_ID,0)),"CHECK: Supplier ID not found"))</f>
        <v/>
      </c>
      <c r="D30" s="34"/>
      <c r="E30" s="50"/>
      <c r="F30" s="34"/>
      <c r="G30" s="34"/>
      <c r="H30" s="34"/>
      <c r="I30" s="34"/>
      <c r="J30" s="34"/>
      <c r="K30" s="62" t="str">
        <f aca="false">IF(J30="","",SUMPRODUCT(ISNUMBER(SEARCH(","&amp;EV_ID&amp;",",","&amp;SUBSTITUTE(J30," ","")&amp;","))*(EV_ID&lt;&gt;"")))</f>
        <v/>
      </c>
      <c r="L30" s="34"/>
      <c r="M30" s="34"/>
      <c r="N30" s="34"/>
      <c r="O30" s="50"/>
      <c r="P30" s="50"/>
      <c r="Q30" s="51"/>
      <c r="R30" s="34"/>
      <c r="S30" s="54" t="str">
        <f aca="false">IF(A30="","",IF(M30="Confirmed weakness","Confirmed weakness",IF(OR(M30="Evidence insufficient",L30="Insufficient"),"Assurance limitation (evidence insufficient)",IF(AND(G30="Adequate",H30="Implemented",I30="Operating",L30="Sufficient"),"Design, implementation and operation evidenced",IF(AND(G30="Adequate",H30="Implemented"),"Designed and implemented; operation not evidenced",IF(G30="Adequate","Designed; implementation not evidenced","Not yet determined"))))))</f>
        <v/>
      </c>
      <c r="T30" s="54" t="str">
        <f aca="false">IF(A30="","",IF(AND(L30="Insufficient",N30="Ineffective"),"CHECK: evidence gap rated Ineffective - not permitted; record as Evidence insufficient",IF(AND(N30="Ineffective",M30&lt;&gt;"Confirmed weakness",M30&lt;&gt;"Exception identified"),"CHECK: Ineffective without a confirmed weakness or exception","OK")))</f>
        <v/>
      </c>
      <c r="U30" s="54" t="str">
        <f aca="false">IF(A30="","",IF(COUNTIF(CA_ID,A30)&gt;1,"CHECK: duplicate ID",IF(B30="","CHECK: Supplier ID missing",IF(COUNTIF(INV_ID,B30)=0,"CHECK: Supplier ID not in inventory",IF(AND(E30&lt;&gt;"",COUNTIF(RSK_ID,E30)=0),"CHECK: Risk ID not found",IF(AND(E30&lt;&gt;"",COUNTIF(RSK_ID,E30)&gt;0,IFERROR(INDEX(RSK_SUP,MATCH(E30,RSK_ID,0)),"")&lt;&gt;B30),"CHECK: Risk belongs to a different supplier",IF(AND(O30&lt;&gt;"",COUNTIF(FND_ID,O30)=0),"CHECK: Finding ID not found",IF(AND(J30&lt;&gt;"",K30&lt;LEN(SUBSTITUTE(J30," ",""))-LEN(SUBSTITUTE(SUBSTITUTE(J30," ",""),",",""))+1),"CHECK: some Evidence IDs not found","OK"))))))))</f>
        <v/>
      </c>
    </row>
    <row r="31" customFormat="false" ht="15" hidden="false" customHeight="false" outlineLevel="0" collapsed="false">
      <c r="A31" s="50"/>
      <c r="B31" s="50"/>
      <c r="C31" s="59" t="str">
        <f aca="false">IF(B31="","",IFERROR(INDEX(INV_NAME,MATCH(B31,INV_ID,0)),"CHECK: Supplier ID not found"))</f>
        <v/>
      </c>
      <c r="D31" s="34"/>
      <c r="E31" s="50"/>
      <c r="F31" s="34"/>
      <c r="G31" s="34"/>
      <c r="H31" s="34"/>
      <c r="I31" s="34"/>
      <c r="J31" s="34"/>
      <c r="K31" s="62" t="str">
        <f aca="false">IF(J31="","",SUMPRODUCT(ISNUMBER(SEARCH(","&amp;EV_ID&amp;",",","&amp;SUBSTITUTE(J31," ","")&amp;","))*(EV_ID&lt;&gt;"")))</f>
        <v/>
      </c>
      <c r="L31" s="34"/>
      <c r="M31" s="34"/>
      <c r="N31" s="34"/>
      <c r="O31" s="50"/>
      <c r="P31" s="50"/>
      <c r="Q31" s="51"/>
      <c r="R31" s="34"/>
      <c r="S31" s="54" t="str">
        <f aca="false">IF(A31="","",IF(M31="Confirmed weakness","Confirmed weakness",IF(OR(M31="Evidence insufficient",L31="Insufficient"),"Assurance limitation (evidence insufficient)",IF(AND(G31="Adequate",H31="Implemented",I31="Operating",L31="Sufficient"),"Design, implementation and operation evidenced",IF(AND(G31="Adequate",H31="Implemented"),"Designed and implemented; operation not evidenced",IF(G31="Adequate","Designed; implementation not evidenced","Not yet determined"))))))</f>
        <v/>
      </c>
      <c r="T31" s="54" t="str">
        <f aca="false">IF(A31="","",IF(AND(L31="Insufficient",N31="Ineffective"),"CHECK: evidence gap rated Ineffective - not permitted; record as Evidence insufficient",IF(AND(N31="Ineffective",M31&lt;&gt;"Confirmed weakness",M31&lt;&gt;"Exception identified"),"CHECK: Ineffective without a confirmed weakness or exception","OK")))</f>
        <v/>
      </c>
      <c r="U31" s="54" t="str">
        <f aca="false">IF(A31="","",IF(COUNTIF(CA_ID,A31)&gt;1,"CHECK: duplicate ID",IF(B31="","CHECK: Supplier ID missing",IF(COUNTIF(INV_ID,B31)=0,"CHECK: Supplier ID not in inventory",IF(AND(E31&lt;&gt;"",COUNTIF(RSK_ID,E31)=0),"CHECK: Risk ID not found",IF(AND(E31&lt;&gt;"",COUNTIF(RSK_ID,E31)&gt;0,IFERROR(INDEX(RSK_SUP,MATCH(E31,RSK_ID,0)),"")&lt;&gt;B31),"CHECK: Risk belongs to a different supplier",IF(AND(O31&lt;&gt;"",COUNTIF(FND_ID,O31)=0),"CHECK: Finding ID not found",IF(AND(J31&lt;&gt;"",K31&lt;LEN(SUBSTITUTE(J31," ",""))-LEN(SUBSTITUTE(SUBSTITUTE(J31," ",""),",",""))+1),"CHECK: some Evidence IDs not found","OK"))))))))</f>
        <v/>
      </c>
    </row>
    <row r="32" customFormat="false" ht="15" hidden="false" customHeight="false" outlineLevel="0" collapsed="false">
      <c r="A32" s="50"/>
      <c r="B32" s="50"/>
      <c r="C32" s="59" t="str">
        <f aca="false">IF(B32="","",IFERROR(INDEX(INV_NAME,MATCH(B32,INV_ID,0)),"CHECK: Supplier ID not found"))</f>
        <v/>
      </c>
      <c r="D32" s="34"/>
      <c r="E32" s="50"/>
      <c r="F32" s="34"/>
      <c r="G32" s="34"/>
      <c r="H32" s="34"/>
      <c r="I32" s="34"/>
      <c r="J32" s="34"/>
      <c r="K32" s="62" t="str">
        <f aca="false">IF(J32="","",SUMPRODUCT(ISNUMBER(SEARCH(","&amp;EV_ID&amp;",",","&amp;SUBSTITUTE(J32," ","")&amp;","))*(EV_ID&lt;&gt;"")))</f>
        <v/>
      </c>
      <c r="L32" s="34"/>
      <c r="M32" s="34"/>
      <c r="N32" s="34"/>
      <c r="O32" s="50"/>
      <c r="P32" s="50"/>
      <c r="Q32" s="51"/>
      <c r="R32" s="34"/>
      <c r="S32" s="54" t="str">
        <f aca="false">IF(A32="","",IF(M32="Confirmed weakness","Confirmed weakness",IF(OR(M32="Evidence insufficient",L32="Insufficient"),"Assurance limitation (evidence insufficient)",IF(AND(G32="Adequate",H32="Implemented",I32="Operating",L32="Sufficient"),"Design, implementation and operation evidenced",IF(AND(G32="Adequate",H32="Implemented"),"Designed and implemented; operation not evidenced",IF(G32="Adequate","Designed; implementation not evidenced","Not yet determined"))))))</f>
        <v/>
      </c>
      <c r="T32" s="54" t="str">
        <f aca="false">IF(A32="","",IF(AND(L32="Insufficient",N32="Ineffective"),"CHECK: evidence gap rated Ineffective - not permitted; record as Evidence insufficient",IF(AND(N32="Ineffective",M32&lt;&gt;"Confirmed weakness",M32&lt;&gt;"Exception identified"),"CHECK: Ineffective without a confirmed weakness or exception","OK")))</f>
        <v/>
      </c>
      <c r="U32" s="54" t="str">
        <f aca="false">IF(A32="","",IF(COUNTIF(CA_ID,A32)&gt;1,"CHECK: duplicate ID",IF(B32="","CHECK: Supplier ID missing",IF(COUNTIF(INV_ID,B32)=0,"CHECK: Supplier ID not in inventory",IF(AND(E32&lt;&gt;"",COUNTIF(RSK_ID,E32)=0),"CHECK: Risk ID not found",IF(AND(E32&lt;&gt;"",COUNTIF(RSK_ID,E32)&gt;0,IFERROR(INDEX(RSK_SUP,MATCH(E32,RSK_ID,0)),"")&lt;&gt;B32),"CHECK: Risk belongs to a different supplier",IF(AND(O32&lt;&gt;"",COUNTIF(FND_ID,O32)=0),"CHECK: Finding ID not found",IF(AND(J32&lt;&gt;"",K32&lt;LEN(SUBSTITUTE(J32," ",""))-LEN(SUBSTITUTE(SUBSTITUTE(J32," ",""),",",""))+1),"CHECK: some Evidence IDs not found","OK"))))))))</f>
        <v/>
      </c>
    </row>
    <row r="33" customFormat="false" ht="15" hidden="false" customHeight="false" outlineLevel="0" collapsed="false">
      <c r="A33" s="50"/>
      <c r="B33" s="50"/>
      <c r="C33" s="59" t="str">
        <f aca="false">IF(B33="","",IFERROR(INDEX(INV_NAME,MATCH(B33,INV_ID,0)),"CHECK: Supplier ID not found"))</f>
        <v/>
      </c>
      <c r="D33" s="34"/>
      <c r="E33" s="50"/>
      <c r="F33" s="34"/>
      <c r="G33" s="34"/>
      <c r="H33" s="34"/>
      <c r="I33" s="34"/>
      <c r="J33" s="34"/>
      <c r="K33" s="62" t="str">
        <f aca="false">IF(J33="","",SUMPRODUCT(ISNUMBER(SEARCH(","&amp;EV_ID&amp;",",","&amp;SUBSTITUTE(J33," ","")&amp;","))*(EV_ID&lt;&gt;"")))</f>
        <v/>
      </c>
      <c r="L33" s="34"/>
      <c r="M33" s="34"/>
      <c r="N33" s="34"/>
      <c r="O33" s="50"/>
      <c r="P33" s="50"/>
      <c r="Q33" s="51"/>
      <c r="R33" s="34"/>
      <c r="S33" s="54" t="str">
        <f aca="false">IF(A33="","",IF(M33="Confirmed weakness","Confirmed weakness",IF(OR(M33="Evidence insufficient",L33="Insufficient"),"Assurance limitation (evidence insufficient)",IF(AND(G33="Adequate",H33="Implemented",I33="Operating",L33="Sufficient"),"Design, implementation and operation evidenced",IF(AND(G33="Adequate",H33="Implemented"),"Designed and implemented; operation not evidenced",IF(G33="Adequate","Designed; implementation not evidenced","Not yet determined"))))))</f>
        <v/>
      </c>
      <c r="T33" s="54" t="str">
        <f aca="false">IF(A33="","",IF(AND(L33="Insufficient",N33="Ineffective"),"CHECK: evidence gap rated Ineffective - not permitted; record as Evidence insufficient",IF(AND(N33="Ineffective",M33&lt;&gt;"Confirmed weakness",M33&lt;&gt;"Exception identified"),"CHECK: Ineffective without a confirmed weakness or exception","OK")))</f>
        <v/>
      </c>
      <c r="U33" s="54" t="str">
        <f aca="false">IF(A33="","",IF(COUNTIF(CA_ID,A33)&gt;1,"CHECK: duplicate ID",IF(B33="","CHECK: Supplier ID missing",IF(COUNTIF(INV_ID,B33)=0,"CHECK: Supplier ID not in inventory",IF(AND(E33&lt;&gt;"",COUNTIF(RSK_ID,E33)=0),"CHECK: Risk ID not found",IF(AND(E33&lt;&gt;"",COUNTIF(RSK_ID,E33)&gt;0,IFERROR(INDEX(RSK_SUP,MATCH(E33,RSK_ID,0)),"")&lt;&gt;B33),"CHECK: Risk belongs to a different supplier",IF(AND(O33&lt;&gt;"",COUNTIF(FND_ID,O33)=0),"CHECK: Finding ID not found",IF(AND(J33&lt;&gt;"",K33&lt;LEN(SUBSTITUTE(J33," ",""))-LEN(SUBSTITUTE(SUBSTITUTE(J33," ",""),",",""))+1),"CHECK: some Evidence IDs not found","OK"))))))))</f>
        <v/>
      </c>
    </row>
    <row r="34" customFormat="false" ht="15" hidden="false" customHeight="false" outlineLevel="0" collapsed="false">
      <c r="A34" s="50"/>
      <c r="B34" s="50"/>
      <c r="C34" s="59" t="str">
        <f aca="false">IF(B34="","",IFERROR(INDEX(INV_NAME,MATCH(B34,INV_ID,0)),"CHECK: Supplier ID not found"))</f>
        <v/>
      </c>
      <c r="D34" s="34"/>
      <c r="E34" s="50"/>
      <c r="F34" s="34"/>
      <c r="G34" s="34"/>
      <c r="H34" s="34"/>
      <c r="I34" s="34"/>
      <c r="J34" s="34"/>
      <c r="K34" s="62" t="str">
        <f aca="false">IF(J34="","",SUMPRODUCT(ISNUMBER(SEARCH(","&amp;EV_ID&amp;",",","&amp;SUBSTITUTE(J34," ","")&amp;","))*(EV_ID&lt;&gt;"")))</f>
        <v/>
      </c>
      <c r="L34" s="34"/>
      <c r="M34" s="34"/>
      <c r="N34" s="34"/>
      <c r="O34" s="50"/>
      <c r="P34" s="50"/>
      <c r="Q34" s="51"/>
      <c r="R34" s="34"/>
      <c r="S34" s="54" t="str">
        <f aca="false">IF(A34="","",IF(M34="Confirmed weakness","Confirmed weakness",IF(OR(M34="Evidence insufficient",L34="Insufficient"),"Assurance limitation (evidence insufficient)",IF(AND(G34="Adequate",H34="Implemented",I34="Operating",L34="Sufficient"),"Design, implementation and operation evidenced",IF(AND(G34="Adequate",H34="Implemented"),"Designed and implemented; operation not evidenced",IF(G34="Adequate","Designed; implementation not evidenced","Not yet determined"))))))</f>
        <v/>
      </c>
      <c r="T34" s="54" t="str">
        <f aca="false">IF(A34="","",IF(AND(L34="Insufficient",N34="Ineffective"),"CHECK: evidence gap rated Ineffective - not permitted; record as Evidence insufficient",IF(AND(N34="Ineffective",M34&lt;&gt;"Confirmed weakness",M34&lt;&gt;"Exception identified"),"CHECK: Ineffective without a confirmed weakness or exception","OK")))</f>
        <v/>
      </c>
      <c r="U34" s="54" t="str">
        <f aca="false">IF(A34="","",IF(COUNTIF(CA_ID,A34)&gt;1,"CHECK: duplicate ID",IF(B34="","CHECK: Supplier ID missing",IF(COUNTIF(INV_ID,B34)=0,"CHECK: Supplier ID not in inventory",IF(AND(E34&lt;&gt;"",COUNTIF(RSK_ID,E34)=0),"CHECK: Risk ID not found",IF(AND(E34&lt;&gt;"",COUNTIF(RSK_ID,E34)&gt;0,IFERROR(INDEX(RSK_SUP,MATCH(E34,RSK_ID,0)),"")&lt;&gt;B34),"CHECK: Risk belongs to a different supplier",IF(AND(O34&lt;&gt;"",COUNTIF(FND_ID,O34)=0),"CHECK: Finding ID not found",IF(AND(J34&lt;&gt;"",K34&lt;LEN(SUBSTITUTE(J34," ",""))-LEN(SUBSTITUTE(SUBSTITUTE(J34," ",""),",",""))+1),"CHECK: some Evidence IDs not found","OK"))))))))</f>
        <v/>
      </c>
    </row>
    <row r="35" customFormat="false" ht="15" hidden="false" customHeight="false" outlineLevel="0" collapsed="false">
      <c r="A35" s="50"/>
      <c r="B35" s="50"/>
      <c r="C35" s="59" t="str">
        <f aca="false">IF(B35="","",IFERROR(INDEX(INV_NAME,MATCH(B35,INV_ID,0)),"CHECK: Supplier ID not found"))</f>
        <v/>
      </c>
      <c r="D35" s="34"/>
      <c r="E35" s="50"/>
      <c r="F35" s="34"/>
      <c r="G35" s="34"/>
      <c r="H35" s="34"/>
      <c r="I35" s="34"/>
      <c r="J35" s="34"/>
      <c r="K35" s="62" t="str">
        <f aca="false">IF(J35="","",SUMPRODUCT(ISNUMBER(SEARCH(","&amp;EV_ID&amp;",",","&amp;SUBSTITUTE(J35," ","")&amp;","))*(EV_ID&lt;&gt;"")))</f>
        <v/>
      </c>
      <c r="L35" s="34"/>
      <c r="M35" s="34"/>
      <c r="N35" s="34"/>
      <c r="O35" s="50"/>
      <c r="P35" s="50"/>
      <c r="Q35" s="51"/>
      <c r="R35" s="34"/>
      <c r="S35" s="54" t="str">
        <f aca="false">IF(A35="","",IF(M35="Confirmed weakness","Confirmed weakness",IF(OR(M35="Evidence insufficient",L35="Insufficient"),"Assurance limitation (evidence insufficient)",IF(AND(G35="Adequate",H35="Implemented",I35="Operating",L35="Sufficient"),"Design, implementation and operation evidenced",IF(AND(G35="Adequate",H35="Implemented"),"Designed and implemented; operation not evidenced",IF(G35="Adequate","Designed; implementation not evidenced","Not yet determined"))))))</f>
        <v/>
      </c>
      <c r="T35" s="54" t="str">
        <f aca="false">IF(A35="","",IF(AND(L35="Insufficient",N35="Ineffective"),"CHECK: evidence gap rated Ineffective - not permitted; record as Evidence insufficient",IF(AND(N35="Ineffective",M35&lt;&gt;"Confirmed weakness",M35&lt;&gt;"Exception identified"),"CHECK: Ineffective without a confirmed weakness or exception","OK")))</f>
        <v/>
      </c>
      <c r="U35" s="54" t="str">
        <f aca="false">IF(A35="","",IF(COUNTIF(CA_ID,A35)&gt;1,"CHECK: duplicate ID",IF(B35="","CHECK: Supplier ID missing",IF(COUNTIF(INV_ID,B35)=0,"CHECK: Supplier ID not in inventory",IF(AND(E35&lt;&gt;"",COUNTIF(RSK_ID,E35)=0),"CHECK: Risk ID not found",IF(AND(E35&lt;&gt;"",COUNTIF(RSK_ID,E35)&gt;0,IFERROR(INDEX(RSK_SUP,MATCH(E35,RSK_ID,0)),"")&lt;&gt;B35),"CHECK: Risk belongs to a different supplier",IF(AND(O35&lt;&gt;"",COUNTIF(FND_ID,O35)=0),"CHECK: Finding ID not found",IF(AND(J35&lt;&gt;"",K35&lt;LEN(SUBSTITUTE(J35," ",""))-LEN(SUBSTITUTE(SUBSTITUTE(J35," ",""),",",""))+1),"CHECK: some Evidence IDs not found","OK"))))))))</f>
        <v/>
      </c>
    </row>
    <row r="36" customFormat="false" ht="15" hidden="false" customHeight="false" outlineLevel="0" collapsed="false">
      <c r="A36" s="50"/>
      <c r="B36" s="50"/>
      <c r="C36" s="59" t="str">
        <f aca="false">IF(B36="","",IFERROR(INDEX(INV_NAME,MATCH(B36,INV_ID,0)),"CHECK: Supplier ID not found"))</f>
        <v/>
      </c>
      <c r="D36" s="34"/>
      <c r="E36" s="50"/>
      <c r="F36" s="34"/>
      <c r="G36" s="34"/>
      <c r="H36" s="34"/>
      <c r="I36" s="34"/>
      <c r="J36" s="34"/>
      <c r="K36" s="62" t="str">
        <f aca="false">IF(J36="","",SUMPRODUCT(ISNUMBER(SEARCH(","&amp;EV_ID&amp;",",","&amp;SUBSTITUTE(J36," ","")&amp;","))*(EV_ID&lt;&gt;"")))</f>
        <v/>
      </c>
      <c r="L36" s="34"/>
      <c r="M36" s="34"/>
      <c r="N36" s="34"/>
      <c r="O36" s="50"/>
      <c r="P36" s="50"/>
      <c r="Q36" s="51"/>
      <c r="R36" s="34"/>
      <c r="S36" s="54" t="str">
        <f aca="false">IF(A36="","",IF(M36="Confirmed weakness","Confirmed weakness",IF(OR(M36="Evidence insufficient",L36="Insufficient"),"Assurance limitation (evidence insufficient)",IF(AND(G36="Adequate",H36="Implemented",I36="Operating",L36="Sufficient"),"Design, implementation and operation evidenced",IF(AND(G36="Adequate",H36="Implemented"),"Designed and implemented; operation not evidenced",IF(G36="Adequate","Designed; implementation not evidenced","Not yet determined"))))))</f>
        <v/>
      </c>
      <c r="T36" s="54" t="str">
        <f aca="false">IF(A36="","",IF(AND(L36="Insufficient",N36="Ineffective"),"CHECK: evidence gap rated Ineffective - not permitted; record as Evidence insufficient",IF(AND(N36="Ineffective",M36&lt;&gt;"Confirmed weakness",M36&lt;&gt;"Exception identified"),"CHECK: Ineffective without a confirmed weakness or exception","OK")))</f>
        <v/>
      </c>
      <c r="U36" s="54" t="str">
        <f aca="false">IF(A36="","",IF(COUNTIF(CA_ID,A36)&gt;1,"CHECK: duplicate ID",IF(B36="","CHECK: Supplier ID missing",IF(COUNTIF(INV_ID,B36)=0,"CHECK: Supplier ID not in inventory",IF(AND(E36&lt;&gt;"",COUNTIF(RSK_ID,E36)=0),"CHECK: Risk ID not found",IF(AND(E36&lt;&gt;"",COUNTIF(RSK_ID,E36)&gt;0,IFERROR(INDEX(RSK_SUP,MATCH(E36,RSK_ID,0)),"")&lt;&gt;B36),"CHECK: Risk belongs to a different supplier",IF(AND(O36&lt;&gt;"",COUNTIF(FND_ID,O36)=0),"CHECK: Finding ID not found",IF(AND(J36&lt;&gt;"",K36&lt;LEN(SUBSTITUTE(J36," ",""))-LEN(SUBSTITUTE(SUBSTITUTE(J36," ",""),",",""))+1),"CHECK: some Evidence IDs not found","OK"))))))))</f>
        <v/>
      </c>
    </row>
    <row r="37" customFormat="false" ht="15" hidden="false" customHeight="false" outlineLevel="0" collapsed="false">
      <c r="A37" s="50"/>
      <c r="B37" s="50"/>
      <c r="C37" s="59" t="str">
        <f aca="false">IF(B37="","",IFERROR(INDEX(INV_NAME,MATCH(B37,INV_ID,0)),"CHECK: Supplier ID not found"))</f>
        <v/>
      </c>
      <c r="D37" s="34"/>
      <c r="E37" s="50"/>
      <c r="F37" s="34"/>
      <c r="G37" s="34"/>
      <c r="H37" s="34"/>
      <c r="I37" s="34"/>
      <c r="J37" s="34"/>
      <c r="K37" s="62" t="str">
        <f aca="false">IF(J37="","",SUMPRODUCT(ISNUMBER(SEARCH(","&amp;EV_ID&amp;",",","&amp;SUBSTITUTE(J37," ","")&amp;","))*(EV_ID&lt;&gt;"")))</f>
        <v/>
      </c>
      <c r="L37" s="34"/>
      <c r="M37" s="34"/>
      <c r="N37" s="34"/>
      <c r="O37" s="50"/>
      <c r="P37" s="50"/>
      <c r="Q37" s="51"/>
      <c r="R37" s="34"/>
      <c r="S37" s="54" t="str">
        <f aca="false">IF(A37="","",IF(M37="Confirmed weakness","Confirmed weakness",IF(OR(M37="Evidence insufficient",L37="Insufficient"),"Assurance limitation (evidence insufficient)",IF(AND(G37="Adequate",H37="Implemented",I37="Operating",L37="Sufficient"),"Design, implementation and operation evidenced",IF(AND(G37="Adequate",H37="Implemented"),"Designed and implemented; operation not evidenced",IF(G37="Adequate","Designed; implementation not evidenced","Not yet determined"))))))</f>
        <v/>
      </c>
      <c r="T37" s="54" t="str">
        <f aca="false">IF(A37="","",IF(AND(L37="Insufficient",N37="Ineffective"),"CHECK: evidence gap rated Ineffective - not permitted; record as Evidence insufficient",IF(AND(N37="Ineffective",M37&lt;&gt;"Confirmed weakness",M37&lt;&gt;"Exception identified"),"CHECK: Ineffective without a confirmed weakness or exception","OK")))</f>
        <v/>
      </c>
      <c r="U37" s="54" t="str">
        <f aca="false">IF(A37="","",IF(COUNTIF(CA_ID,A37)&gt;1,"CHECK: duplicate ID",IF(B37="","CHECK: Supplier ID missing",IF(COUNTIF(INV_ID,B37)=0,"CHECK: Supplier ID not in inventory",IF(AND(E37&lt;&gt;"",COUNTIF(RSK_ID,E37)=0),"CHECK: Risk ID not found",IF(AND(E37&lt;&gt;"",COUNTIF(RSK_ID,E37)&gt;0,IFERROR(INDEX(RSK_SUP,MATCH(E37,RSK_ID,0)),"")&lt;&gt;B37),"CHECK: Risk belongs to a different supplier",IF(AND(O37&lt;&gt;"",COUNTIF(FND_ID,O37)=0),"CHECK: Finding ID not found",IF(AND(J37&lt;&gt;"",K37&lt;LEN(SUBSTITUTE(J37," ",""))-LEN(SUBSTITUTE(SUBSTITUTE(J37," ",""),",",""))+1),"CHECK: some Evidence IDs not found","OK"))))))))</f>
        <v/>
      </c>
    </row>
    <row r="38" customFormat="false" ht="15" hidden="false" customHeight="false" outlineLevel="0" collapsed="false">
      <c r="A38" s="50"/>
      <c r="B38" s="50"/>
      <c r="C38" s="59" t="str">
        <f aca="false">IF(B38="","",IFERROR(INDEX(INV_NAME,MATCH(B38,INV_ID,0)),"CHECK: Supplier ID not found"))</f>
        <v/>
      </c>
      <c r="D38" s="34"/>
      <c r="E38" s="50"/>
      <c r="F38" s="34"/>
      <c r="G38" s="34"/>
      <c r="H38" s="34"/>
      <c r="I38" s="34"/>
      <c r="J38" s="34"/>
      <c r="K38" s="62" t="str">
        <f aca="false">IF(J38="","",SUMPRODUCT(ISNUMBER(SEARCH(","&amp;EV_ID&amp;",",","&amp;SUBSTITUTE(J38," ","")&amp;","))*(EV_ID&lt;&gt;"")))</f>
        <v/>
      </c>
      <c r="L38" s="34"/>
      <c r="M38" s="34"/>
      <c r="N38" s="34"/>
      <c r="O38" s="50"/>
      <c r="P38" s="50"/>
      <c r="Q38" s="51"/>
      <c r="R38" s="34"/>
      <c r="S38" s="54" t="str">
        <f aca="false">IF(A38="","",IF(M38="Confirmed weakness","Confirmed weakness",IF(OR(M38="Evidence insufficient",L38="Insufficient"),"Assurance limitation (evidence insufficient)",IF(AND(G38="Adequate",H38="Implemented",I38="Operating",L38="Sufficient"),"Design, implementation and operation evidenced",IF(AND(G38="Adequate",H38="Implemented"),"Designed and implemented; operation not evidenced",IF(G38="Adequate","Designed; implementation not evidenced","Not yet determined"))))))</f>
        <v/>
      </c>
      <c r="T38" s="54" t="str">
        <f aca="false">IF(A38="","",IF(AND(L38="Insufficient",N38="Ineffective"),"CHECK: evidence gap rated Ineffective - not permitted; record as Evidence insufficient",IF(AND(N38="Ineffective",M38&lt;&gt;"Confirmed weakness",M38&lt;&gt;"Exception identified"),"CHECK: Ineffective without a confirmed weakness or exception","OK")))</f>
        <v/>
      </c>
      <c r="U38" s="54" t="str">
        <f aca="false">IF(A38="","",IF(COUNTIF(CA_ID,A38)&gt;1,"CHECK: duplicate ID",IF(B38="","CHECK: Supplier ID missing",IF(COUNTIF(INV_ID,B38)=0,"CHECK: Supplier ID not in inventory",IF(AND(E38&lt;&gt;"",COUNTIF(RSK_ID,E38)=0),"CHECK: Risk ID not found",IF(AND(E38&lt;&gt;"",COUNTIF(RSK_ID,E38)&gt;0,IFERROR(INDEX(RSK_SUP,MATCH(E38,RSK_ID,0)),"")&lt;&gt;B38),"CHECK: Risk belongs to a different supplier",IF(AND(O38&lt;&gt;"",COUNTIF(FND_ID,O38)=0),"CHECK: Finding ID not found",IF(AND(J38&lt;&gt;"",K38&lt;LEN(SUBSTITUTE(J38," ",""))-LEN(SUBSTITUTE(SUBSTITUTE(J38," ",""),",",""))+1),"CHECK: some Evidence IDs not found","OK"))))))))</f>
        <v/>
      </c>
    </row>
    <row r="39" customFormat="false" ht="15" hidden="false" customHeight="false" outlineLevel="0" collapsed="false">
      <c r="A39" s="50"/>
      <c r="B39" s="50"/>
      <c r="C39" s="59" t="str">
        <f aca="false">IF(B39="","",IFERROR(INDEX(INV_NAME,MATCH(B39,INV_ID,0)),"CHECK: Supplier ID not found"))</f>
        <v/>
      </c>
      <c r="D39" s="34"/>
      <c r="E39" s="50"/>
      <c r="F39" s="34"/>
      <c r="G39" s="34"/>
      <c r="H39" s="34"/>
      <c r="I39" s="34"/>
      <c r="J39" s="34"/>
      <c r="K39" s="62" t="str">
        <f aca="false">IF(J39="","",SUMPRODUCT(ISNUMBER(SEARCH(","&amp;EV_ID&amp;",",","&amp;SUBSTITUTE(J39," ","")&amp;","))*(EV_ID&lt;&gt;"")))</f>
        <v/>
      </c>
      <c r="L39" s="34"/>
      <c r="M39" s="34"/>
      <c r="N39" s="34"/>
      <c r="O39" s="50"/>
      <c r="P39" s="50"/>
      <c r="Q39" s="51"/>
      <c r="R39" s="34"/>
      <c r="S39" s="54" t="str">
        <f aca="false">IF(A39="","",IF(M39="Confirmed weakness","Confirmed weakness",IF(OR(M39="Evidence insufficient",L39="Insufficient"),"Assurance limitation (evidence insufficient)",IF(AND(G39="Adequate",H39="Implemented",I39="Operating",L39="Sufficient"),"Design, implementation and operation evidenced",IF(AND(G39="Adequate",H39="Implemented"),"Designed and implemented; operation not evidenced",IF(G39="Adequate","Designed; implementation not evidenced","Not yet determined"))))))</f>
        <v/>
      </c>
      <c r="T39" s="54" t="str">
        <f aca="false">IF(A39="","",IF(AND(L39="Insufficient",N39="Ineffective"),"CHECK: evidence gap rated Ineffective - not permitted; record as Evidence insufficient",IF(AND(N39="Ineffective",M39&lt;&gt;"Confirmed weakness",M39&lt;&gt;"Exception identified"),"CHECK: Ineffective without a confirmed weakness or exception","OK")))</f>
        <v/>
      </c>
      <c r="U39" s="54" t="str">
        <f aca="false">IF(A39="","",IF(COUNTIF(CA_ID,A39)&gt;1,"CHECK: duplicate ID",IF(B39="","CHECK: Supplier ID missing",IF(COUNTIF(INV_ID,B39)=0,"CHECK: Supplier ID not in inventory",IF(AND(E39&lt;&gt;"",COUNTIF(RSK_ID,E39)=0),"CHECK: Risk ID not found",IF(AND(E39&lt;&gt;"",COUNTIF(RSK_ID,E39)&gt;0,IFERROR(INDEX(RSK_SUP,MATCH(E39,RSK_ID,0)),"")&lt;&gt;B39),"CHECK: Risk belongs to a different supplier",IF(AND(O39&lt;&gt;"",COUNTIF(FND_ID,O39)=0),"CHECK: Finding ID not found",IF(AND(J39&lt;&gt;"",K39&lt;LEN(SUBSTITUTE(J39," ",""))-LEN(SUBSTITUTE(SUBSTITUTE(J39," ",""),",",""))+1),"CHECK: some Evidence IDs not found","OK"))))))))</f>
        <v/>
      </c>
    </row>
    <row r="40" customFormat="false" ht="15" hidden="false" customHeight="false" outlineLevel="0" collapsed="false">
      <c r="A40" s="50"/>
      <c r="B40" s="50"/>
      <c r="C40" s="59" t="str">
        <f aca="false">IF(B40="","",IFERROR(INDEX(INV_NAME,MATCH(B40,INV_ID,0)),"CHECK: Supplier ID not found"))</f>
        <v/>
      </c>
      <c r="D40" s="34"/>
      <c r="E40" s="50"/>
      <c r="F40" s="34"/>
      <c r="G40" s="34"/>
      <c r="H40" s="34"/>
      <c r="I40" s="34"/>
      <c r="J40" s="34"/>
      <c r="K40" s="62" t="str">
        <f aca="false">IF(J40="","",SUMPRODUCT(ISNUMBER(SEARCH(","&amp;EV_ID&amp;",",","&amp;SUBSTITUTE(J40," ","")&amp;","))*(EV_ID&lt;&gt;"")))</f>
        <v/>
      </c>
      <c r="L40" s="34"/>
      <c r="M40" s="34"/>
      <c r="N40" s="34"/>
      <c r="O40" s="50"/>
      <c r="P40" s="50"/>
      <c r="Q40" s="51"/>
      <c r="R40" s="34"/>
      <c r="S40" s="54" t="str">
        <f aca="false">IF(A40="","",IF(M40="Confirmed weakness","Confirmed weakness",IF(OR(M40="Evidence insufficient",L40="Insufficient"),"Assurance limitation (evidence insufficient)",IF(AND(G40="Adequate",H40="Implemented",I40="Operating",L40="Sufficient"),"Design, implementation and operation evidenced",IF(AND(G40="Adequate",H40="Implemented"),"Designed and implemented; operation not evidenced",IF(G40="Adequate","Designed; implementation not evidenced","Not yet determined"))))))</f>
        <v/>
      </c>
      <c r="T40" s="54" t="str">
        <f aca="false">IF(A40="","",IF(AND(L40="Insufficient",N40="Ineffective"),"CHECK: evidence gap rated Ineffective - not permitted; record as Evidence insufficient",IF(AND(N40="Ineffective",M40&lt;&gt;"Confirmed weakness",M40&lt;&gt;"Exception identified"),"CHECK: Ineffective without a confirmed weakness or exception","OK")))</f>
        <v/>
      </c>
      <c r="U40" s="54" t="str">
        <f aca="false">IF(A40="","",IF(COUNTIF(CA_ID,A40)&gt;1,"CHECK: duplicate ID",IF(B40="","CHECK: Supplier ID missing",IF(COUNTIF(INV_ID,B40)=0,"CHECK: Supplier ID not in inventory",IF(AND(E40&lt;&gt;"",COUNTIF(RSK_ID,E40)=0),"CHECK: Risk ID not found",IF(AND(E40&lt;&gt;"",COUNTIF(RSK_ID,E40)&gt;0,IFERROR(INDEX(RSK_SUP,MATCH(E40,RSK_ID,0)),"")&lt;&gt;B40),"CHECK: Risk belongs to a different supplier",IF(AND(O40&lt;&gt;"",COUNTIF(FND_ID,O40)=0),"CHECK: Finding ID not found",IF(AND(J40&lt;&gt;"",K40&lt;LEN(SUBSTITUTE(J40," ",""))-LEN(SUBSTITUTE(SUBSTITUTE(J40," ",""),",",""))+1),"CHECK: some Evidence IDs not found","OK"))))))))</f>
        <v/>
      </c>
    </row>
    <row r="41" customFormat="false" ht="15" hidden="false" customHeight="false" outlineLevel="0" collapsed="false">
      <c r="A41" s="50"/>
      <c r="B41" s="50"/>
      <c r="C41" s="59" t="str">
        <f aca="false">IF(B41="","",IFERROR(INDEX(INV_NAME,MATCH(B41,INV_ID,0)),"CHECK: Supplier ID not found"))</f>
        <v/>
      </c>
      <c r="D41" s="34"/>
      <c r="E41" s="50"/>
      <c r="F41" s="34"/>
      <c r="G41" s="34"/>
      <c r="H41" s="34"/>
      <c r="I41" s="34"/>
      <c r="J41" s="34"/>
      <c r="K41" s="62" t="str">
        <f aca="false">IF(J41="","",SUMPRODUCT(ISNUMBER(SEARCH(","&amp;EV_ID&amp;",",","&amp;SUBSTITUTE(J41," ","")&amp;","))*(EV_ID&lt;&gt;"")))</f>
        <v/>
      </c>
      <c r="L41" s="34"/>
      <c r="M41" s="34"/>
      <c r="N41" s="34"/>
      <c r="O41" s="50"/>
      <c r="P41" s="50"/>
      <c r="Q41" s="51"/>
      <c r="R41" s="34"/>
      <c r="S41" s="54" t="str">
        <f aca="false">IF(A41="","",IF(M41="Confirmed weakness","Confirmed weakness",IF(OR(M41="Evidence insufficient",L41="Insufficient"),"Assurance limitation (evidence insufficient)",IF(AND(G41="Adequate",H41="Implemented",I41="Operating",L41="Sufficient"),"Design, implementation and operation evidenced",IF(AND(G41="Adequate",H41="Implemented"),"Designed and implemented; operation not evidenced",IF(G41="Adequate","Designed; implementation not evidenced","Not yet determined"))))))</f>
        <v/>
      </c>
      <c r="T41" s="54" t="str">
        <f aca="false">IF(A41="","",IF(AND(L41="Insufficient",N41="Ineffective"),"CHECK: evidence gap rated Ineffective - not permitted; record as Evidence insufficient",IF(AND(N41="Ineffective",M41&lt;&gt;"Confirmed weakness",M41&lt;&gt;"Exception identified"),"CHECK: Ineffective without a confirmed weakness or exception","OK")))</f>
        <v/>
      </c>
      <c r="U41" s="54" t="str">
        <f aca="false">IF(A41="","",IF(COUNTIF(CA_ID,A41)&gt;1,"CHECK: duplicate ID",IF(B41="","CHECK: Supplier ID missing",IF(COUNTIF(INV_ID,B41)=0,"CHECK: Supplier ID not in inventory",IF(AND(E41&lt;&gt;"",COUNTIF(RSK_ID,E41)=0),"CHECK: Risk ID not found",IF(AND(E41&lt;&gt;"",COUNTIF(RSK_ID,E41)&gt;0,IFERROR(INDEX(RSK_SUP,MATCH(E41,RSK_ID,0)),"")&lt;&gt;B41),"CHECK: Risk belongs to a different supplier",IF(AND(O41&lt;&gt;"",COUNTIF(FND_ID,O41)=0),"CHECK: Finding ID not found",IF(AND(J41&lt;&gt;"",K41&lt;LEN(SUBSTITUTE(J41," ",""))-LEN(SUBSTITUTE(SUBSTITUTE(J41," ",""),",",""))+1),"CHECK: some Evidence IDs not found","OK"))))))))</f>
        <v/>
      </c>
    </row>
    <row r="42" customFormat="false" ht="15" hidden="false" customHeight="false" outlineLevel="0" collapsed="false">
      <c r="A42" s="50"/>
      <c r="B42" s="50"/>
      <c r="C42" s="59" t="str">
        <f aca="false">IF(B42="","",IFERROR(INDEX(INV_NAME,MATCH(B42,INV_ID,0)),"CHECK: Supplier ID not found"))</f>
        <v/>
      </c>
      <c r="D42" s="34"/>
      <c r="E42" s="50"/>
      <c r="F42" s="34"/>
      <c r="G42" s="34"/>
      <c r="H42" s="34"/>
      <c r="I42" s="34"/>
      <c r="J42" s="34"/>
      <c r="K42" s="62" t="str">
        <f aca="false">IF(J42="","",SUMPRODUCT(ISNUMBER(SEARCH(","&amp;EV_ID&amp;",",","&amp;SUBSTITUTE(J42," ","")&amp;","))*(EV_ID&lt;&gt;"")))</f>
        <v/>
      </c>
      <c r="L42" s="34"/>
      <c r="M42" s="34"/>
      <c r="N42" s="34"/>
      <c r="O42" s="50"/>
      <c r="P42" s="50"/>
      <c r="Q42" s="51"/>
      <c r="R42" s="34"/>
      <c r="S42" s="54" t="str">
        <f aca="false">IF(A42="","",IF(M42="Confirmed weakness","Confirmed weakness",IF(OR(M42="Evidence insufficient",L42="Insufficient"),"Assurance limitation (evidence insufficient)",IF(AND(G42="Adequate",H42="Implemented",I42="Operating",L42="Sufficient"),"Design, implementation and operation evidenced",IF(AND(G42="Adequate",H42="Implemented"),"Designed and implemented; operation not evidenced",IF(G42="Adequate","Designed; implementation not evidenced","Not yet determined"))))))</f>
        <v/>
      </c>
      <c r="T42" s="54" t="str">
        <f aca="false">IF(A42="","",IF(AND(L42="Insufficient",N42="Ineffective"),"CHECK: evidence gap rated Ineffective - not permitted; record as Evidence insufficient",IF(AND(N42="Ineffective",M42&lt;&gt;"Confirmed weakness",M42&lt;&gt;"Exception identified"),"CHECK: Ineffective without a confirmed weakness or exception","OK")))</f>
        <v/>
      </c>
      <c r="U42" s="54" t="str">
        <f aca="false">IF(A42="","",IF(COUNTIF(CA_ID,A42)&gt;1,"CHECK: duplicate ID",IF(B42="","CHECK: Supplier ID missing",IF(COUNTIF(INV_ID,B42)=0,"CHECK: Supplier ID not in inventory",IF(AND(E42&lt;&gt;"",COUNTIF(RSK_ID,E42)=0),"CHECK: Risk ID not found",IF(AND(E42&lt;&gt;"",COUNTIF(RSK_ID,E42)&gt;0,IFERROR(INDEX(RSK_SUP,MATCH(E42,RSK_ID,0)),"")&lt;&gt;B42),"CHECK: Risk belongs to a different supplier",IF(AND(O42&lt;&gt;"",COUNTIF(FND_ID,O42)=0),"CHECK: Finding ID not found",IF(AND(J42&lt;&gt;"",K42&lt;LEN(SUBSTITUTE(J42," ",""))-LEN(SUBSTITUTE(SUBSTITUTE(J42," ",""),",",""))+1),"CHECK: some Evidence IDs not found","OK"))))))))</f>
        <v/>
      </c>
    </row>
    <row r="43" customFormat="false" ht="15" hidden="false" customHeight="false" outlineLevel="0" collapsed="false">
      <c r="A43" s="50"/>
      <c r="B43" s="50"/>
      <c r="C43" s="59" t="str">
        <f aca="false">IF(B43="","",IFERROR(INDEX(INV_NAME,MATCH(B43,INV_ID,0)),"CHECK: Supplier ID not found"))</f>
        <v/>
      </c>
      <c r="D43" s="34"/>
      <c r="E43" s="50"/>
      <c r="F43" s="34"/>
      <c r="G43" s="34"/>
      <c r="H43" s="34"/>
      <c r="I43" s="34"/>
      <c r="J43" s="34"/>
      <c r="K43" s="62" t="str">
        <f aca="false">IF(J43="","",SUMPRODUCT(ISNUMBER(SEARCH(","&amp;EV_ID&amp;",",","&amp;SUBSTITUTE(J43," ","")&amp;","))*(EV_ID&lt;&gt;"")))</f>
        <v/>
      </c>
      <c r="L43" s="34"/>
      <c r="M43" s="34"/>
      <c r="N43" s="34"/>
      <c r="O43" s="50"/>
      <c r="P43" s="50"/>
      <c r="Q43" s="51"/>
      <c r="R43" s="34"/>
      <c r="S43" s="54" t="str">
        <f aca="false">IF(A43="","",IF(M43="Confirmed weakness","Confirmed weakness",IF(OR(M43="Evidence insufficient",L43="Insufficient"),"Assurance limitation (evidence insufficient)",IF(AND(G43="Adequate",H43="Implemented",I43="Operating",L43="Sufficient"),"Design, implementation and operation evidenced",IF(AND(G43="Adequate",H43="Implemented"),"Designed and implemented; operation not evidenced",IF(G43="Adequate","Designed; implementation not evidenced","Not yet determined"))))))</f>
        <v/>
      </c>
      <c r="T43" s="54" t="str">
        <f aca="false">IF(A43="","",IF(AND(L43="Insufficient",N43="Ineffective"),"CHECK: evidence gap rated Ineffective - not permitted; record as Evidence insufficient",IF(AND(N43="Ineffective",M43&lt;&gt;"Confirmed weakness",M43&lt;&gt;"Exception identified"),"CHECK: Ineffective without a confirmed weakness or exception","OK")))</f>
        <v/>
      </c>
      <c r="U43" s="54" t="str">
        <f aca="false">IF(A43="","",IF(COUNTIF(CA_ID,A43)&gt;1,"CHECK: duplicate ID",IF(B43="","CHECK: Supplier ID missing",IF(COUNTIF(INV_ID,B43)=0,"CHECK: Supplier ID not in inventory",IF(AND(E43&lt;&gt;"",COUNTIF(RSK_ID,E43)=0),"CHECK: Risk ID not found",IF(AND(E43&lt;&gt;"",COUNTIF(RSK_ID,E43)&gt;0,IFERROR(INDEX(RSK_SUP,MATCH(E43,RSK_ID,0)),"")&lt;&gt;B43),"CHECK: Risk belongs to a different supplier",IF(AND(O43&lt;&gt;"",COUNTIF(FND_ID,O43)=0),"CHECK: Finding ID not found",IF(AND(J43&lt;&gt;"",K43&lt;LEN(SUBSTITUTE(J43," ",""))-LEN(SUBSTITUTE(SUBSTITUTE(J43," ",""),",",""))+1),"CHECK: some Evidence IDs not found","OK"))))))))</f>
        <v/>
      </c>
    </row>
    <row r="44" customFormat="false" ht="15" hidden="false" customHeight="false" outlineLevel="0" collapsed="false">
      <c r="A44" s="50"/>
      <c r="B44" s="50"/>
      <c r="C44" s="59" t="str">
        <f aca="false">IF(B44="","",IFERROR(INDEX(INV_NAME,MATCH(B44,INV_ID,0)),"CHECK: Supplier ID not found"))</f>
        <v/>
      </c>
      <c r="D44" s="34"/>
      <c r="E44" s="50"/>
      <c r="F44" s="34"/>
      <c r="G44" s="34"/>
      <c r="H44" s="34"/>
      <c r="I44" s="34"/>
      <c r="J44" s="34"/>
      <c r="K44" s="62" t="str">
        <f aca="false">IF(J44="","",SUMPRODUCT(ISNUMBER(SEARCH(","&amp;EV_ID&amp;",",","&amp;SUBSTITUTE(J44," ","")&amp;","))*(EV_ID&lt;&gt;"")))</f>
        <v/>
      </c>
      <c r="L44" s="34"/>
      <c r="M44" s="34"/>
      <c r="N44" s="34"/>
      <c r="O44" s="50"/>
      <c r="P44" s="50"/>
      <c r="Q44" s="51"/>
      <c r="R44" s="34"/>
      <c r="S44" s="54" t="str">
        <f aca="false">IF(A44="","",IF(M44="Confirmed weakness","Confirmed weakness",IF(OR(M44="Evidence insufficient",L44="Insufficient"),"Assurance limitation (evidence insufficient)",IF(AND(G44="Adequate",H44="Implemented",I44="Operating",L44="Sufficient"),"Design, implementation and operation evidenced",IF(AND(G44="Adequate",H44="Implemented"),"Designed and implemented; operation not evidenced",IF(G44="Adequate","Designed; implementation not evidenced","Not yet determined"))))))</f>
        <v/>
      </c>
      <c r="T44" s="54" t="str">
        <f aca="false">IF(A44="","",IF(AND(L44="Insufficient",N44="Ineffective"),"CHECK: evidence gap rated Ineffective - not permitted; record as Evidence insufficient",IF(AND(N44="Ineffective",M44&lt;&gt;"Confirmed weakness",M44&lt;&gt;"Exception identified"),"CHECK: Ineffective without a confirmed weakness or exception","OK")))</f>
        <v/>
      </c>
      <c r="U44" s="54" t="str">
        <f aca="false">IF(A44="","",IF(COUNTIF(CA_ID,A44)&gt;1,"CHECK: duplicate ID",IF(B44="","CHECK: Supplier ID missing",IF(COUNTIF(INV_ID,B44)=0,"CHECK: Supplier ID not in inventory",IF(AND(E44&lt;&gt;"",COUNTIF(RSK_ID,E44)=0),"CHECK: Risk ID not found",IF(AND(E44&lt;&gt;"",COUNTIF(RSK_ID,E44)&gt;0,IFERROR(INDEX(RSK_SUP,MATCH(E44,RSK_ID,0)),"")&lt;&gt;B44),"CHECK: Risk belongs to a different supplier",IF(AND(O44&lt;&gt;"",COUNTIF(FND_ID,O44)=0),"CHECK: Finding ID not found",IF(AND(J44&lt;&gt;"",K44&lt;LEN(SUBSTITUTE(J44," ",""))-LEN(SUBSTITUTE(SUBSTITUTE(J44," ",""),",",""))+1),"CHECK: some Evidence IDs not found","OK"))))))))</f>
        <v/>
      </c>
    </row>
    <row r="45" customFormat="false" ht="15" hidden="false" customHeight="false" outlineLevel="0" collapsed="false">
      <c r="A45" s="50"/>
      <c r="B45" s="50"/>
      <c r="C45" s="59" t="str">
        <f aca="false">IF(B45="","",IFERROR(INDEX(INV_NAME,MATCH(B45,INV_ID,0)),"CHECK: Supplier ID not found"))</f>
        <v/>
      </c>
      <c r="D45" s="34"/>
      <c r="E45" s="50"/>
      <c r="F45" s="34"/>
      <c r="G45" s="34"/>
      <c r="H45" s="34"/>
      <c r="I45" s="34"/>
      <c r="J45" s="34"/>
      <c r="K45" s="62" t="str">
        <f aca="false">IF(J45="","",SUMPRODUCT(ISNUMBER(SEARCH(","&amp;EV_ID&amp;",",","&amp;SUBSTITUTE(J45," ","")&amp;","))*(EV_ID&lt;&gt;"")))</f>
        <v/>
      </c>
      <c r="L45" s="34"/>
      <c r="M45" s="34"/>
      <c r="N45" s="34"/>
      <c r="O45" s="50"/>
      <c r="P45" s="50"/>
      <c r="Q45" s="51"/>
      <c r="R45" s="34"/>
      <c r="S45" s="54" t="str">
        <f aca="false">IF(A45="","",IF(M45="Confirmed weakness","Confirmed weakness",IF(OR(M45="Evidence insufficient",L45="Insufficient"),"Assurance limitation (evidence insufficient)",IF(AND(G45="Adequate",H45="Implemented",I45="Operating",L45="Sufficient"),"Design, implementation and operation evidenced",IF(AND(G45="Adequate",H45="Implemented"),"Designed and implemented; operation not evidenced",IF(G45="Adequate","Designed; implementation not evidenced","Not yet determined"))))))</f>
        <v/>
      </c>
      <c r="T45" s="54" t="str">
        <f aca="false">IF(A45="","",IF(AND(L45="Insufficient",N45="Ineffective"),"CHECK: evidence gap rated Ineffective - not permitted; record as Evidence insufficient",IF(AND(N45="Ineffective",M45&lt;&gt;"Confirmed weakness",M45&lt;&gt;"Exception identified"),"CHECK: Ineffective without a confirmed weakness or exception","OK")))</f>
        <v/>
      </c>
      <c r="U45" s="54" t="str">
        <f aca="false">IF(A45="","",IF(COUNTIF(CA_ID,A45)&gt;1,"CHECK: duplicate ID",IF(B45="","CHECK: Supplier ID missing",IF(COUNTIF(INV_ID,B45)=0,"CHECK: Supplier ID not in inventory",IF(AND(E45&lt;&gt;"",COUNTIF(RSK_ID,E45)=0),"CHECK: Risk ID not found",IF(AND(E45&lt;&gt;"",COUNTIF(RSK_ID,E45)&gt;0,IFERROR(INDEX(RSK_SUP,MATCH(E45,RSK_ID,0)),"")&lt;&gt;B45),"CHECK: Risk belongs to a different supplier",IF(AND(O45&lt;&gt;"",COUNTIF(FND_ID,O45)=0),"CHECK: Finding ID not found",IF(AND(J45&lt;&gt;"",K45&lt;LEN(SUBSTITUTE(J45," ",""))-LEN(SUBSTITUTE(SUBSTITUTE(J45," ",""),",",""))+1),"CHECK: some Evidence IDs not found","OK"))))))))</f>
        <v/>
      </c>
    </row>
    <row r="46" customFormat="false" ht="15" hidden="false" customHeight="false" outlineLevel="0" collapsed="false">
      <c r="A46" s="50"/>
      <c r="B46" s="50"/>
      <c r="C46" s="59" t="str">
        <f aca="false">IF(B46="","",IFERROR(INDEX(INV_NAME,MATCH(B46,INV_ID,0)),"CHECK: Supplier ID not found"))</f>
        <v/>
      </c>
      <c r="D46" s="34"/>
      <c r="E46" s="50"/>
      <c r="F46" s="34"/>
      <c r="G46" s="34"/>
      <c r="H46" s="34"/>
      <c r="I46" s="34"/>
      <c r="J46" s="34"/>
      <c r="K46" s="62" t="str">
        <f aca="false">IF(J46="","",SUMPRODUCT(ISNUMBER(SEARCH(","&amp;EV_ID&amp;",",","&amp;SUBSTITUTE(J46," ","")&amp;","))*(EV_ID&lt;&gt;"")))</f>
        <v/>
      </c>
      <c r="L46" s="34"/>
      <c r="M46" s="34"/>
      <c r="N46" s="34"/>
      <c r="O46" s="50"/>
      <c r="P46" s="50"/>
      <c r="Q46" s="51"/>
      <c r="R46" s="34"/>
      <c r="S46" s="54" t="str">
        <f aca="false">IF(A46="","",IF(M46="Confirmed weakness","Confirmed weakness",IF(OR(M46="Evidence insufficient",L46="Insufficient"),"Assurance limitation (evidence insufficient)",IF(AND(G46="Adequate",H46="Implemented",I46="Operating",L46="Sufficient"),"Design, implementation and operation evidenced",IF(AND(G46="Adequate",H46="Implemented"),"Designed and implemented; operation not evidenced",IF(G46="Adequate","Designed; implementation not evidenced","Not yet determined"))))))</f>
        <v/>
      </c>
      <c r="T46" s="54" t="str">
        <f aca="false">IF(A46="","",IF(AND(L46="Insufficient",N46="Ineffective"),"CHECK: evidence gap rated Ineffective - not permitted; record as Evidence insufficient",IF(AND(N46="Ineffective",M46&lt;&gt;"Confirmed weakness",M46&lt;&gt;"Exception identified"),"CHECK: Ineffective without a confirmed weakness or exception","OK")))</f>
        <v/>
      </c>
      <c r="U46" s="54" t="str">
        <f aca="false">IF(A46="","",IF(COUNTIF(CA_ID,A46)&gt;1,"CHECK: duplicate ID",IF(B46="","CHECK: Supplier ID missing",IF(COUNTIF(INV_ID,B46)=0,"CHECK: Supplier ID not in inventory",IF(AND(E46&lt;&gt;"",COUNTIF(RSK_ID,E46)=0),"CHECK: Risk ID not found",IF(AND(E46&lt;&gt;"",COUNTIF(RSK_ID,E46)&gt;0,IFERROR(INDEX(RSK_SUP,MATCH(E46,RSK_ID,0)),"")&lt;&gt;B46),"CHECK: Risk belongs to a different supplier",IF(AND(O46&lt;&gt;"",COUNTIF(FND_ID,O46)=0),"CHECK: Finding ID not found",IF(AND(J46&lt;&gt;"",K46&lt;LEN(SUBSTITUTE(J46," ",""))-LEN(SUBSTITUTE(SUBSTITUTE(J46," ",""),",",""))+1),"CHECK: some Evidence IDs not found","OK"))))))))</f>
        <v/>
      </c>
    </row>
    <row r="47" customFormat="false" ht="15" hidden="false" customHeight="false" outlineLevel="0" collapsed="false">
      <c r="A47" s="50"/>
      <c r="B47" s="50"/>
      <c r="C47" s="59" t="str">
        <f aca="false">IF(B47="","",IFERROR(INDEX(INV_NAME,MATCH(B47,INV_ID,0)),"CHECK: Supplier ID not found"))</f>
        <v/>
      </c>
      <c r="D47" s="34"/>
      <c r="E47" s="50"/>
      <c r="F47" s="34"/>
      <c r="G47" s="34"/>
      <c r="H47" s="34"/>
      <c r="I47" s="34"/>
      <c r="J47" s="34"/>
      <c r="K47" s="62" t="str">
        <f aca="false">IF(J47="","",SUMPRODUCT(ISNUMBER(SEARCH(","&amp;EV_ID&amp;",",","&amp;SUBSTITUTE(J47," ","")&amp;","))*(EV_ID&lt;&gt;"")))</f>
        <v/>
      </c>
      <c r="L47" s="34"/>
      <c r="M47" s="34"/>
      <c r="N47" s="34"/>
      <c r="O47" s="50"/>
      <c r="P47" s="50"/>
      <c r="Q47" s="51"/>
      <c r="R47" s="34"/>
      <c r="S47" s="54" t="str">
        <f aca="false">IF(A47="","",IF(M47="Confirmed weakness","Confirmed weakness",IF(OR(M47="Evidence insufficient",L47="Insufficient"),"Assurance limitation (evidence insufficient)",IF(AND(G47="Adequate",H47="Implemented",I47="Operating",L47="Sufficient"),"Design, implementation and operation evidenced",IF(AND(G47="Adequate",H47="Implemented"),"Designed and implemented; operation not evidenced",IF(G47="Adequate","Designed; implementation not evidenced","Not yet determined"))))))</f>
        <v/>
      </c>
      <c r="T47" s="54" t="str">
        <f aca="false">IF(A47="","",IF(AND(L47="Insufficient",N47="Ineffective"),"CHECK: evidence gap rated Ineffective - not permitted; record as Evidence insufficient",IF(AND(N47="Ineffective",M47&lt;&gt;"Confirmed weakness",M47&lt;&gt;"Exception identified"),"CHECK: Ineffective without a confirmed weakness or exception","OK")))</f>
        <v/>
      </c>
      <c r="U47" s="54" t="str">
        <f aca="false">IF(A47="","",IF(COUNTIF(CA_ID,A47)&gt;1,"CHECK: duplicate ID",IF(B47="","CHECK: Supplier ID missing",IF(COUNTIF(INV_ID,B47)=0,"CHECK: Supplier ID not in inventory",IF(AND(E47&lt;&gt;"",COUNTIF(RSK_ID,E47)=0),"CHECK: Risk ID not found",IF(AND(E47&lt;&gt;"",COUNTIF(RSK_ID,E47)&gt;0,IFERROR(INDEX(RSK_SUP,MATCH(E47,RSK_ID,0)),"")&lt;&gt;B47),"CHECK: Risk belongs to a different supplier",IF(AND(O47&lt;&gt;"",COUNTIF(FND_ID,O47)=0),"CHECK: Finding ID not found",IF(AND(J47&lt;&gt;"",K47&lt;LEN(SUBSTITUTE(J47," ",""))-LEN(SUBSTITUTE(SUBSTITUTE(J47," ",""),",",""))+1),"CHECK: some Evidence IDs not found","OK"))))))))</f>
        <v/>
      </c>
    </row>
    <row r="48" customFormat="false" ht="15" hidden="false" customHeight="false" outlineLevel="0" collapsed="false">
      <c r="A48" s="50"/>
      <c r="B48" s="50"/>
      <c r="C48" s="59" t="str">
        <f aca="false">IF(B48="","",IFERROR(INDEX(INV_NAME,MATCH(B48,INV_ID,0)),"CHECK: Supplier ID not found"))</f>
        <v/>
      </c>
      <c r="D48" s="34"/>
      <c r="E48" s="50"/>
      <c r="F48" s="34"/>
      <c r="G48" s="34"/>
      <c r="H48" s="34"/>
      <c r="I48" s="34"/>
      <c r="J48" s="34"/>
      <c r="K48" s="62" t="str">
        <f aca="false">IF(J48="","",SUMPRODUCT(ISNUMBER(SEARCH(","&amp;EV_ID&amp;",",","&amp;SUBSTITUTE(J48," ","")&amp;","))*(EV_ID&lt;&gt;"")))</f>
        <v/>
      </c>
      <c r="L48" s="34"/>
      <c r="M48" s="34"/>
      <c r="N48" s="34"/>
      <c r="O48" s="50"/>
      <c r="P48" s="50"/>
      <c r="Q48" s="51"/>
      <c r="R48" s="34"/>
      <c r="S48" s="54" t="str">
        <f aca="false">IF(A48="","",IF(M48="Confirmed weakness","Confirmed weakness",IF(OR(M48="Evidence insufficient",L48="Insufficient"),"Assurance limitation (evidence insufficient)",IF(AND(G48="Adequate",H48="Implemented",I48="Operating",L48="Sufficient"),"Design, implementation and operation evidenced",IF(AND(G48="Adequate",H48="Implemented"),"Designed and implemented; operation not evidenced",IF(G48="Adequate","Designed; implementation not evidenced","Not yet determined"))))))</f>
        <v/>
      </c>
      <c r="T48" s="54" t="str">
        <f aca="false">IF(A48="","",IF(AND(L48="Insufficient",N48="Ineffective"),"CHECK: evidence gap rated Ineffective - not permitted; record as Evidence insufficient",IF(AND(N48="Ineffective",M48&lt;&gt;"Confirmed weakness",M48&lt;&gt;"Exception identified"),"CHECK: Ineffective without a confirmed weakness or exception","OK")))</f>
        <v/>
      </c>
      <c r="U48" s="54" t="str">
        <f aca="false">IF(A48="","",IF(COUNTIF(CA_ID,A48)&gt;1,"CHECK: duplicate ID",IF(B48="","CHECK: Supplier ID missing",IF(COUNTIF(INV_ID,B48)=0,"CHECK: Supplier ID not in inventory",IF(AND(E48&lt;&gt;"",COUNTIF(RSK_ID,E48)=0),"CHECK: Risk ID not found",IF(AND(E48&lt;&gt;"",COUNTIF(RSK_ID,E48)&gt;0,IFERROR(INDEX(RSK_SUP,MATCH(E48,RSK_ID,0)),"")&lt;&gt;B48),"CHECK: Risk belongs to a different supplier",IF(AND(O48&lt;&gt;"",COUNTIF(FND_ID,O48)=0),"CHECK: Finding ID not found",IF(AND(J48&lt;&gt;"",K48&lt;LEN(SUBSTITUTE(J48," ",""))-LEN(SUBSTITUTE(SUBSTITUTE(J48," ",""),",",""))+1),"CHECK: some Evidence IDs not found","OK"))))))))</f>
        <v/>
      </c>
    </row>
    <row r="49" customFormat="false" ht="15" hidden="false" customHeight="false" outlineLevel="0" collapsed="false">
      <c r="A49" s="50"/>
      <c r="B49" s="50"/>
      <c r="C49" s="59" t="str">
        <f aca="false">IF(B49="","",IFERROR(INDEX(INV_NAME,MATCH(B49,INV_ID,0)),"CHECK: Supplier ID not found"))</f>
        <v/>
      </c>
      <c r="D49" s="34"/>
      <c r="E49" s="50"/>
      <c r="F49" s="34"/>
      <c r="G49" s="34"/>
      <c r="H49" s="34"/>
      <c r="I49" s="34"/>
      <c r="J49" s="34"/>
      <c r="K49" s="62" t="str">
        <f aca="false">IF(J49="","",SUMPRODUCT(ISNUMBER(SEARCH(","&amp;EV_ID&amp;",",","&amp;SUBSTITUTE(J49," ","")&amp;","))*(EV_ID&lt;&gt;"")))</f>
        <v/>
      </c>
      <c r="L49" s="34"/>
      <c r="M49" s="34"/>
      <c r="N49" s="34"/>
      <c r="O49" s="50"/>
      <c r="P49" s="50"/>
      <c r="Q49" s="51"/>
      <c r="R49" s="34"/>
      <c r="S49" s="54" t="str">
        <f aca="false">IF(A49="","",IF(M49="Confirmed weakness","Confirmed weakness",IF(OR(M49="Evidence insufficient",L49="Insufficient"),"Assurance limitation (evidence insufficient)",IF(AND(G49="Adequate",H49="Implemented",I49="Operating",L49="Sufficient"),"Design, implementation and operation evidenced",IF(AND(G49="Adequate",H49="Implemented"),"Designed and implemented; operation not evidenced",IF(G49="Adequate","Designed; implementation not evidenced","Not yet determined"))))))</f>
        <v/>
      </c>
      <c r="T49" s="54" t="str">
        <f aca="false">IF(A49="","",IF(AND(L49="Insufficient",N49="Ineffective"),"CHECK: evidence gap rated Ineffective - not permitted; record as Evidence insufficient",IF(AND(N49="Ineffective",M49&lt;&gt;"Confirmed weakness",M49&lt;&gt;"Exception identified"),"CHECK: Ineffective without a confirmed weakness or exception","OK")))</f>
        <v/>
      </c>
      <c r="U49" s="54" t="str">
        <f aca="false">IF(A49="","",IF(COUNTIF(CA_ID,A49)&gt;1,"CHECK: duplicate ID",IF(B49="","CHECK: Supplier ID missing",IF(COUNTIF(INV_ID,B49)=0,"CHECK: Supplier ID not in inventory",IF(AND(E49&lt;&gt;"",COUNTIF(RSK_ID,E49)=0),"CHECK: Risk ID not found",IF(AND(E49&lt;&gt;"",COUNTIF(RSK_ID,E49)&gt;0,IFERROR(INDEX(RSK_SUP,MATCH(E49,RSK_ID,0)),"")&lt;&gt;B49),"CHECK: Risk belongs to a different supplier",IF(AND(O49&lt;&gt;"",COUNTIF(FND_ID,O49)=0),"CHECK: Finding ID not found",IF(AND(J49&lt;&gt;"",K49&lt;LEN(SUBSTITUTE(J49," ",""))-LEN(SUBSTITUTE(SUBSTITUTE(J49," ",""),",",""))+1),"CHECK: some Evidence IDs not found","OK"))))))))</f>
        <v/>
      </c>
    </row>
    <row r="50" customFormat="false" ht="15" hidden="false" customHeight="false" outlineLevel="0" collapsed="false">
      <c r="A50" s="50"/>
      <c r="B50" s="50"/>
      <c r="C50" s="59" t="str">
        <f aca="false">IF(B50="","",IFERROR(INDEX(INV_NAME,MATCH(B50,INV_ID,0)),"CHECK: Supplier ID not found"))</f>
        <v/>
      </c>
      <c r="D50" s="34"/>
      <c r="E50" s="50"/>
      <c r="F50" s="34"/>
      <c r="G50" s="34"/>
      <c r="H50" s="34"/>
      <c r="I50" s="34"/>
      <c r="J50" s="34"/>
      <c r="K50" s="62" t="str">
        <f aca="false">IF(J50="","",SUMPRODUCT(ISNUMBER(SEARCH(","&amp;EV_ID&amp;",",","&amp;SUBSTITUTE(J50," ","")&amp;","))*(EV_ID&lt;&gt;"")))</f>
        <v/>
      </c>
      <c r="L50" s="34"/>
      <c r="M50" s="34"/>
      <c r="N50" s="34"/>
      <c r="O50" s="50"/>
      <c r="P50" s="50"/>
      <c r="Q50" s="51"/>
      <c r="R50" s="34"/>
      <c r="S50" s="54" t="str">
        <f aca="false">IF(A50="","",IF(M50="Confirmed weakness","Confirmed weakness",IF(OR(M50="Evidence insufficient",L50="Insufficient"),"Assurance limitation (evidence insufficient)",IF(AND(G50="Adequate",H50="Implemented",I50="Operating",L50="Sufficient"),"Design, implementation and operation evidenced",IF(AND(G50="Adequate",H50="Implemented"),"Designed and implemented; operation not evidenced",IF(G50="Adequate","Designed; implementation not evidenced","Not yet determined"))))))</f>
        <v/>
      </c>
      <c r="T50" s="54" t="str">
        <f aca="false">IF(A50="","",IF(AND(L50="Insufficient",N50="Ineffective"),"CHECK: evidence gap rated Ineffective - not permitted; record as Evidence insufficient",IF(AND(N50="Ineffective",M50&lt;&gt;"Confirmed weakness",M50&lt;&gt;"Exception identified"),"CHECK: Ineffective without a confirmed weakness or exception","OK")))</f>
        <v/>
      </c>
      <c r="U50" s="54" t="str">
        <f aca="false">IF(A50="","",IF(COUNTIF(CA_ID,A50)&gt;1,"CHECK: duplicate ID",IF(B50="","CHECK: Supplier ID missing",IF(COUNTIF(INV_ID,B50)=0,"CHECK: Supplier ID not in inventory",IF(AND(E50&lt;&gt;"",COUNTIF(RSK_ID,E50)=0),"CHECK: Risk ID not found",IF(AND(E50&lt;&gt;"",COUNTIF(RSK_ID,E50)&gt;0,IFERROR(INDEX(RSK_SUP,MATCH(E50,RSK_ID,0)),"")&lt;&gt;B50),"CHECK: Risk belongs to a different supplier",IF(AND(O50&lt;&gt;"",COUNTIF(FND_ID,O50)=0),"CHECK: Finding ID not found",IF(AND(J50&lt;&gt;"",K50&lt;LEN(SUBSTITUTE(J50," ",""))-LEN(SUBSTITUTE(SUBSTITUTE(J50," ",""),",",""))+1),"CHECK: some Evidence IDs not found","OK"))))))))</f>
        <v/>
      </c>
    </row>
    <row r="51" customFormat="false" ht="15" hidden="false" customHeight="false" outlineLevel="0" collapsed="false">
      <c r="A51" s="50"/>
      <c r="B51" s="50"/>
      <c r="C51" s="59" t="str">
        <f aca="false">IF(B51="","",IFERROR(INDEX(INV_NAME,MATCH(B51,INV_ID,0)),"CHECK: Supplier ID not found"))</f>
        <v/>
      </c>
      <c r="D51" s="34"/>
      <c r="E51" s="50"/>
      <c r="F51" s="34"/>
      <c r="G51" s="34"/>
      <c r="H51" s="34"/>
      <c r="I51" s="34"/>
      <c r="J51" s="34"/>
      <c r="K51" s="62" t="str">
        <f aca="false">IF(J51="","",SUMPRODUCT(ISNUMBER(SEARCH(","&amp;EV_ID&amp;",",","&amp;SUBSTITUTE(J51," ","")&amp;","))*(EV_ID&lt;&gt;"")))</f>
        <v/>
      </c>
      <c r="L51" s="34"/>
      <c r="M51" s="34"/>
      <c r="N51" s="34"/>
      <c r="O51" s="50"/>
      <c r="P51" s="50"/>
      <c r="Q51" s="51"/>
      <c r="R51" s="34"/>
      <c r="S51" s="54" t="str">
        <f aca="false">IF(A51="","",IF(M51="Confirmed weakness","Confirmed weakness",IF(OR(M51="Evidence insufficient",L51="Insufficient"),"Assurance limitation (evidence insufficient)",IF(AND(G51="Adequate",H51="Implemented",I51="Operating",L51="Sufficient"),"Design, implementation and operation evidenced",IF(AND(G51="Adequate",H51="Implemented"),"Designed and implemented; operation not evidenced",IF(G51="Adequate","Designed; implementation not evidenced","Not yet determined"))))))</f>
        <v/>
      </c>
      <c r="T51" s="54" t="str">
        <f aca="false">IF(A51="","",IF(AND(L51="Insufficient",N51="Ineffective"),"CHECK: evidence gap rated Ineffective - not permitted; record as Evidence insufficient",IF(AND(N51="Ineffective",M51&lt;&gt;"Confirmed weakness",M51&lt;&gt;"Exception identified"),"CHECK: Ineffective without a confirmed weakness or exception","OK")))</f>
        <v/>
      </c>
      <c r="U51" s="54" t="str">
        <f aca="false">IF(A51="","",IF(COUNTIF(CA_ID,A51)&gt;1,"CHECK: duplicate ID",IF(B51="","CHECK: Supplier ID missing",IF(COUNTIF(INV_ID,B51)=0,"CHECK: Supplier ID not in inventory",IF(AND(E51&lt;&gt;"",COUNTIF(RSK_ID,E51)=0),"CHECK: Risk ID not found",IF(AND(E51&lt;&gt;"",COUNTIF(RSK_ID,E51)&gt;0,IFERROR(INDEX(RSK_SUP,MATCH(E51,RSK_ID,0)),"")&lt;&gt;B51),"CHECK: Risk belongs to a different supplier",IF(AND(O51&lt;&gt;"",COUNTIF(FND_ID,O51)=0),"CHECK: Finding ID not found",IF(AND(J51&lt;&gt;"",K51&lt;LEN(SUBSTITUTE(J51," ",""))-LEN(SUBSTITUTE(SUBSTITUTE(J51," ",""),",",""))+1),"CHECK: some Evidence IDs not found","OK"))))))))</f>
        <v/>
      </c>
    </row>
    <row r="52" customFormat="false" ht="15" hidden="false" customHeight="false" outlineLevel="0" collapsed="false">
      <c r="A52" s="50"/>
      <c r="B52" s="50"/>
      <c r="C52" s="59" t="str">
        <f aca="false">IF(B52="","",IFERROR(INDEX(INV_NAME,MATCH(B52,INV_ID,0)),"CHECK: Supplier ID not found"))</f>
        <v/>
      </c>
      <c r="D52" s="34"/>
      <c r="E52" s="50"/>
      <c r="F52" s="34"/>
      <c r="G52" s="34"/>
      <c r="H52" s="34"/>
      <c r="I52" s="34"/>
      <c r="J52" s="34"/>
      <c r="K52" s="62" t="str">
        <f aca="false">IF(J52="","",SUMPRODUCT(ISNUMBER(SEARCH(","&amp;EV_ID&amp;",",","&amp;SUBSTITUTE(J52," ","")&amp;","))*(EV_ID&lt;&gt;"")))</f>
        <v/>
      </c>
      <c r="L52" s="34"/>
      <c r="M52" s="34"/>
      <c r="N52" s="34"/>
      <c r="O52" s="50"/>
      <c r="P52" s="50"/>
      <c r="Q52" s="51"/>
      <c r="R52" s="34"/>
      <c r="S52" s="54" t="str">
        <f aca="false">IF(A52="","",IF(M52="Confirmed weakness","Confirmed weakness",IF(OR(M52="Evidence insufficient",L52="Insufficient"),"Assurance limitation (evidence insufficient)",IF(AND(G52="Adequate",H52="Implemented",I52="Operating",L52="Sufficient"),"Design, implementation and operation evidenced",IF(AND(G52="Adequate",H52="Implemented"),"Designed and implemented; operation not evidenced",IF(G52="Adequate","Designed; implementation not evidenced","Not yet determined"))))))</f>
        <v/>
      </c>
      <c r="T52" s="54" t="str">
        <f aca="false">IF(A52="","",IF(AND(L52="Insufficient",N52="Ineffective"),"CHECK: evidence gap rated Ineffective - not permitted; record as Evidence insufficient",IF(AND(N52="Ineffective",M52&lt;&gt;"Confirmed weakness",M52&lt;&gt;"Exception identified"),"CHECK: Ineffective without a confirmed weakness or exception","OK")))</f>
        <v/>
      </c>
      <c r="U52" s="54" t="str">
        <f aca="false">IF(A52="","",IF(COUNTIF(CA_ID,A52)&gt;1,"CHECK: duplicate ID",IF(B52="","CHECK: Supplier ID missing",IF(COUNTIF(INV_ID,B52)=0,"CHECK: Supplier ID not in inventory",IF(AND(E52&lt;&gt;"",COUNTIF(RSK_ID,E52)=0),"CHECK: Risk ID not found",IF(AND(E52&lt;&gt;"",COUNTIF(RSK_ID,E52)&gt;0,IFERROR(INDEX(RSK_SUP,MATCH(E52,RSK_ID,0)),"")&lt;&gt;B52),"CHECK: Risk belongs to a different supplier",IF(AND(O52&lt;&gt;"",COUNTIF(FND_ID,O52)=0),"CHECK: Finding ID not found",IF(AND(J52&lt;&gt;"",K52&lt;LEN(SUBSTITUTE(J52," ",""))-LEN(SUBSTITUTE(SUBSTITUTE(J52," ",""),",",""))+1),"CHECK: some Evidence IDs not found","OK"))))))))</f>
        <v/>
      </c>
    </row>
    <row r="53" customFormat="false" ht="15" hidden="false" customHeight="false" outlineLevel="0" collapsed="false">
      <c r="A53" s="50"/>
      <c r="B53" s="50"/>
      <c r="C53" s="59" t="str">
        <f aca="false">IF(B53="","",IFERROR(INDEX(INV_NAME,MATCH(B53,INV_ID,0)),"CHECK: Supplier ID not found"))</f>
        <v/>
      </c>
      <c r="D53" s="34"/>
      <c r="E53" s="50"/>
      <c r="F53" s="34"/>
      <c r="G53" s="34"/>
      <c r="H53" s="34"/>
      <c r="I53" s="34"/>
      <c r="J53" s="34"/>
      <c r="K53" s="62" t="str">
        <f aca="false">IF(J53="","",SUMPRODUCT(ISNUMBER(SEARCH(","&amp;EV_ID&amp;",",","&amp;SUBSTITUTE(J53," ","")&amp;","))*(EV_ID&lt;&gt;"")))</f>
        <v/>
      </c>
      <c r="L53" s="34"/>
      <c r="M53" s="34"/>
      <c r="N53" s="34"/>
      <c r="O53" s="50"/>
      <c r="P53" s="50"/>
      <c r="Q53" s="51"/>
      <c r="R53" s="34"/>
      <c r="S53" s="54" t="str">
        <f aca="false">IF(A53="","",IF(M53="Confirmed weakness","Confirmed weakness",IF(OR(M53="Evidence insufficient",L53="Insufficient"),"Assurance limitation (evidence insufficient)",IF(AND(G53="Adequate",H53="Implemented",I53="Operating",L53="Sufficient"),"Design, implementation and operation evidenced",IF(AND(G53="Adequate",H53="Implemented"),"Designed and implemented; operation not evidenced",IF(G53="Adequate","Designed; implementation not evidenced","Not yet determined"))))))</f>
        <v/>
      </c>
      <c r="T53" s="54" t="str">
        <f aca="false">IF(A53="","",IF(AND(L53="Insufficient",N53="Ineffective"),"CHECK: evidence gap rated Ineffective - not permitted; record as Evidence insufficient",IF(AND(N53="Ineffective",M53&lt;&gt;"Confirmed weakness",M53&lt;&gt;"Exception identified"),"CHECK: Ineffective without a confirmed weakness or exception","OK")))</f>
        <v/>
      </c>
      <c r="U53" s="54" t="str">
        <f aca="false">IF(A53="","",IF(COUNTIF(CA_ID,A53)&gt;1,"CHECK: duplicate ID",IF(B53="","CHECK: Supplier ID missing",IF(COUNTIF(INV_ID,B53)=0,"CHECK: Supplier ID not in inventory",IF(AND(E53&lt;&gt;"",COUNTIF(RSK_ID,E53)=0),"CHECK: Risk ID not found",IF(AND(E53&lt;&gt;"",COUNTIF(RSK_ID,E53)&gt;0,IFERROR(INDEX(RSK_SUP,MATCH(E53,RSK_ID,0)),"")&lt;&gt;B53),"CHECK: Risk belongs to a different supplier",IF(AND(O53&lt;&gt;"",COUNTIF(FND_ID,O53)=0),"CHECK: Finding ID not found",IF(AND(J53&lt;&gt;"",K53&lt;LEN(SUBSTITUTE(J53," ",""))-LEN(SUBSTITUTE(SUBSTITUTE(J53," ",""),",",""))+1),"CHECK: some Evidence IDs not found","OK"))))))))</f>
        <v/>
      </c>
    </row>
    <row r="54" customFormat="false" ht="15" hidden="false" customHeight="false" outlineLevel="0" collapsed="false">
      <c r="A54" s="50"/>
      <c r="B54" s="50"/>
      <c r="C54" s="59" t="str">
        <f aca="false">IF(B54="","",IFERROR(INDEX(INV_NAME,MATCH(B54,INV_ID,0)),"CHECK: Supplier ID not found"))</f>
        <v/>
      </c>
      <c r="D54" s="34"/>
      <c r="E54" s="50"/>
      <c r="F54" s="34"/>
      <c r="G54" s="34"/>
      <c r="H54" s="34"/>
      <c r="I54" s="34"/>
      <c r="J54" s="34"/>
      <c r="K54" s="62" t="str">
        <f aca="false">IF(J54="","",SUMPRODUCT(ISNUMBER(SEARCH(","&amp;EV_ID&amp;",",","&amp;SUBSTITUTE(J54," ","")&amp;","))*(EV_ID&lt;&gt;"")))</f>
        <v/>
      </c>
      <c r="L54" s="34"/>
      <c r="M54" s="34"/>
      <c r="N54" s="34"/>
      <c r="O54" s="50"/>
      <c r="P54" s="50"/>
      <c r="Q54" s="51"/>
      <c r="R54" s="34"/>
      <c r="S54" s="54" t="str">
        <f aca="false">IF(A54="","",IF(M54="Confirmed weakness","Confirmed weakness",IF(OR(M54="Evidence insufficient",L54="Insufficient"),"Assurance limitation (evidence insufficient)",IF(AND(G54="Adequate",H54="Implemented",I54="Operating",L54="Sufficient"),"Design, implementation and operation evidenced",IF(AND(G54="Adequate",H54="Implemented"),"Designed and implemented; operation not evidenced",IF(G54="Adequate","Designed; implementation not evidenced","Not yet determined"))))))</f>
        <v/>
      </c>
      <c r="T54" s="54" t="str">
        <f aca="false">IF(A54="","",IF(AND(L54="Insufficient",N54="Ineffective"),"CHECK: evidence gap rated Ineffective - not permitted; record as Evidence insufficient",IF(AND(N54="Ineffective",M54&lt;&gt;"Confirmed weakness",M54&lt;&gt;"Exception identified"),"CHECK: Ineffective without a confirmed weakness or exception","OK")))</f>
        <v/>
      </c>
      <c r="U54" s="54" t="str">
        <f aca="false">IF(A54="","",IF(COUNTIF(CA_ID,A54)&gt;1,"CHECK: duplicate ID",IF(B54="","CHECK: Supplier ID missing",IF(COUNTIF(INV_ID,B54)=0,"CHECK: Supplier ID not in inventory",IF(AND(E54&lt;&gt;"",COUNTIF(RSK_ID,E54)=0),"CHECK: Risk ID not found",IF(AND(E54&lt;&gt;"",COUNTIF(RSK_ID,E54)&gt;0,IFERROR(INDEX(RSK_SUP,MATCH(E54,RSK_ID,0)),"")&lt;&gt;B54),"CHECK: Risk belongs to a different supplier",IF(AND(O54&lt;&gt;"",COUNTIF(FND_ID,O54)=0),"CHECK: Finding ID not found",IF(AND(J54&lt;&gt;"",K54&lt;LEN(SUBSTITUTE(J54," ",""))-LEN(SUBSTITUTE(SUBSTITUTE(J54," ",""),",",""))+1),"CHECK: some Evidence IDs not found","OK"))))))))</f>
        <v/>
      </c>
    </row>
    <row r="55" customFormat="false" ht="15" hidden="false" customHeight="false" outlineLevel="0" collapsed="false">
      <c r="A55" s="50"/>
      <c r="B55" s="50"/>
      <c r="C55" s="59" t="str">
        <f aca="false">IF(B55="","",IFERROR(INDEX(INV_NAME,MATCH(B55,INV_ID,0)),"CHECK: Supplier ID not found"))</f>
        <v/>
      </c>
      <c r="D55" s="34"/>
      <c r="E55" s="50"/>
      <c r="F55" s="34"/>
      <c r="G55" s="34"/>
      <c r="H55" s="34"/>
      <c r="I55" s="34"/>
      <c r="J55" s="34"/>
      <c r="K55" s="62" t="str">
        <f aca="false">IF(J55="","",SUMPRODUCT(ISNUMBER(SEARCH(","&amp;EV_ID&amp;",",","&amp;SUBSTITUTE(J55," ","")&amp;","))*(EV_ID&lt;&gt;"")))</f>
        <v/>
      </c>
      <c r="L55" s="34"/>
      <c r="M55" s="34"/>
      <c r="N55" s="34"/>
      <c r="O55" s="50"/>
      <c r="P55" s="50"/>
      <c r="Q55" s="51"/>
      <c r="R55" s="34"/>
      <c r="S55" s="54" t="str">
        <f aca="false">IF(A55="","",IF(M55="Confirmed weakness","Confirmed weakness",IF(OR(M55="Evidence insufficient",L55="Insufficient"),"Assurance limitation (evidence insufficient)",IF(AND(G55="Adequate",H55="Implemented",I55="Operating",L55="Sufficient"),"Design, implementation and operation evidenced",IF(AND(G55="Adequate",H55="Implemented"),"Designed and implemented; operation not evidenced",IF(G55="Adequate","Designed; implementation not evidenced","Not yet determined"))))))</f>
        <v/>
      </c>
      <c r="T55" s="54" t="str">
        <f aca="false">IF(A55="","",IF(AND(L55="Insufficient",N55="Ineffective"),"CHECK: evidence gap rated Ineffective - not permitted; record as Evidence insufficient",IF(AND(N55="Ineffective",M55&lt;&gt;"Confirmed weakness",M55&lt;&gt;"Exception identified"),"CHECK: Ineffective without a confirmed weakness or exception","OK")))</f>
        <v/>
      </c>
      <c r="U55" s="54" t="str">
        <f aca="false">IF(A55="","",IF(COUNTIF(CA_ID,A55)&gt;1,"CHECK: duplicate ID",IF(B55="","CHECK: Supplier ID missing",IF(COUNTIF(INV_ID,B55)=0,"CHECK: Supplier ID not in inventory",IF(AND(E55&lt;&gt;"",COUNTIF(RSK_ID,E55)=0),"CHECK: Risk ID not found",IF(AND(E55&lt;&gt;"",COUNTIF(RSK_ID,E55)&gt;0,IFERROR(INDEX(RSK_SUP,MATCH(E55,RSK_ID,0)),"")&lt;&gt;B55),"CHECK: Risk belongs to a different supplier",IF(AND(O55&lt;&gt;"",COUNTIF(FND_ID,O55)=0),"CHECK: Finding ID not found",IF(AND(J55&lt;&gt;"",K55&lt;LEN(SUBSTITUTE(J55," ",""))-LEN(SUBSTITUTE(SUBSTITUTE(J55," ",""),",",""))+1),"CHECK: some Evidence IDs not found","OK"))))))))</f>
        <v/>
      </c>
    </row>
    <row r="56" customFormat="false" ht="15" hidden="false" customHeight="false" outlineLevel="0" collapsed="false">
      <c r="A56" s="50"/>
      <c r="B56" s="50"/>
      <c r="C56" s="59" t="str">
        <f aca="false">IF(B56="","",IFERROR(INDEX(INV_NAME,MATCH(B56,INV_ID,0)),"CHECK: Supplier ID not found"))</f>
        <v/>
      </c>
      <c r="D56" s="34"/>
      <c r="E56" s="50"/>
      <c r="F56" s="34"/>
      <c r="G56" s="34"/>
      <c r="H56" s="34"/>
      <c r="I56" s="34"/>
      <c r="J56" s="34"/>
      <c r="K56" s="62" t="str">
        <f aca="false">IF(J56="","",SUMPRODUCT(ISNUMBER(SEARCH(","&amp;EV_ID&amp;",",","&amp;SUBSTITUTE(J56," ","")&amp;","))*(EV_ID&lt;&gt;"")))</f>
        <v/>
      </c>
      <c r="L56" s="34"/>
      <c r="M56" s="34"/>
      <c r="N56" s="34"/>
      <c r="O56" s="50"/>
      <c r="P56" s="50"/>
      <c r="Q56" s="51"/>
      <c r="R56" s="34"/>
      <c r="S56" s="54" t="str">
        <f aca="false">IF(A56="","",IF(M56="Confirmed weakness","Confirmed weakness",IF(OR(M56="Evidence insufficient",L56="Insufficient"),"Assurance limitation (evidence insufficient)",IF(AND(G56="Adequate",H56="Implemented",I56="Operating",L56="Sufficient"),"Design, implementation and operation evidenced",IF(AND(G56="Adequate",H56="Implemented"),"Designed and implemented; operation not evidenced",IF(G56="Adequate","Designed; implementation not evidenced","Not yet determined"))))))</f>
        <v/>
      </c>
      <c r="T56" s="54" t="str">
        <f aca="false">IF(A56="","",IF(AND(L56="Insufficient",N56="Ineffective"),"CHECK: evidence gap rated Ineffective - not permitted; record as Evidence insufficient",IF(AND(N56="Ineffective",M56&lt;&gt;"Confirmed weakness",M56&lt;&gt;"Exception identified"),"CHECK: Ineffective without a confirmed weakness or exception","OK")))</f>
        <v/>
      </c>
      <c r="U56" s="54" t="str">
        <f aca="false">IF(A56="","",IF(COUNTIF(CA_ID,A56)&gt;1,"CHECK: duplicate ID",IF(B56="","CHECK: Supplier ID missing",IF(COUNTIF(INV_ID,B56)=0,"CHECK: Supplier ID not in inventory",IF(AND(E56&lt;&gt;"",COUNTIF(RSK_ID,E56)=0),"CHECK: Risk ID not found",IF(AND(E56&lt;&gt;"",COUNTIF(RSK_ID,E56)&gt;0,IFERROR(INDEX(RSK_SUP,MATCH(E56,RSK_ID,0)),"")&lt;&gt;B56),"CHECK: Risk belongs to a different supplier",IF(AND(O56&lt;&gt;"",COUNTIF(FND_ID,O56)=0),"CHECK: Finding ID not found",IF(AND(J56&lt;&gt;"",K56&lt;LEN(SUBSTITUTE(J56," ",""))-LEN(SUBSTITUTE(SUBSTITUTE(J56," ",""),",",""))+1),"CHECK: some Evidence IDs not found","OK"))))))))</f>
        <v/>
      </c>
    </row>
    <row r="57" customFormat="false" ht="15" hidden="false" customHeight="false" outlineLevel="0" collapsed="false">
      <c r="A57" s="50"/>
      <c r="B57" s="50"/>
      <c r="C57" s="59" t="str">
        <f aca="false">IF(B57="","",IFERROR(INDEX(INV_NAME,MATCH(B57,INV_ID,0)),"CHECK: Supplier ID not found"))</f>
        <v/>
      </c>
      <c r="D57" s="34"/>
      <c r="E57" s="50"/>
      <c r="F57" s="34"/>
      <c r="G57" s="34"/>
      <c r="H57" s="34"/>
      <c r="I57" s="34"/>
      <c r="J57" s="34"/>
      <c r="K57" s="62" t="str">
        <f aca="false">IF(J57="","",SUMPRODUCT(ISNUMBER(SEARCH(","&amp;EV_ID&amp;",",","&amp;SUBSTITUTE(J57," ","")&amp;","))*(EV_ID&lt;&gt;"")))</f>
        <v/>
      </c>
      <c r="L57" s="34"/>
      <c r="M57" s="34"/>
      <c r="N57" s="34"/>
      <c r="O57" s="50"/>
      <c r="P57" s="50"/>
      <c r="Q57" s="51"/>
      <c r="R57" s="34"/>
      <c r="S57" s="54" t="str">
        <f aca="false">IF(A57="","",IF(M57="Confirmed weakness","Confirmed weakness",IF(OR(M57="Evidence insufficient",L57="Insufficient"),"Assurance limitation (evidence insufficient)",IF(AND(G57="Adequate",H57="Implemented",I57="Operating",L57="Sufficient"),"Design, implementation and operation evidenced",IF(AND(G57="Adequate",H57="Implemented"),"Designed and implemented; operation not evidenced",IF(G57="Adequate","Designed; implementation not evidenced","Not yet determined"))))))</f>
        <v/>
      </c>
      <c r="T57" s="54" t="str">
        <f aca="false">IF(A57="","",IF(AND(L57="Insufficient",N57="Ineffective"),"CHECK: evidence gap rated Ineffective - not permitted; record as Evidence insufficient",IF(AND(N57="Ineffective",M57&lt;&gt;"Confirmed weakness",M57&lt;&gt;"Exception identified"),"CHECK: Ineffective without a confirmed weakness or exception","OK")))</f>
        <v/>
      </c>
      <c r="U57" s="54" t="str">
        <f aca="false">IF(A57="","",IF(COUNTIF(CA_ID,A57)&gt;1,"CHECK: duplicate ID",IF(B57="","CHECK: Supplier ID missing",IF(COUNTIF(INV_ID,B57)=0,"CHECK: Supplier ID not in inventory",IF(AND(E57&lt;&gt;"",COUNTIF(RSK_ID,E57)=0),"CHECK: Risk ID not found",IF(AND(E57&lt;&gt;"",COUNTIF(RSK_ID,E57)&gt;0,IFERROR(INDEX(RSK_SUP,MATCH(E57,RSK_ID,0)),"")&lt;&gt;B57),"CHECK: Risk belongs to a different supplier",IF(AND(O57&lt;&gt;"",COUNTIF(FND_ID,O57)=0),"CHECK: Finding ID not found",IF(AND(J57&lt;&gt;"",K57&lt;LEN(SUBSTITUTE(J57," ",""))-LEN(SUBSTITUTE(SUBSTITUTE(J57," ",""),",",""))+1),"CHECK: some Evidence IDs not found","OK"))))))))</f>
        <v/>
      </c>
    </row>
    <row r="58" customFormat="false" ht="15" hidden="false" customHeight="false" outlineLevel="0" collapsed="false">
      <c r="A58" s="50"/>
      <c r="B58" s="50"/>
      <c r="C58" s="59" t="str">
        <f aca="false">IF(B58="","",IFERROR(INDEX(INV_NAME,MATCH(B58,INV_ID,0)),"CHECK: Supplier ID not found"))</f>
        <v/>
      </c>
      <c r="D58" s="34"/>
      <c r="E58" s="50"/>
      <c r="F58" s="34"/>
      <c r="G58" s="34"/>
      <c r="H58" s="34"/>
      <c r="I58" s="34"/>
      <c r="J58" s="34"/>
      <c r="K58" s="62" t="str">
        <f aca="false">IF(J58="","",SUMPRODUCT(ISNUMBER(SEARCH(","&amp;EV_ID&amp;",",","&amp;SUBSTITUTE(J58," ","")&amp;","))*(EV_ID&lt;&gt;"")))</f>
        <v/>
      </c>
      <c r="L58" s="34"/>
      <c r="M58" s="34"/>
      <c r="N58" s="34"/>
      <c r="O58" s="50"/>
      <c r="P58" s="50"/>
      <c r="Q58" s="51"/>
      <c r="R58" s="34"/>
      <c r="S58" s="54" t="str">
        <f aca="false">IF(A58="","",IF(M58="Confirmed weakness","Confirmed weakness",IF(OR(M58="Evidence insufficient",L58="Insufficient"),"Assurance limitation (evidence insufficient)",IF(AND(G58="Adequate",H58="Implemented",I58="Operating",L58="Sufficient"),"Design, implementation and operation evidenced",IF(AND(G58="Adequate",H58="Implemented"),"Designed and implemented; operation not evidenced",IF(G58="Adequate","Designed; implementation not evidenced","Not yet determined"))))))</f>
        <v/>
      </c>
      <c r="T58" s="54" t="str">
        <f aca="false">IF(A58="","",IF(AND(L58="Insufficient",N58="Ineffective"),"CHECK: evidence gap rated Ineffective - not permitted; record as Evidence insufficient",IF(AND(N58="Ineffective",M58&lt;&gt;"Confirmed weakness",M58&lt;&gt;"Exception identified"),"CHECK: Ineffective without a confirmed weakness or exception","OK")))</f>
        <v/>
      </c>
      <c r="U58" s="54" t="str">
        <f aca="false">IF(A58="","",IF(COUNTIF(CA_ID,A58)&gt;1,"CHECK: duplicate ID",IF(B58="","CHECK: Supplier ID missing",IF(COUNTIF(INV_ID,B58)=0,"CHECK: Supplier ID not in inventory",IF(AND(E58&lt;&gt;"",COUNTIF(RSK_ID,E58)=0),"CHECK: Risk ID not found",IF(AND(E58&lt;&gt;"",COUNTIF(RSK_ID,E58)&gt;0,IFERROR(INDEX(RSK_SUP,MATCH(E58,RSK_ID,0)),"")&lt;&gt;B58),"CHECK: Risk belongs to a different supplier",IF(AND(O58&lt;&gt;"",COUNTIF(FND_ID,O58)=0),"CHECK: Finding ID not found",IF(AND(J58&lt;&gt;"",K58&lt;LEN(SUBSTITUTE(J58," ",""))-LEN(SUBSTITUTE(SUBSTITUTE(J58," ",""),",",""))+1),"CHECK: some Evidence IDs not found","OK"))))))))</f>
        <v/>
      </c>
    </row>
    <row r="59" customFormat="false" ht="15" hidden="false" customHeight="false" outlineLevel="0" collapsed="false">
      <c r="A59" s="50"/>
      <c r="B59" s="50"/>
      <c r="C59" s="59" t="str">
        <f aca="false">IF(B59="","",IFERROR(INDEX(INV_NAME,MATCH(B59,INV_ID,0)),"CHECK: Supplier ID not found"))</f>
        <v/>
      </c>
      <c r="D59" s="34"/>
      <c r="E59" s="50"/>
      <c r="F59" s="34"/>
      <c r="G59" s="34"/>
      <c r="H59" s="34"/>
      <c r="I59" s="34"/>
      <c r="J59" s="34"/>
      <c r="K59" s="62" t="str">
        <f aca="false">IF(J59="","",SUMPRODUCT(ISNUMBER(SEARCH(","&amp;EV_ID&amp;",",","&amp;SUBSTITUTE(J59," ","")&amp;","))*(EV_ID&lt;&gt;"")))</f>
        <v/>
      </c>
      <c r="L59" s="34"/>
      <c r="M59" s="34"/>
      <c r="N59" s="34"/>
      <c r="O59" s="50"/>
      <c r="P59" s="50"/>
      <c r="Q59" s="51"/>
      <c r="R59" s="34"/>
      <c r="S59" s="54" t="str">
        <f aca="false">IF(A59="","",IF(M59="Confirmed weakness","Confirmed weakness",IF(OR(M59="Evidence insufficient",L59="Insufficient"),"Assurance limitation (evidence insufficient)",IF(AND(G59="Adequate",H59="Implemented",I59="Operating",L59="Sufficient"),"Design, implementation and operation evidenced",IF(AND(G59="Adequate",H59="Implemented"),"Designed and implemented; operation not evidenced",IF(G59="Adequate","Designed; implementation not evidenced","Not yet determined"))))))</f>
        <v/>
      </c>
      <c r="T59" s="54" t="str">
        <f aca="false">IF(A59="","",IF(AND(L59="Insufficient",N59="Ineffective"),"CHECK: evidence gap rated Ineffective - not permitted; record as Evidence insufficient",IF(AND(N59="Ineffective",M59&lt;&gt;"Confirmed weakness",M59&lt;&gt;"Exception identified"),"CHECK: Ineffective without a confirmed weakness or exception","OK")))</f>
        <v/>
      </c>
      <c r="U59" s="54" t="str">
        <f aca="false">IF(A59="","",IF(COUNTIF(CA_ID,A59)&gt;1,"CHECK: duplicate ID",IF(B59="","CHECK: Supplier ID missing",IF(COUNTIF(INV_ID,B59)=0,"CHECK: Supplier ID not in inventory",IF(AND(E59&lt;&gt;"",COUNTIF(RSK_ID,E59)=0),"CHECK: Risk ID not found",IF(AND(E59&lt;&gt;"",COUNTIF(RSK_ID,E59)&gt;0,IFERROR(INDEX(RSK_SUP,MATCH(E59,RSK_ID,0)),"")&lt;&gt;B59),"CHECK: Risk belongs to a different supplier",IF(AND(O59&lt;&gt;"",COUNTIF(FND_ID,O59)=0),"CHECK: Finding ID not found",IF(AND(J59&lt;&gt;"",K59&lt;LEN(SUBSTITUTE(J59," ",""))-LEN(SUBSTITUTE(SUBSTITUTE(J59," ",""),",",""))+1),"CHECK: some Evidence IDs not found","OK"))))))))</f>
        <v/>
      </c>
    </row>
    <row r="60" customFormat="false" ht="15" hidden="false" customHeight="false" outlineLevel="0" collapsed="false">
      <c r="A60" s="50"/>
      <c r="B60" s="50"/>
      <c r="C60" s="59" t="str">
        <f aca="false">IF(B60="","",IFERROR(INDEX(INV_NAME,MATCH(B60,INV_ID,0)),"CHECK: Supplier ID not found"))</f>
        <v/>
      </c>
      <c r="D60" s="34"/>
      <c r="E60" s="50"/>
      <c r="F60" s="34"/>
      <c r="G60" s="34"/>
      <c r="H60" s="34"/>
      <c r="I60" s="34"/>
      <c r="J60" s="34"/>
      <c r="K60" s="62" t="str">
        <f aca="false">IF(J60="","",SUMPRODUCT(ISNUMBER(SEARCH(","&amp;EV_ID&amp;",",","&amp;SUBSTITUTE(J60," ","")&amp;","))*(EV_ID&lt;&gt;"")))</f>
        <v/>
      </c>
      <c r="L60" s="34"/>
      <c r="M60" s="34"/>
      <c r="N60" s="34"/>
      <c r="O60" s="50"/>
      <c r="P60" s="50"/>
      <c r="Q60" s="51"/>
      <c r="R60" s="34"/>
      <c r="S60" s="54" t="str">
        <f aca="false">IF(A60="","",IF(M60="Confirmed weakness","Confirmed weakness",IF(OR(M60="Evidence insufficient",L60="Insufficient"),"Assurance limitation (evidence insufficient)",IF(AND(G60="Adequate",H60="Implemented",I60="Operating",L60="Sufficient"),"Design, implementation and operation evidenced",IF(AND(G60="Adequate",H60="Implemented"),"Designed and implemented; operation not evidenced",IF(G60="Adequate","Designed; implementation not evidenced","Not yet determined"))))))</f>
        <v/>
      </c>
      <c r="T60" s="54" t="str">
        <f aca="false">IF(A60="","",IF(AND(L60="Insufficient",N60="Ineffective"),"CHECK: evidence gap rated Ineffective - not permitted; record as Evidence insufficient",IF(AND(N60="Ineffective",M60&lt;&gt;"Confirmed weakness",M60&lt;&gt;"Exception identified"),"CHECK: Ineffective without a confirmed weakness or exception","OK")))</f>
        <v/>
      </c>
      <c r="U60" s="54" t="str">
        <f aca="false">IF(A60="","",IF(COUNTIF(CA_ID,A60)&gt;1,"CHECK: duplicate ID",IF(B60="","CHECK: Supplier ID missing",IF(COUNTIF(INV_ID,B60)=0,"CHECK: Supplier ID not in inventory",IF(AND(E60&lt;&gt;"",COUNTIF(RSK_ID,E60)=0),"CHECK: Risk ID not found",IF(AND(E60&lt;&gt;"",COUNTIF(RSK_ID,E60)&gt;0,IFERROR(INDEX(RSK_SUP,MATCH(E60,RSK_ID,0)),"")&lt;&gt;B60),"CHECK: Risk belongs to a different supplier",IF(AND(O60&lt;&gt;"",COUNTIF(FND_ID,O60)=0),"CHECK: Finding ID not found",IF(AND(J60&lt;&gt;"",K60&lt;LEN(SUBSTITUTE(J60," ",""))-LEN(SUBSTITUTE(SUBSTITUTE(J60," ",""),",",""))+1),"CHECK: some Evidence IDs not found","OK"))))))))</f>
        <v/>
      </c>
    </row>
    <row r="61" customFormat="false" ht="15" hidden="false" customHeight="false" outlineLevel="0" collapsed="false">
      <c r="A61" s="50"/>
      <c r="B61" s="50"/>
      <c r="C61" s="59" t="str">
        <f aca="false">IF(B61="","",IFERROR(INDEX(INV_NAME,MATCH(B61,INV_ID,0)),"CHECK: Supplier ID not found"))</f>
        <v/>
      </c>
      <c r="D61" s="34"/>
      <c r="E61" s="50"/>
      <c r="F61" s="34"/>
      <c r="G61" s="34"/>
      <c r="H61" s="34"/>
      <c r="I61" s="34"/>
      <c r="J61" s="34"/>
      <c r="K61" s="62" t="str">
        <f aca="false">IF(J61="","",SUMPRODUCT(ISNUMBER(SEARCH(","&amp;EV_ID&amp;",",","&amp;SUBSTITUTE(J61," ","")&amp;","))*(EV_ID&lt;&gt;"")))</f>
        <v/>
      </c>
      <c r="L61" s="34"/>
      <c r="M61" s="34"/>
      <c r="N61" s="34"/>
      <c r="O61" s="50"/>
      <c r="P61" s="50"/>
      <c r="Q61" s="51"/>
      <c r="R61" s="34"/>
      <c r="S61" s="54" t="str">
        <f aca="false">IF(A61="","",IF(M61="Confirmed weakness","Confirmed weakness",IF(OR(M61="Evidence insufficient",L61="Insufficient"),"Assurance limitation (evidence insufficient)",IF(AND(G61="Adequate",H61="Implemented",I61="Operating",L61="Sufficient"),"Design, implementation and operation evidenced",IF(AND(G61="Adequate",H61="Implemented"),"Designed and implemented; operation not evidenced",IF(G61="Adequate","Designed; implementation not evidenced","Not yet determined"))))))</f>
        <v/>
      </c>
      <c r="T61" s="54" t="str">
        <f aca="false">IF(A61="","",IF(AND(L61="Insufficient",N61="Ineffective"),"CHECK: evidence gap rated Ineffective - not permitted; record as Evidence insufficient",IF(AND(N61="Ineffective",M61&lt;&gt;"Confirmed weakness",M61&lt;&gt;"Exception identified"),"CHECK: Ineffective without a confirmed weakness or exception","OK")))</f>
        <v/>
      </c>
      <c r="U61" s="54" t="str">
        <f aca="false">IF(A61="","",IF(COUNTIF(CA_ID,A61)&gt;1,"CHECK: duplicate ID",IF(B61="","CHECK: Supplier ID missing",IF(COUNTIF(INV_ID,B61)=0,"CHECK: Supplier ID not in inventory",IF(AND(E61&lt;&gt;"",COUNTIF(RSK_ID,E61)=0),"CHECK: Risk ID not found",IF(AND(E61&lt;&gt;"",COUNTIF(RSK_ID,E61)&gt;0,IFERROR(INDEX(RSK_SUP,MATCH(E61,RSK_ID,0)),"")&lt;&gt;B61),"CHECK: Risk belongs to a different supplier",IF(AND(O61&lt;&gt;"",COUNTIF(FND_ID,O61)=0),"CHECK: Finding ID not found",IF(AND(J61&lt;&gt;"",K61&lt;LEN(SUBSTITUTE(J61," ",""))-LEN(SUBSTITUTE(SUBSTITUTE(J61," ",""),",",""))+1),"CHECK: some Evidence IDs not found","OK"))))))))</f>
        <v/>
      </c>
    </row>
    <row r="62" customFormat="false" ht="15" hidden="false" customHeight="false" outlineLevel="0" collapsed="false">
      <c r="A62" s="50"/>
      <c r="B62" s="50"/>
      <c r="C62" s="59" t="str">
        <f aca="false">IF(B62="","",IFERROR(INDEX(INV_NAME,MATCH(B62,INV_ID,0)),"CHECK: Supplier ID not found"))</f>
        <v/>
      </c>
      <c r="D62" s="34"/>
      <c r="E62" s="50"/>
      <c r="F62" s="34"/>
      <c r="G62" s="34"/>
      <c r="H62" s="34"/>
      <c r="I62" s="34"/>
      <c r="J62" s="34"/>
      <c r="K62" s="62" t="str">
        <f aca="false">IF(J62="","",SUMPRODUCT(ISNUMBER(SEARCH(","&amp;EV_ID&amp;",",","&amp;SUBSTITUTE(J62," ","")&amp;","))*(EV_ID&lt;&gt;"")))</f>
        <v/>
      </c>
      <c r="L62" s="34"/>
      <c r="M62" s="34"/>
      <c r="N62" s="34"/>
      <c r="O62" s="50"/>
      <c r="P62" s="50"/>
      <c r="Q62" s="51"/>
      <c r="R62" s="34"/>
      <c r="S62" s="54" t="str">
        <f aca="false">IF(A62="","",IF(M62="Confirmed weakness","Confirmed weakness",IF(OR(M62="Evidence insufficient",L62="Insufficient"),"Assurance limitation (evidence insufficient)",IF(AND(G62="Adequate",H62="Implemented",I62="Operating",L62="Sufficient"),"Design, implementation and operation evidenced",IF(AND(G62="Adequate",H62="Implemented"),"Designed and implemented; operation not evidenced",IF(G62="Adequate","Designed; implementation not evidenced","Not yet determined"))))))</f>
        <v/>
      </c>
      <c r="T62" s="54" t="str">
        <f aca="false">IF(A62="","",IF(AND(L62="Insufficient",N62="Ineffective"),"CHECK: evidence gap rated Ineffective - not permitted; record as Evidence insufficient",IF(AND(N62="Ineffective",M62&lt;&gt;"Confirmed weakness",M62&lt;&gt;"Exception identified"),"CHECK: Ineffective without a confirmed weakness or exception","OK")))</f>
        <v/>
      </c>
      <c r="U62" s="54" t="str">
        <f aca="false">IF(A62="","",IF(COUNTIF(CA_ID,A62)&gt;1,"CHECK: duplicate ID",IF(B62="","CHECK: Supplier ID missing",IF(COUNTIF(INV_ID,B62)=0,"CHECK: Supplier ID not in inventory",IF(AND(E62&lt;&gt;"",COUNTIF(RSK_ID,E62)=0),"CHECK: Risk ID not found",IF(AND(E62&lt;&gt;"",COUNTIF(RSK_ID,E62)&gt;0,IFERROR(INDEX(RSK_SUP,MATCH(E62,RSK_ID,0)),"")&lt;&gt;B62),"CHECK: Risk belongs to a different supplier",IF(AND(O62&lt;&gt;"",COUNTIF(FND_ID,O62)=0),"CHECK: Finding ID not found",IF(AND(J62&lt;&gt;"",K62&lt;LEN(SUBSTITUTE(J62," ",""))-LEN(SUBSTITUTE(SUBSTITUTE(J62," ",""),",",""))+1),"CHECK: some Evidence IDs not found","OK"))))))))</f>
        <v/>
      </c>
    </row>
    <row r="63" customFormat="false" ht="15" hidden="false" customHeight="false" outlineLevel="0" collapsed="false">
      <c r="A63" s="50"/>
      <c r="B63" s="50"/>
      <c r="C63" s="59" t="str">
        <f aca="false">IF(B63="","",IFERROR(INDEX(INV_NAME,MATCH(B63,INV_ID,0)),"CHECK: Supplier ID not found"))</f>
        <v/>
      </c>
      <c r="D63" s="34"/>
      <c r="E63" s="50"/>
      <c r="F63" s="34"/>
      <c r="G63" s="34"/>
      <c r="H63" s="34"/>
      <c r="I63" s="34"/>
      <c r="J63" s="34"/>
      <c r="K63" s="62" t="str">
        <f aca="false">IF(J63="","",SUMPRODUCT(ISNUMBER(SEARCH(","&amp;EV_ID&amp;",",","&amp;SUBSTITUTE(J63," ","")&amp;","))*(EV_ID&lt;&gt;"")))</f>
        <v/>
      </c>
      <c r="L63" s="34"/>
      <c r="M63" s="34"/>
      <c r="N63" s="34"/>
      <c r="O63" s="50"/>
      <c r="P63" s="50"/>
      <c r="Q63" s="51"/>
      <c r="R63" s="34"/>
      <c r="S63" s="54" t="str">
        <f aca="false">IF(A63="","",IF(M63="Confirmed weakness","Confirmed weakness",IF(OR(M63="Evidence insufficient",L63="Insufficient"),"Assurance limitation (evidence insufficient)",IF(AND(G63="Adequate",H63="Implemented",I63="Operating",L63="Sufficient"),"Design, implementation and operation evidenced",IF(AND(G63="Adequate",H63="Implemented"),"Designed and implemented; operation not evidenced",IF(G63="Adequate","Designed; implementation not evidenced","Not yet determined"))))))</f>
        <v/>
      </c>
      <c r="T63" s="54" t="str">
        <f aca="false">IF(A63="","",IF(AND(L63="Insufficient",N63="Ineffective"),"CHECK: evidence gap rated Ineffective - not permitted; record as Evidence insufficient",IF(AND(N63="Ineffective",M63&lt;&gt;"Confirmed weakness",M63&lt;&gt;"Exception identified"),"CHECK: Ineffective without a confirmed weakness or exception","OK")))</f>
        <v/>
      </c>
      <c r="U63" s="54" t="str">
        <f aca="false">IF(A63="","",IF(COUNTIF(CA_ID,A63)&gt;1,"CHECK: duplicate ID",IF(B63="","CHECK: Supplier ID missing",IF(COUNTIF(INV_ID,B63)=0,"CHECK: Supplier ID not in inventory",IF(AND(E63&lt;&gt;"",COUNTIF(RSK_ID,E63)=0),"CHECK: Risk ID not found",IF(AND(E63&lt;&gt;"",COUNTIF(RSK_ID,E63)&gt;0,IFERROR(INDEX(RSK_SUP,MATCH(E63,RSK_ID,0)),"")&lt;&gt;B63),"CHECK: Risk belongs to a different supplier",IF(AND(O63&lt;&gt;"",COUNTIF(FND_ID,O63)=0),"CHECK: Finding ID not found",IF(AND(J63&lt;&gt;"",K63&lt;LEN(SUBSTITUTE(J63," ",""))-LEN(SUBSTITUTE(SUBSTITUTE(J63," ",""),",",""))+1),"CHECK: some Evidence IDs not found","OK"))))))))</f>
        <v/>
      </c>
    </row>
    <row r="64" customFormat="false" ht="15" hidden="false" customHeight="false" outlineLevel="0" collapsed="false">
      <c r="A64" s="50"/>
      <c r="B64" s="50"/>
      <c r="C64" s="59" t="str">
        <f aca="false">IF(B64="","",IFERROR(INDEX(INV_NAME,MATCH(B64,INV_ID,0)),"CHECK: Supplier ID not found"))</f>
        <v/>
      </c>
      <c r="D64" s="34"/>
      <c r="E64" s="50"/>
      <c r="F64" s="34"/>
      <c r="G64" s="34"/>
      <c r="H64" s="34"/>
      <c r="I64" s="34"/>
      <c r="J64" s="34"/>
      <c r="K64" s="62" t="str">
        <f aca="false">IF(J64="","",SUMPRODUCT(ISNUMBER(SEARCH(","&amp;EV_ID&amp;",",","&amp;SUBSTITUTE(J64," ","")&amp;","))*(EV_ID&lt;&gt;"")))</f>
        <v/>
      </c>
      <c r="L64" s="34"/>
      <c r="M64" s="34"/>
      <c r="N64" s="34"/>
      <c r="O64" s="50"/>
      <c r="P64" s="50"/>
      <c r="Q64" s="51"/>
      <c r="R64" s="34"/>
      <c r="S64" s="54" t="str">
        <f aca="false">IF(A64="","",IF(M64="Confirmed weakness","Confirmed weakness",IF(OR(M64="Evidence insufficient",L64="Insufficient"),"Assurance limitation (evidence insufficient)",IF(AND(G64="Adequate",H64="Implemented",I64="Operating",L64="Sufficient"),"Design, implementation and operation evidenced",IF(AND(G64="Adequate",H64="Implemented"),"Designed and implemented; operation not evidenced",IF(G64="Adequate","Designed; implementation not evidenced","Not yet determined"))))))</f>
        <v/>
      </c>
      <c r="T64" s="54" t="str">
        <f aca="false">IF(A64="","",IF(AND(L64="Insufficient",N64="Ineffective"),"CHECK: evidence gap rated Ineffective - not permitted; record as Evidence insufficient",IF(AND(N64="Ineffective",M64&lt;&gt;"Confirmed weakness",M64&lt;&gt;"Exception identified"),"CHECK: Ineffective without a confirmed weakness or exception","OK")))</f>
        <v/>
      </c>
      <c r="U64" s="54" t="str">
        <f aca="false">IF(A64="","",IF(COUNTIF(CA_ID,A64)&gt;1,"CHECK: duplicate ID",IF(B64="","CHECK: Supplier ID missing",IF(COUNTIF(INV_ID,B64)=0,"CHECK: Supplier ID not in inventory",IF(AND(E64&lt;&gt;"",COUNTIF(RSK_ID,E64)=0),"CHECK: Risk ID not found",IF(AND(E64&lt;&gt;"",COUNTIF(RSK_ID,E64)&gt;0,IFERROR(INDEX(RSK_SUP,MATCH(E64,RSK_ID,0)),"")&lt;&gt;B64),"CHECK: Risk belongs to a different supplier",IF(AND(O64&lt;&gt;"",COUNTIF(FND_ID,O64)=0),"CHECK: Finding ID not found",IF(AND(J64&lt;&gt;"",K64&lt;LEN(SUBSTITUTE(J64," ",""))-LEN(SUBSTITUTE(SUBSTITUTE(J64," ",""),",",""))+1),"CHECK: some Evidence IDs not found","OK"))))))))</f>
        <v/>
      </c>
    </row>
    <row r="65" customFormat="false" ht="15" hidden="false" customHeight="false" outlineLevel="0" collapsed="false">
      <c r="A65" s="50"/>
      <c r="B65" s="50"/>
      <c r="C65" s="59" t="str">
        <f aca="false">IF(B65="","",IFERROR(INDEX(INV_NAME,MATCH(B65,INV_ID,0)),"CHECK: Supplier ID not found"))</f>
        <v/>
      </c>
      <c r="D65" s="34"/>
      <c r="E65" s="50"/>
      <c r="F65" s="34"/>
      <c r="G65" s="34"/>
      <c r="H65" s="34"/>
      <c r="I65" s="34"/>
      <c r="J65" s="34"/>
      <c r="K65" s="62" t="str">
        <f aca="false">IF(J65="","",SUMPRODUCT(ISNUMBER(SEARCH(","&amp;EV_ID&amp;",",","&amp;SUBSTITUTE(J65," ","")&amp;","))*(EV_ID&lt;&gt;"")))</f>
        <v/>
      </c>
      <c r="L65" s="34"/>
      <c r="M65" s="34"/>
      <c r="N65" s="34"/>
      <c r="O65" s="50"/>
      <c r="P65" s="50"/>
      <c r="Q65" s="51"/>
      <c r="R65" s="34"/>
      <c r="S65" s="54" t="str">
        <f aca="false">IF(A65="","",IF(M65="Confirmed weakness","Confirmed weakness",IF(OR(M65="Evidence insufficient",L65="Insufficient"),"Assurance limitation (evidence insufficient)",IF(AND(G65="Adequate",H65="Implemented",I65="Operating",L65="Sufficient"),"Design, implementation and operation evidenced",IF(AND(G65="Adequate",H65="Implemented"),"Designed and implemented; operation not evidenced",IF(G65="Adequate","Designed; implementation not evidenced","Not yet determined"))))))</f>
        <v/>
      </c>
      <c r="T65" s="54" t="str">
        <f aca="false">IF(A65="","",IF(AND(L65="Insufficient",N65="Ineffective"),"CHECK: evidence gap rated Ineffective - not permitted; record as Evidence insufficient",IF(AND(N65="Ineffective",M65&lt;&gt;"Confirmed weakness",M65&lt;&gt;"Exception identified"),"CHECK: Ineffective without a confirmed weakness or exception","OK")))</f>
        <v/>
      </c>
      <c r="U65" s="54" t="str">
        <f aca="false">IF(A65="","",IF(COUNTIF(CA_ID,A65)&gt;1,"CHECK: duplicate ID",IF(B65="","CHECK: Supplier ID missing",IF(COUNTIF(INV_ID,B65)=0,"CHECK: Supplier ID not in inventory",IF(AND(E65&lt;&gt;"",COUNTIF(RSK_ID,E65)=0),"CHECK: Risk ID not found",IF(AND(E65&lt;&gt;"",COUNTIF(RSK_ID,E65)&gt;0,IFERROR(INDEX(RSK_SUP,MATCH(E65,RSK_ID,0)),"")&lt;&gt;B65),"CHECK: Risk belongs to a different supplier",IF(AND(O65&lt;&gt;"",COUNTIF(FND_ID,O65)=0),"CHECK: Finding ID not found",IF(AND(J65&lt;&gt;"",K65&lt;LEN(SUBSTITUTE(J65," ",""))-LEN(SUBSTITUTE(SUBSTITUTE(J65," ",""),",",""))+1),"CHECK: some Evidence IDs not found","OK"))))))))</f>
        <v/>
      </c>
    </row>
    <row r="66" customFormat="false" ht="15" hidden="false" customHeight="false" outlineLevel="0" collapsed="false">
      <c r="A66" s="50"/>
      <c r="B66" s="50"/>
      <c r="C66" s="59" t="str">
        <f aca="false">IF(B66="","",IFERROR(INDEX(INV_NAME,MATCH(B66,INV_ID,0)),"CHECK: Supplier ID not found"))</f>
        <v/>
      </c>
      <c r="D66" s="34"/>
      <c r="E66" s="50"/>
      <c r="F66" s="34"/>
      <c r="G66" s="34"/>
      <c r="H66" s="34"/>
      <c r="I66" s="34"/>
      <c r="J66" s="34"/>
      <c r="K66" s="62" t="str">
        <f aca="false">IF(J66="","",SUMPRODUCT(ISNUMBER(SEARCH(","&amp;EV_ID&amp;",",","&amp;SUBSTITUTE(J66," ","")&amp;","))*(EV_ID&lt;&gt;"")))</f>
        <v/>
      </c>
      <c r="L66" s="34"/>
      <c r="M66" s="34"/>
      <c r="N66" s="34"/>
      <c r="O66" s="50"/>
      <c r="P66" s="50"/>
      <c r="Q66" s="51"/>
      <c r="R66" s="34"/>
      <c r="S66" s="54" t="str">
        <f aca="false">IF(A66="","",IF(M66="Confirmed weakness","Confirmed weakness",IF(OR(M66="Evidence insufficient",L66="Insufficient"),"Assurance limitation (evidence insufficient)",IF(AND(G66="Adequate",H66="Implemented",I66="Operating",L66="Sufficient"),"Design, implementation and operation evidenced",IF(AND(G66="Adequate",H66="Implemented"),"Designed and implemented; operation not evidenced",IF(G66="Adequate","Designed; implementation not evidenced","Not yet determined"))))))</f>
        <v/>
      </c>
      <c r="T66" s="54" t="str">
        <f aca="false">IF(A66="","",IF(AND(L66="Insufficient",N66="Ineffective"),"CHECK: evidence gap rated Ineffective - not permitted; record as Evidence insufficient",IF(AND(N66="Ineffective",M66&lt;&gt;"Confirmed weakness",M66&lt;&gt;"Exception identified"),"CHECK: Ineffective without a confirmed weakness or exception","OK")))</f>
        <v/>
      </c>
      <c r="U66" s="54" t="str">
        <f aca="false">IF(A66="","",IF(COUNTIF(CA_ID,A66)&gt;1,"CHECK: duplicate ID",IF(B66="","CHECK: Supplier ID missing",IF(COUNTIF(INV_ID,B66)=0,"CHECK: Supplier ID not in inventory",IF(AND(E66&lt;&gt;"",COUNTIF(RSK_ID,E66)=0),"CHECK: Risk ID not found",IF(AND(E66&lt;&gt;"",COUNTIF(RSK_ID,E66)&gt;0,IFERROR(INDEX(RSK_SUP,MATCH(E66,RSK_ID,0)),"")&lt;&gt;B66),"CHECK: Risk belongs to a different supplier",IF(AND(O66&lt;&gt;"",COUNTIF(FND_ID,O66)=0),"CHECK: Finding ID not found",IF(AND(J66&lt;&gt;"",K66&lt;LEN(SUBSTITUTE(J66," ",""))-LEN(SUBSTITUTE(SUBSTITUTE(J66," ",""),",",""))+1),"CHECK: some Evidence IDs not found","OK"))))))))</f>
        <v/>
      </c>
    </row>
    <row r="67" customFormat="false" ht="15" hidden="false" customHeight="false" outlineLevel="0" collapsed="false">
      <c r="A67" s="50"/>
      <c r="B67" s="50"/>
      <c r="C67" s="59" t="str">
        <f aca="false">IF(B67="","",IFERROR(INDEX(INV_NAME,MATCH(B67,INV_ID,0)),"CHECK: Supplier ID not found"))</f>
        <v/>
      </c>
      <c r="D67" s="34"/>
      <c r="E67" s="50"/>
      <c r="F67" s="34"/>
      <c r="G67" s="34"/>
      <c r="H67" s="34"/>
      <c r="I67" s="34"/>
      <c r="J67" s="34"/>
      <c r="K67" s="62" t="str">
        <f aca="false">IF(J67="","",SUMPRODUCT(ISNUMBER(SEARCH(","&amp;EV_ID&amp;",",","&amp;SUBSTITUTE(J67," ","")&amp;","))*(EV_ID&lt;&gt;"")))</f>
        <v/>
      </c>
      <c r="L67" s="34"/>
      <c r="M67" s="34"/>
      <c r="N67" s="34"/>
      <c r="O67" s="50"/>
      <c r="P67" s="50"/>
      <c r="Q67" s="51"/>
      <c r="R67" s="34"/>
      <c r="S67" s="54" t="str">
        <f aca="false">IF(A67="","",IF(M67="Confirmed weakness","Confirmed weakness",IF(OR(M67="Evidence insufficient",L67="Insufficient"),"Assurance limitation (evidence insufficient)",IF(AND(G67="Adequate",H67="Implemented",I67="Operating",L67="Sufficient"),"Design, implementation and operation evidenced",IF(AND(G67="Adequate",H67="Implemented"),"Designed and implemented; operation not evidenced",IF(G67="Adequate","Designed; implementation not evidenced","Not yet determined"))))))</f>
        <v/>
      </c>
      <c r="T67" s="54" t="str">
        <f aca="false">IF(A67="","",IF(AND(L67="Insufficient",N67="Ineffective"),"CHECK: evidence gap rated Ineffective - not permitted; record as Evidence insufficient",IF(AND(N67="Ineffective",M67&lt;&gt;"Confirmed weakness",M67&lt;&gt;"Exception identified"),"CHECK: Ineffective without a confirmed weakness or exception","OK")))</f>
        <v/>
      </c>
      <c r="U67" s="54" t="str">
        <f aca="false">IF(A67="","",IF(COUNTIF(CA_ID,A67)&gt;1,"CHECK: duplicate ID",IF(B67="","CHECK: Supplier ID missing",IF(COUNTIF(INV_ID,B67)=0,"CHECK: Supplier ID not in inventory",IF(AND(E67&lt;&gt;"",COUNTIF(RSK_ID,E67)=0),"CHECK: Risk ID not found",IF(AND(E67&lt;&gt;"",COUNTIF(RSK_ID,E67)&gt;0,IFERROR(INDEX(RSK_SUP,MATCH(E67,RSK_ID,0)),"")&lt;&gt;B67),"CHECK: Risk belongs to a different supplier",IF(AND(O67&lt;&gt;"",COUNTIF(FND_ID,O67)=0),"CHECK: Finding ID not found",IF(AND(J67&lt;&gt;"",K67&lt;LEN(SUBSTITUTE(J67," ",""))-LEN(SUBSTITUTE(SUBSTITUTE(J67," ",""),",",""))+1),"CHECK: some Evidence IDs not found","OK"))))))))</f>
        <v/>
      </c>
    </row>
    <row r="68" customFormat="false" ht="15" hidden="false" customHeight="false" outlineLevel="0" collapsed="false">
      <c r="A68" s="50"/>
      <c r="B68" s="50"/>
      <c r="C68" s="59" t="str">
        <f aca="false">IF(B68="","",IFERROR(INDEX(INV_NAME,MATCH(B68,INV_ID,0)),"CHECK: Supplier ID not found"))</f>
        <v/>
      </c>
      <c r="D68" s="34"/>
      <c r="E68" s="50"/>
      <c r="F68" s="34"/>
      <c r="G68" s="34"/>
      <c r="H68" s="34"/>
      <c r="I68" s="34"/>
      <c r="J68" s="34"/>
      <c r="K68" s="62" t="str">
        <f aca="false">IF(J68="","",SUMPRODUCT(ISNUMBER(SEARCH(","&amp;EV_ID&amp;",",","&amp;SUBSTITUTE(J68," ","")&amp;","))*(EV_ID&lt;&gt;"")))</f>
        <v/>
      </c>
      <c r="L68" s="34"/>
      <c r="M68" s="34"/>
      <c r="N68" s="34"/>
      <c r="O68" s="50"/>
      <c r="P68" s="50"/>
      <c r="Q68" s="51"/>
      <c r="R68" s="34"/>
      <c r="S68" s="54" t="str">
        <f aca="false">IF(A68="","",IF(M68="Confirmed weakness","Confirmed weakness",IF(OR(M68="Evidence insufficient",L68="Insufficient"),"Assurance limitation (evidence insufficient)",IF(AND(G68="Adequate",H68="Implemented",I68="Operating",L68="Sufficient"),"Design, implementation and operation evidenced",IF(AND(G68="Adequate",H68="Implemented"),"Designed and implemented; operation not evidenced",IF(G68="Adequate","Designed; implementation not evidenced","Not yet determined"))))))</f>
        <v/>
      </c>
      <c r="T68" s="54" t="str">
        <f aca="false">IF(A68="","",IF(AND(L68="Insufficient",N68="Ineffective"),"CHECK: evidence gap rated Ineffective - not permitted; record as Evidence insufficient",IF(AND(N68="Ineffective",M68&lt;&gt;"Confirmed weakness",M68&lt;&gt;"Exception identified"),"CHECK: Ineffective without a confirmed weakness or exception","OK")))</f>
        <v/>
      </c>
      <c r="U68" s="54" t="str">
        <f aca="false">IF(A68="","",IF(COUNTIF(CA_ID,A68)&gt;1,"CHECK: duplicate ID",IF(B68="","CHECK: Supplier ID missing",IF(COUNTIF(INV_ID,B68)=0,"CHECK: Supplier ID not in inventory",IF(AND(E68&lt;&gt;"",COUNTIF(RSK_ID,E68)=0),"CHECK: Risk ID not found",IF(AND(E68&lt;&gt;"",COUNTIF(RSK_ID,E68)&gt;0,IFERROR(INDEX(RSK_SUP,MATCH(E68,RSK_ID,0)),"")&lt;&gt;B68),"CHECK: Risk belongs to a different supplier",IF(AND(O68&lt;&gt;"",COUNTIF(FND_ID,O68)=0),"CHECK: Finding ID not found",IF(AND(J68&lt;&gt;"",K68&lt;LEN(SUBSTITUTE(J68," ",""))-LEN(SUBSTITUTE(SUBSTITUTE(J68," ",""),",",""))+1),"CHECK: some Evidence IDs not found","OK"))))))))</f>
        <v/>
      </c>
    </row>
    <row r="69" customFormat="false" ht="15" hidden="false" customHeight="false" outlineLevel="0" collapsed="false">
      <c r="A69" s="50"/>
      <c r="B69" s="50"/>
      <c r="C69" s="59" t="str">
        <f aca="false">IF(B69="","",IFERROR(INDEX(INV_NAME,MATCH(B69,INV_ID,0)),"CHECK: Supplier ID not found"))</f>
        <v/>
      </c>
      <c r="D69" s="34"/>
      <c r="E69" s="50"/>
      <c r="F69" s="34"/>
      <c r="G69" s="34"/>
      <c r="H69" s="34"/>
      <c r="I69" s="34"/>
      <c r="J69" s="34"/>
      <c r="K69" s="62" t="str">
        <f aca="false">IF(J69="","",SUMPRODUCT(ISNUMBER(SEARCH(","&amp;EV_ID&amp;",",","&amp;SUBSTITUTE(J69," ","")&amp;","))*(EV_ID&lt;&gt;"")))</f>
        <v/>
      </c>
      <c r="L69" s="34"/>
      <c r="M69" s="34"/>
      <c r="N69" s="34"/>
      <c r="O69" s="50"/>
      <c r="P69" s="50"/>
      <c r="Q69" s="51"/>
      <c r="R69" s="34"/>
      <c r="S69" s="54" t="str">
        <f aca="false">IF(A69="","",IF(M69="Confirmed weakness","Confirmed weakness",IF(OR(M69="Evidence insufficient",L69="Insufficient"),"Assurance limitation (evidence insufficient)",IF(AND(G69="Adequate",H69="Implemented",I69="Operating",L69="Sufficient"),"Design, implementation and operation evidenced",IF(AND(G69="Adequate",H69="Implemented"),"Designed and implemented; operation not evidenced",IF(G69="Adequate","Designed; implementation not evidenced","Not yet determined"))))))</f>
        <v/>
      </c>
      <c r="T69" s="54" t="str">
        <f aca="false">IF(A69="","",IF(AND(L69="Insufficient",N69="Ineffective"),"CHECK: evidence gap rated Ineffective - not permitted; record as Evidence insufficient",IF(AND(N69="Ineffective",M69&lt;&gt;"Confirmed weakness",M69&lt;&gt;"Exception identified"),"CHECK: Ineffective without a confirmed weakness or exception","OK")))</f>
        <v/>
      </c>
      <c r="U69" s="54" t="str">
        <f aca="false">IF(A69="","",IF(COUNTIF(CA_ID,A69)&gt;1,"CHECK: duplicate ID",IF(B69="","CHECK: Supplier ID missing",IF(COUNTIF(INV_ID,B69)=0,"CHECK: Supplier ID not in inventory",IF(AND(E69&lt;&gt;"",COUNTIF(RSK_ID,E69)=0),"CHECK: Risk ID not found",IF(AND(E69&lt;&gt;"",COUNTIF(RSK_ID,E69)&gt;0,IFERROR(INDEX(RSK_SUP,MATCH(E69,RSK_ID,0)),"")&lt;&gt;B69),"CHECK: Risk belongs to a different supplier",IF(AND(O69&lt;&gt;"",COUNTIF(FND_ID,O69)=0),"CHECK: Finding ID not found",IF(AND(J69&lt;&gt;"",K69&lt;LEN(SUBSTITUTE(J69," ",""))-LEN(SUBSTITUTE(SUBSTITUTE(J69," ",""),",",""))+1),"CHECK: some Evidence IDs not found","OK"))))))))</f>
        <v/>
      </c>
    </row>
    <row r="70" customFormat="false" ht="15" hidden="false" customHeight="false" outlineLevel="0" collapsed="false">
      <c r="A70" s="50"/>
      <c r="B70" s="50"/>
      <c r="C70" s="59" t="str">
        <f aca="false">IF(B70="","",IFERROR(INDEX(INV_NAME,MATCH(B70,INV_ID,0)),"CHECK: Supplier ID not found"))</f>
        <v/>
      </c>
      <c r="D70" s="34"/>
      <c r="E70" s="50"/>
      <c r="F70" s="34"/>
      <c r="G70" s="34"/>
      <c r="H70" s="34"/>
      <c r="I70" s="34"/>
      <c r="J70" s="34"/>
      <c r="K70" s="62" t="str">
        <f aca="false">IF(J70="","",SUMPRODUCT(ISNUMBER(SEARCH(","&amp;EV_ID&amp;",",","&amp;SUBSTITUTE(J70," ","")&amp;","))*(EV_ID&lt;&gt;"")))</f>
        <v/>
      </c>
      <c r="L70" s="34"/>
      <c r="M70" s="34"/>
      <c r="N70" s="34"/>
      <c r="O70" s="50"/>
      <c r="P70" s="50"/>
      <c r="Q70" s="51"/>
      <c r="R70" s="34"/>
      <c r="S70" s="54" t="str">
        <f aca="false">IF(A70="","",IF(M70="Confirmed weakness","Confirmed weakness",IF(OR(M70="Evidence insufficient",L70="Insufficient"),"Assurance limitation (evidence insufficient)",IF(AND(G70="Adequate",H70="Implemented",I70="Operating",L70="Sufficient"),"Design, implementation and operation evidenced",IF(AND(G70="Adequate",H70="Implemented"),"Designed and implemented; operation not evidenced",IF(G70="Adequate","Designed; implementation not evidenced","Not yet determined"))))))</f>
        <v/>
      </c>
      <c r="T70" s="54" t="str">
        <f aca="false">IF(A70="","",IF(AND(L70="Insufficient",N70="Ineffective"),"CHECK: evidence gap rated Ineffective - not permitted; record as Evidence insufficient",IF(AND(N70="Ineffective",M70&lt;&gt;"Confirmed weakness",M70&lt;&gt;"Exception identified"),"CHECK: Ineffective without a confirmed weakness or exception","OK")))</f>
        <v/>
      </c>
      <c r="U70" s="54" t="str">
        <f aca="false">IF(A70="","",IF(COUNTIF(CA_ID,A70)&gt;1,"CHECK: duplicate ID",IF(B70="","CHECK: Supplier ID missing",IF(COUNTIF(INV_ID,B70)=0,"CHECK: Supplier ID not in inventory",IF(AND(E70&lt;&gt;"",COUNTIF(RSK_ID,E70)=0),"CHECK: Risk ID not found",IF(AND(E70&lt;&gt;"",COUNTIF(RSK_ID,E70)&gt;0,IFERROR(INDEX(RSK_SUP,MATCH(E70,RSK_ID,0)),"")&lt;&gt;B70),"CHECK: Risk belongs to a different supplier",IF(AND(O70&lt;&gt;"",COUNTIF(FND_ID,O70)=0),"CHECK: Finding ID not found",IF(AND(J70&lt;&gt;"",K70&lt;LEN(SUBSTITUTE(J70," ",""))-LEN(SUBSTITUTE(SUBSTITUTE(J70," ",""),",",""))+1),"CHECK: some Evidence IDs not found","OK"))))))))</f>
        <v/>
      </c>
    </row>
    <row r="71" customFormat="false" ht="15" hidden="false" customHeight="false" outlineLevel="0" collapsed="false">
      <c r="A71" s="50"/>
      <c r="B71" s="50"/>
      <c r="C71" s="59" t="str">
        <f aca="false">IF(B71="","",IFERROR(INDEX(INV_NAME,MATCH(B71,INV_ID,0)),"CHECK: Supplier ID not found"))</f>
        <v/>
      </c>
      <c r="D71" s="34"/>
      <c r="E71" s="50"/>
      <c r="F71" s="34"/>
      <c r="G71" s="34"/>
      <c r="H71" s="34"/>
      <c r="I71" s="34"/>
      <c r="J71" s="34"/>
      <c r="K71" s="62" t="str">
        <f aca="false">IF(J71="","",SUMPRODUCT(ISNUMBER(SEARCH(","&amp;EV_ID&amp;",",","&amp;SUBSTITUTE(J71," ","")&amp;","))*(EV_ID&lt;&gt;"")))</f>
        <v/>
      </c>
      <c r="L71" s="34"/>
      <c r="M71" s="34"/>
      <c r="N71" s="34"/>
      <c r="O71" s="50"/>
      <c r="P71" s="50"/>
      <c r="Q71" s="51"/>
      <c r="R71" s="34"/>
      <c r="S71" s="54" t="str">
        <f aca="false">IF(A71="","",IF(M71="Confirmed weakness","Confirmed weakness",IF(OR(M71="Evidence insufficient",L71="Insufficient"),"Assurance limitation (evidence insufficient)",IF(AND(G71="Adequate",H71="Implemented",I71="Operating",L71="Sufficient"),"Design, implementation and operation evidenced",IF(AND(G71="Adequate",H71="Implemented"),"Designed and implemented; operation not evidenced",IF(G71="Adequate","Designed; implementation not evidenced","Not yet determined"))))))</f>
        <v/>
      </c>
      <c r="T71" s="54" t="str">
        <f aca="false">IF(A71="","",IF(AND(L71="Insufficient",N71="Ineffective"),"CHECK: evidence gap rated Ineffective - not permitted; record as Evidence insufficient",IF(AND(N71="Ineffective",M71&lt;&gt;"Confirmed weakness",M71&lt;&gt;"Exception identified"),"CHECK: Ineffective without a confirmed weakness or exception","OK")))</f>
        <v/>
      </c>
      <c r="U71" s="54" t="str">
        <f aca="false">IF(A71="","",IF(COUNTIF(CA_ID,A71)&gt;1,"CHECK: duplicate ID",IF(B71="","CHECK: Supplier ID missing",IF(COUNTIF(INV_ID,B71)=0,"CHECK: Supplier ID not in inventory",IF(AND(E71&lt;&gt;"",COUNTIF(RSK_ID,E71)=0),"CHECK: Risk ID not found",IF(AND(E71&lt;&gt;"",COUNTIF(RSK_ID,E71)&gt;0,IFERROR(INDEX(RSK_SUP,MATCH(E71,RSK_ID,0)),"")&lt;&gt;B71),"CHECK: Risk belongs to a different supplier",IF(AND(O71&lt;&gt;"",COUNTIF(FND_ID,O71)=0),"CHECK: Finding ID not found",IF(AND(J71&lt;&gt;"",K71&lt;LEN(SUBSTITUTE(J71," ",""))-LEN(SUBSTITUTE(SUBSTITUTE(J71," ",""),",",""))+1),"CHECK: some Evidence IDs not found","OK"))))))))</f>
        <v/>
      </c>
    </row>
    <row r="72" customFormat="false" ht="15" hidden="false" customHeight="false" outlineLevel="0" collapsed="false">
      <c r="A72" s="50"/>
      <c r="B72" s="50"/>
      <c r="C72" s="59" t="str">
        <f aca="false">IF(B72="","",IFERROR(INDEX(INV_NAME,MATCH(B72,INV_ID,0)),"CHECK: Supplier ID not found"))</f>
        <v/>
      </c>
      <c r="D72" s="34"/>
      <c r="E72" s="50"/>
      <c r="F72" s="34"/>
      <c r="G72" s="34"/>
      <c r="H72" s="34"/>
      <c r="I72" s="34"/>
      <c r="J72" s="34"/>
      <c r="K72" s="62" t="str">
        <f aca="false">IF(J72="","",SUMPRODUCT(ISNUMBER(SEARCH(","&amp;EV_ID&amp;",",","&amp;SUBSTITUTE(J72," ","")&amp;","))*(EV_ID&lt;&gt;"")))</f>
        <v/>
      </c>
      <c r="L72" s="34"/>
      <c r="M72" s="34"/>
      <c r="N72" s="34"/>
      <c r="O72" s="50"/>
      <c r="P72" s="50"/>
      <c r="Q72" s="51"/>
      <c r="R72" s="34"/>
      <c r="S72" s="54" t="str">
        <f aca="false">IF(A72="","",IF(M72="Confirmed weakness","Confirmed weakness",IF(OR(M72="Evidence insufficient",L72="Insufficient"),"Assurance limitation (evidence insufficient)",IF(AND(G72="Adequate",H72="Implemented",I72="Operating",L72="Sufficient"),"Design, implementation and operation evidenced",IF(AND(G72="Adequate",H72="Implemented"),"Designed and implemented; operation not evidenced",IF(G72="Adequate","Designed; implementation not evidenced","Not yet determined"))))))</f>
        <v/>
      </c>
      <c r="T72" s="54" t="str">
        <f aca="false">IF(A72="","",IF(AND(L72="Insufficient",N72="Ineffective"),"CHECK: evidence gap rated Ineffective - not permitted; record as Evidence insufficient",IF(AND(N72="Ineffective",M72&lt;&gt;"Confirmed weakness",M72&lt;&gt;"Exception identified"),"CHECK: Ineffective without a confirmed weakness or exception","OK")))</f>
        <v/>
      </c>
      <c r="U72" s="54" t="str">
        <f aca="false">IF(A72="","",IF(COUNTIF(CA_ID,A72)&gt;1,"CHECK: duplicate ID",IF(B72="","CHECK: Supplier ID missing",IF(COUNTIF(INV_ID,B72)=0,"CHECK: Supplier ID not in inventory",IF(AND(E72&lt;&gt;"",COUNTIF(RSK_ID,E72)=0),"CHECK: Risk ID not found",IF(AND(E72&lt;&gt;"",COUNTIF(RSK_ID,E72)&gt;0,IFERROR(INDEX(RSK_SUP,MATCH(E72,RSK_ID,0)),"")&lt;&gt;B72),"CHECK: Risk belongs to a different supplier",IF(AND(O72&lt;&gt;"",COUNTIF(FND_ID,O72)=0),"CHECK: Finding ID not found",IF(AND(J72&lt;&gt;"",K72&lt;LEN(SUBSTITUTE(J72," ",""))-LEN(SUBSTITUTE(SUBSTITUTE(J72," ",""),",",""))+1),"CHECK: some Evidence IDs not found","OK"))))))))</f>
        <v/>
      </c>
    </row>
    <row r="73" customFormat="false" ht="15" hidden="false" customHeight="false" outlineLevel="0" collapsed="false">
      <c r="A73" s="50"/>
      <c r="B73" s="50"/>
      <c r="C73" s="59" t="str">
        <f aca="false">IF(B73="","",IFERROR(INDEX(INV_NAME,MATCH(B73,INV_ID,0)),"CHECK: Supplier ID not found"))</f>
        <v/>
      </c>
      <c r="D73" s="34"/>
      <c r="E73" s="50"/>
      <c r="F73" s="34"/>
      <c r="G73" s="34"/>
      <c r="H73" s="34"/>
      <c r="I73" s="34"/>
      <c r="J73" s="34"/>
      <c r="K73" s="62" t="str">
        <f aca="false">IF(J73="","",SUMPRODUCT(ISNUMBER(SEARCH(","&amp;EV_ID&amp;",",","&amp;SUBSTITUTE(J73," ","")&amp;","))*(EV_ID&lt;&gt;"")))</f>
        <v/>
      </c>
      <c r="L73" s="34"/>
      <c r="M73" s="34"/>
      <c r="N73" s="34"/>
      <c r="O73" s="50"/>
      <c r="P73" s="50"/>
      <c r="Q73" s="51"/>
      <c r="R73" s="34"/>
      <c r="S73" s="54" t="str">
        <f aca="false">IF(A73="","",IF(M73="Confirmed weakness","Confirmed weakness",IF(OR(M73="Evidence insufficient",L73="Insufficient"),"Assurance limitation (evidence insufficient)",IF(AND(G73="Adequate",H73="Implemented",I73="Operating",L73="Sufficient"),"Design, implementation and operation evidenced",IF(AND(G73="Adequate",H73="Implemented"),"Designed and implemented; operation not evidenced",IF(G73="Adequate","Designed; implementation not evidenced","Not yet determined"))))))</f>
        <v/>
      </c>
      <c r="T73" s="54" t="str">
        <f aca="false">IF(A73="","",IF(AND(L73="Insufficient",N73="Ineffective"),"CHECK: evidence gap rated Ineffective - not permitted; record as Evidence insufficient",IF(AND(N73="Ineffective",M73&lt;&gt;"Confirmed weakness",M73&lt;&gt;"Exception identified"),"CHECK: Ineffective without a confirmed weakness or exception","OK")))</f>
        <v/>
      </c>
      <c r="U73" s="54" t="str">
        <f aca="false">IF(A73="","",IF(COUNTIF(CA_ID,A73)&gt;1,"CHECK: duplicate ID",IF(B73="","CHECK: Supplier ID missing",IF(COUNTIF(INV_ID,B73)=0,"CHECK: Supplier ID not in inventory",IF(AND(E73&lt;&gt;"",COUNTIF(RSK_ID,E73)=0),"CHECK: Risk ID not found",IF(AND(E73&lt;&gt;"",COUNTIF(RSK_ID,E73)&gt;0,IFERROR(INDEX(RSK_SUP,MATCH(E73,RSK_ID,0)),"")&lt;&gt;B73),"CHECK: Risk belongs to a different supplier",IF(AND(O73&lt;&gt;"",COUNTIF(FND_ID,O73)=0),"CHECK: Finding ID not found",IF(AND(J73&lt;&gt;"",K73&lt;LEN(SUBSTITUTE(J73," ",""))-LEN(SUBSTITUTE(SUBSTITUTE(J73," ",""),",",""))+1),"CHECK: some Evidence IDs not found","OK"))))))))</f>
        <v/>
      </c>
    </row>
    <row r="74" customFormat="false" ht="15" hidden="false" customHeight="false" outlineLevel="0" collapsed="false">
      <c r="A74" s="50"/>
      <c r="B74" s="50"/>
      <c r="C74" s="59" t="str">
        <f aca="false">IF(B74="","",IFERROR(INDEX(INV_NAME,MATCH(B74,INV_ID,0)),"CHECK: Supplier ID not found"))</f>
        <v/>
      </c>
      <c r="D74" s="34"/>
      <c r="E74" s="50"/>
      <c r="F74" s="34"/>
      <c r="G74" s="34"/>
      <c r="H74" s="34"/>
      <c r="I74" s="34"/>
      <c r="J74" s="34"/>
      <c r="K74" s="62" t="str">
        <f aca="false">IF(J74="","",SUMPRODUCT(ISNUMBER(SEARCH(","&amp;EV_ID&amp;",",","&amp;SUBSTITUTE(J74," ","")&amp;","))*(EV_ID&lt;&gt;"")))</f>
        <v/>
      </c>
      <c r="L74" s="34"/>
      <c r="M74" s="34"/>
      <c r="N74" s="34"/>
      <c r="O74" s="50"/>
      <c r="P74" s="50"/>
      <c r="Q74" s="51"/>
      <c r="R74" s="34"/>
      <c r="S74" s="54" t="str">
        <f aca="false">IF(A74="","",IF(M74="Confirmed weakness","Confirmed weakness",IF(OR(M74="Evidence insufficient",L74="Insufficient"),"Assurance limitation (evidence insufficient)",IF(AND(G74="Adequate",H74="Implemented",I74="Operating",L74="Sufficient"),"Design, implementation and operation evidenced",IF(AND(G74="Adequate",H74="Implemented"),"Designed and implemented; operation not evidenced",IF(G74="Adequate","Designed; implementation not evidenced","Not yet determined"))))))</f>
        <v/>
      </c>
      <c r="T74" s="54" t="str">
        <f aca="false">IF(A74="","",IF(AND(L74="Insufficient",N74="Ineffective"),"CHECK: evidence gap rated Ineffective - not permitted; record as Evidence insufficient",IF(AND(N74="Ineffective",M74&lt;&gt;"Confirmed weakness",M74&lt;&gt;"Exception identified"),"CHECK: Ineffective without a confirmed weakness or exception","OK")))</f>
        <v/>
      </c>
      <c r="U74" s="54" t="str">
        <f aca="false">IF(A74="","",IF(COUNTIF(CA_ID,A74)&gt;1,"CHECK: duplicate ID",IF(B74="","CHECK: Supplier ID missing",IF(COUNTIF(INV_ID,B74)=0,"CHECK: Supplier ID not in inventory",IF(AND(E74&lt;&gt;"",COUNTIF(RSK_ID,E74)=0),"CHECK: Risk ID not found",IF(AND(E74&lt;&gt;"",COUNTIF(RSK_ID,E74)&gt;0,IFERROR(INDEX(RSK_SUP,MATCH(E74,RSK_ID,0)),"")&lt;&gt;B74),"CHECK: Risk belongs to a different supplier",IF(AND(O74&lt;&gt;"",COUNTIF(FND_ID,O74)=0),"CHECK: Finding ID not found",IF(AND(J74&lt;&gt;"",K74&lt;LEN(SUBSTITUTE(J74," ",""))-LEN(SUBSTITUTE(SUBSTITUTE(J74," ",""),",",""))+1),"CHECK: some Evidence IDs not found","OK"))))))))</f>
        <v/>
      </c>
    </row>
    <row r="75" customFormat="false" ht="15" hidden="false" customHeight="false" outlineLevel="0" collapsed="false">
      <c r="A75" s="50"/>
      <c r="B75" s="50"/>
      <c r="C75" s="59" t="str">
        <f aca="false">IF(B75="","",IFERROR(INDEX(INV_NAME,MATCH(B75,INV_ID,0)),"CHECK: Supplier ID not found"))</f>
        <v/>
      </c>
      <c r="D75" s="34"/>
      <c r="E75" s="50"/>
      <c r="F75" s="34"/>
      <c r="G75" s="34"/>
      <c r="H75" s="34"/>
      <c r="I75" s="34"/>
      <c r="J75" s="34"/>
      <c r="K75" s="62" t="str">
        <f aca="false">IF(J75="","",SUMPRODUCT(ISNUMBER(SEARCH(","&amp;EV_ID&amp;",",","&amp;SUBSTITUTE(J75," ","")&amp;","))*(EV_ID&lt;&gt;"")))</f>
        <v/>
      </c>
      <c r="L75" s="34"/>
      <c r="M75" s="34"/>
      <c r="N75" s="34"/>
      <c r="O75" s="50"/>
      <c r="P75" s="50"/>
      <c r="Q75" s="51"/>
      <c r="R75" s="34"/>
      <c r="S75" s="54" t="str">
        <f aca="false">IF(A75="","",IF(M75="Confirmed weakness","Confirmed weakness",IF(OR(M75="Evidence insufficient",L75="Insufficient"),"Assurance limitation (evidence insufficient)",IF(AND(G75="Adequate",H75="Implemented",I75="Operating",L75="Sufficient"),"Design, implementation and operation evidenced",IF(AND(G75="Adequate",H75="Implemented"),"Designed and implemented; operation not evidenced",IF(G75="Adequate","Designed; implementation not evidenced","Not yet determined"))))))</f>
        <v/>
      </c>
      <c r="T75" s="54" t="str">
        <f aca="false">IF(A75="","",IF(AND(L75="Insufficient",N75="Ineffective"),"CHECK: evidence gap rated Ineffective - not permitted; record as Evidence insufficient",IF(AND(N75="Ineffective",M75&lt;&gt;"Confirmed weakness",M75&lt;&gt;"Exception identified"),"CHECK: Ineffective without a confirmed weakness or exception","OK")))</f>
        <v/>
      </c>
      <c r="U75" s="54" t="str">
        <f aca="false">IF(A75="","",IF(COUNTIF(CA_ID,A75)&gt;1,"CHECK: duplicate ID",IF(B75="","CHECK: Supplier ID missing",IF(COUNTIF(INV_ID,B75)=0,"CHECK: Supplier ID not in inventory",IF(AND(E75&lt;&gt;"",COUNTIF(RSK_ID,E75)=0),"CHECK: Risk ID not found",IF(AND(E75&lt;&gt;"",COUNTIF(RSK_ID,E75)&gt;0,IFERROR(INDEX(RSK_SUP,MATCH(E75,RSK_ID,0)),"")&lt;&gt;B75),"CHECK: Risk belongs to a different supplier",IF(AND(O75&lt;&gt;"",COUNTIF(FND_ID,O75)=0),"CHECK: Finding ID not found",IF(AND(J75&lt;&gt;"",K75&lt;LEN(SUBSTITUTE(J75," ",""))-LEN(SUBSTITUTE(SUBSTITUTE(J75," ",""),",",""))+1),"CHECK: some Evidence IDs not found","OK"))))))))</f>
        <v/>
      </c>
    </row>
    <row r="76" customFormat="false" ht="15" hidden="false" customHeight="false" outlineLevel="0" collapsed="false">
      <c r="A76" s="50"/>
      <c r="B76" s="50"/>
      <c r="C76" s="59" t="str">
        <f aca="false">IF(B76="","",IFERROR(INDEX(INV_NAME,MATCH(B76,INV_ID,0)),"CHECK: Supplier ID not found"))</f>
        <v/>
      </c>
      <c r="D76" s="34"/>
      <c r="E76" s="50"/>
      <c r="F76" s="34"/>
      <c r="G76" s="34"/>
      <c r="H76" s="34"/>
      <c r="I76" s="34"/>
      <c r="J76" s="34"/>
      <c r="K76" s="62" t="str">
        <f aca="false">IF(J76="","",SUMPRODUCT(ISNUMBER(SEARCH(","&amp;EV_ID&amp;",",","&amp;SUBSTITUTE(J76," ","")&amp;","))*(EV_ID&lt;&gt;"")))</f>
        <v/>
      </c>
      <c r="L76" s="34"/>
      <c r="M76" s="34"/>
      <c r="N76" s="34"/>
      <c r="O76" s="50"/>
      <c r="P76" s="50"/>
      <c r="Q76" s="51"/>
      <c r="R76" s="34"/>
      <c r="S76" s="54" t="str">
        <f aca="false">IF(A76="","",IF(M76="Confirmed weakness","Confirmed weakness",IF(OR(M76="Evidence insufficient",L76="Insufficient"),"Assurance limitation (evidence insufficient)",IF(AND(G76="Adequate",H76="Implemented",I76="Operating",L76="Sufficient"),"Design, implementation and operation evidenced",IF(AND(G76="Adequate",H76="Implemented"),"Designed and implemented; operation not evidenced",IF(G76="Adequate","Designed; implementation not evidenced","Not yet determined"))))))</f>
        <v/>
      </c>
      <c r="T76" s="54" t="str">
        <f aca="false">IF(A76="","",IF(AND(L76="Insufficient",N76="Ineffective"),"CHECK: evidence gap rated Ineffective - not permitted; record as Evidence insufficient",IF(AND(N76="Ineffective",M76&lt;&gt;"Confirmed weakness",M76&lt;&gt;"Exception identified"),"CHECK: Ineffective without a confirmed weakness or exception","OK")))</f>
        <v/>
      </c>
      <c r="U76" s="54" t="str">
        <f aca="false">IF(A76="","",IF(COUNTIF(CA_ID,A76)&gt;1,"CHECK: duplicate ID",IF(B76="","CHECK: Supplier ID missing",IF(COUNTIF(INV_ID,B76)=0,"CHECK: Supplier ID not in inventory",IF(AND(E76&lt;&gt;"",COUNTIF(RSK_ID,E76)=0),"CHECK: Risk ID not found",IF(AND(E76&lt;&gt;"",COUNTIF(RSK_ID,E76)&gt;0,IFERROR(INDEX(RSK_SUP,MATCH(E76,RSK_ID,0)),"")&lt;&gt;B76),"CHECK: Risk belongs to a different supplier",IF(AND(O76&lt;&gt;"",COUNTIF(FND_ID,O76)=0),"CHECK: Finding ID not found",IF(AND(J76&lt;&gt;"",K76&lt;LEN(SUBSTITUTE(J76," ",""))-LEN(SUBSTITUTE(SUBSTITUTE(J76," ",""),",",""))+1),"CHECK: some Evidence IDs not found","OK"))))))))</f>
        <v/>
      </c>
    </row>
    <row r="77" customFormat="false" ht="15" hidden="false" customHeight="false" outlineLevel="0" collapsed="false">
      <c r="A77" s="50"/>
      <c r="B77" s="50"/>
      <c r="C77" s="59" t="str">
        <f aca="false">IF(B77="","",IFERROR(INDEX(INV_NAME,MATCH(B77,INV_ID,0)),"CHECK: Supplier ID not found"))</f>
        <v/>
      </c>
      <c r="D77" s="34"/>
      <c r="E77" s="50"/>
      <c r="F77" s="34"/>
      <c r="G77" s="34"/>
      <c r="H77" s="34"/>
      <c r="I77" s="34"/>
      <c r="J77" s="34"/>
      <c r="K77" s="62" t="str">
        <f aca="false">IF(J77="","",SUMPRODUCT(ISNUMBER(SEARCH(","&amp;EV_ID&amp;",",","&amp;SUBSTITUTE(J77," ","")&amp;","))*(EV_ID&lt;&gt;"")))</f>
        <v/>
      </c>
      <c r="L77" s="34"/>
      <c r="M77" s="34"/>
      <c r="N77" s="34"/>
      <c r="O77" s="50"/>
      <c r="P77" s="50"/>
      <c r="Q77" s="51"/>
      <c r="R77" s="34"/>
      <c r="S77" s="54" t="str">
        <f aca="false">IF(A77="","",IF(M77="Confirmed weakness","Confirmed weakness",IF(OR(M77="Evidence insufficient",L77="Insufficient"),"Assurance limitation (evidence insufficient)",IF(AND(G77="Adequate",H77="Implemented",I77="Operating",L77="Sufficient"),"Design, implementation and operation evidenced",IF(AND(G77="Adequate",H77="Implemented"),"Designed and implemented; operation not evidenced",IF(G77="Adequate","Designed; implementation not evidenced","Not yet determined"))))))</f>
        <v/>
      </c>
      <c r="T77" s="54" t="str">
        <f aca="false">IF(A77="","",IF(AND(L77="Insufficient",N77="Ineffective"),"CHECK: evidence gap rated Ineffective - not permitted; record as Evidence insufficient",IF(AND(N77="Ineffective",M77&lt;&gt;"Confirmed weakness",M77&lt;&gt;"Exception identified"),"CHECK: Ineffective without a confirmed weakness or exception","OK")))</f>
        <v/>
      </c>
      <c r="U77" s="54" t="str">
        <f aca="false">IF(A77="","",IF(COUNTIF(CA_ID,A77)&gt;1,"CHECK: duplicate ID",IF(B77="","CHECK: Supplier ID missing",IF(COUNTIF(INV_ID,B77)=0,"CHECK: Supplier ID not in inventory",IF(AND(E77&lt;&gt;"",COUNTIF(RSK_ID,E77)=0),"CHECK: Risk ID not found",IF(AND(E77&lt;&gt;"",COUNTIF(RSK_ID,E77)&gt;0,IFERROR(INDEX(RSK_SUP,MATCH(E77,RSK_ID,0)),"")&lt;&gt;B77),"CHECK: Risk belongs to a different supplier",IF(AND(O77&lt;&gt;"",COUNTIF(FND_ID,O77)=0),"CHECK: Finding ID not found",IF(AND(J77&lt;&gt;"",K77&lt;LEN(SUBSTITUTE(J77," ",""))-LEN(SUBSTITUTE(SUBSTITUTE(J77," ",""),",",""))+1),"CHECK: some Evidence IDs not found","OK"))))))))</f>
        <v/>
      </c>
    </row>
    <row r="78" customFormat="false" ht="15" hidden="false" customHeight="false" outlineLevel="0" collapsed="false">
      <c r="A78" s="50"/>
      <c r="B78" s="50"/>
      <c r="C78" s="59" t="str">
        <f aca="false">IF(B78="","",IFERROR(INDEX(INV_NAME,MATCH(B78,INV_ID,0)),"CHECK: Supplier ID not found"))</f>
        <v/>
      </c>
      <c r="D78" s="34"/>
      <c r="E78" s="50"/>
      <c r="F78" s="34"/>
      <c r="G78" s="34"/>
      <c r="H78" s="34"/>
      <c r="I78" s="34"/>
      <c r="J78" s="34"/>
      <c r="K78" s="62" t="str">
        <f aca="false">IF(J78="","",SUMPRODUCT(ISNUMBER(SEARCH(","&amp;EV_ID&amp;",",","&amp;SUBSTITUTE(J78," ","")&amp;","))*(EV_ID&lt;&gt;"")))</f>
        <v/>
      </c>
      <c r="L78" s="34"/>
      <c r="M78" s="34"/>
      <c r="N78" s="34"/>
      <c r="O78" s="50"/>
      <c r="P78" s="50"/>
      <c r="Q78" s="51"/>
      <c r="R78" s="34"/>
      <c r="S78" s="54" t="str">
        <f aca="false">IF(A78="","",IF(M78="Confirmed weakness","Confirmed weakness",IF(OR(M78="Evidence insufficient",L78="Insufficient"),"Assurance limitation (evidence insufficient)",IF(AND(G78="Adequate",H78="Implemented",I78="Operating",L78="Sufficient"),"Design, implementation and operation evidenced",IF(AND(G78="Adequate",H78="Implemented"),"Designed and implemented; operation not evidenced",IF(G78="Adequate","Designed; implementation not evidenced","Not yet determined"))))))</f>
        <v/>
      </c>
      <c r="T78" s="54" t="str">
        <f aca="false">IF(A78="","",IF(AND(L78="Insufficient",N78="Ineffective"),"CHECK: evidence gap rated Ineffective - not permitted; record as Evidence insufficient",IF(AND(N78="Ineffective",M78&lt;&gt;"Confirmed weakness",M78&lt;&gt;"Exception identified"),"CHECK: Ineffective without a confirmed weakness or exception","OK")))</f>
        <v/>
      </c>
      <c r="U78" s="54" t="str">
        <f aca="false">IF(A78="","",IF(COUNTIF(CA_ID,A78)&gt;1,"CHECK: duplicate ID",IF(B78="","CHECK: Supplier ID missing",IF(COUNTIF(INV_ID,B78)=0,"CHECK: Supplier ID not in inventory",IF(AND(E78&lt;&gt;"",COUNTIF(RSK_ID,E78)=0),"CHECK: Risk ID not found",IF(AND(E78&lt;&gt;"",COUNTIF(RSK_ID,E78)&gt;0,IFERROR(INDEX(RSK_SUP,MATCH(E78,RSK_ID,0)),"")&lt;&gt;B78),"CHECK: Risk belongs to a different supplier",IF(AND(O78&lt;&gt;"",COUNTIF(FND_ID,O78)=0),"CHECK: Finding ID not found",IF(AND(J78&lt;&gt;"",K78&lt;LEN(SUBSTITUTE(J78," ",""))-LEN(SUBSTITUTE(SUBSTITUTE(J78," ",""),",",""))+1),"CHECK: some Evidence IDs not found","OK"))))))))</f>
        <v/>
      </c>
    </row>
    <row r="79" customFormat="false" ht="15" hidden="false" customHeight="false" outlineLevel="0" collapsed="false">
      <c r="A79" s="50"/>
      <c r="B79" s="50"/>
      <c r="C79" s="59" t="str">
        <f aca="false">IF(B79="","",IFERROR(INDEX(INV_NAME,MATCH(B79,INV_ID,0)),"CHECK: Supplier ID not found"))</f>
        <v/>
      </c>
      <c r="D79" s="34"/>
      <c r="E79" s="50"/>
      <c r="F79" s="34"/>
      <c r="G79" s="34"/>
      <c r="H79" s="34"/>
      <c r="I79" s="34"/>
      <c r="J79" s="34"/>
      <c r="K79" s="62" t="str">
        <f aca="false">IF(J79="","",SUMPRODUCT(ISNUMBER(SEARCH(","&amp;EV_ID&amp;",",","&amp;SUBSTITUTE(J79," ","")&amp;","))*(EV_ID&lt;&gt;"")))</f>
        <v/>
      </c>
      <c r="L79" s="34"/>
      <c r="M79" s="34"/>
      <c r="N79" s="34"/>
      <c r="O79" s="50"/>
      <c r="P79" s="50"/>
      <c r="Q79" s="51"/>
      <c r="R79" s="34"/>
      <c r="S79" s="54" t="str">
        <f aca="false">IF(A79="","",IF(M79="Confirmed weakness","Confirmed weakness",IF(OR(M79="Evidence insufficient",L79="Insufficient"),"Assurance limitation (evidence insufficient)",IF(AND(G79="Adequate",H79="Implemented",I79="Operating",L79="Sufficient"),"Design, implementation and operation evidenced",IF(AND(G79="Adequate",H79="Implemented"),"Designed and implemented; operation not evidenced",IF(G79="Adequate","Designed; implementation not evidenced","Not yet determined"))))))</f>
        <v/>
      </c>
      <c r="T79" s="54" t="str">
        <f aca="false">IF(A79="","",IF(AND(L79="Insufficient",N79="Ineffective"),"CHECK: evidence gap rated Ineffective - not permitted; record as Evidence insufficient",IF(AND(N79="Ineffective",M79&lt;&gt;"Confirmed weakness",M79&lt;&gt;"Exception identified"),"CHECK: Ineffective without a confirmed weakness or exception","OK")))</f>
        <v/>
      </c>
      <c r="U79" s="54" t="str">
        <f aca="false">IF(A79="","",IF(COUNTIF(CA_ID,A79)&gt;1,"CHECK: duplicate ID",IF(B79="","CHECK: Supplier ID missing",IF(COUNTIF(INV_ID,B79)=0,"CHECK: Supplier ID not in inventory",IF(AND(E79&lt;&gt;"",COUNTIF(RSK_ID,E79)=0),"CHECK: Risk ID not found",IF(AND(E79&lt;&gt;"",COUNTIF(RSK_ID,E79)&gt;0,IFERROR(INDEX(RSK_SUP,MATCH(E79,RSK_ID,0)),"")&lt;&gt;B79),"CHECK: Risk belongs to a different supplier",IF(AND(O79&lt;&gt;"",COUNTIF(FND_ID,O79)=0),"CHECK: Finding ID not found",IF(AND(J79&lt;&gt;"",K79&lt;LEN(SUBSTITUTE(J79," ",""))-LEN(SUBSTITUTE(SUBSTITUTE(J79," ",""),",",""))+1),"CHECK: some Evidence IDs not found","OK"))))))))</f>
        <v/>
      </c>
    </row>
    <row r="80" customFormat="false" ht="15" hidden="false" customHeight="false" outlineLevel="0" collapsed="false">
      <c r="A80" s="50"/>
      <c r="B80" s="50"/>
      <c r="C80" s="59" t="str">
        <f aca="false">IF(B80="","",IFERROR(INDEX(INV_NAME,MATCH(B80,INV_ID,0)),"CHECK: Supplier ID not found"))</f>
        <v/>
      </c>
      <c r="D80" s="34"/>
      <c r="E80" s="50"/>
      <c r="F80" s="34"/>
      <c r="G80" s="34"/>
      <c r="H80" s="34"/>
      <c r="I80" s="34"/>
      <c r="J80" s="34"/>
      <c r="K80" s="62" t="str">
        <f aca="false">IF(J80="","",SUMPRODUCT(ISNUMBER(SEARCH(","&amp;EV_ID&amp;",",","&amp;SUBSTITUTE(J80," ","")&amp;","))*(EV_ID&lt;&gt;"")))</f>
        <v/>
      </c>
      <c r="L80" s="34"/>
      <c r="M80" s="34"/>
      <c r="N80" s="34"/>
      <c r="O80" s="50"/>
      <c r="P80" s="50"/>
      <c r="Q80" s="51"/>
      <c r="R80" s="34"/>
      <c r="S80" s="54" t="str">
        <f aca="false">IF(A80="","",IF(M80="Confirmed weakness","Confirmed weakness",IF(OR(M80="Evidence insufficient",L80="Insufficient"),"Assurance limitation (evidence insufficient)",IF(AND(G80="Adequate",H80="Implemented",I80="Operating",L80="Sufficient"),"Design, implementation and operation evidenced",IF(AND(G80="Adequate",H80="Implemented"),"Designed and implemented; operation not evidenced",IF(G80="Adequate","Designed; implementation not evidenced","Not yet determined"))))))</f>
        <v/>
      </c>
      <c r="T80" s="54" t="str">
        <f aca="false">IF(A80="","",IF(AND(L80="Insufficient",N80="Ineffective"),"CHECK: evidence gap rated Ineffective - not permitted; record as Evidence insufficient",IF(AND(N80="Ineffective",M80&lt;&gt;"Confirmed weakness",M80&lt;&gt;"Exception identified"),"CHECK: Ineffective without a confirmed weakness or exception","OK")))</f>
        <v/>
      </c>
      <c r="U80" s="54" t="str">
        <f aca="false">IF(A80="","",IF(COUNTIF(CA_ID,A80)&gt;1,"CHECK: duplicate ID",IF(B80="","CHECK: Supplier ID missing",IF(COUNTIF(INV_ID,B80)=0,"CHECK: Supplier ID not in inventory",IF(AND(E80&lt;&gt;"",COUNTIF(RSK_ID,E80)=0),"CHECK: Risk ID not found",IF(AND(E80&lt;&gt;"",COUNTIF(RSK_ID,E80)&gt;0,IFERROR(INDEX(RSK_SUP,MATCH(E80,RSK_ID,0)),"")&lt;&gt;B80),"CHECK: Risk belongs to a different supplier",IF(AND(O80&lt;&gt;"",COUNTIF(FND_ID,O80)=0),"CHECK: Finding ID not found",IF(AND(J80&lt;&gt;"",K80&lt;LEN(SUBSTITUTE(J80," ",""))-LEN(SUBSTITUTE(SUBSTITUTE(J80," ",""),",",""))+1),"CHECK: some Evidence IDs not found","OK"))))))))</f>
        <v/>
      </c>
    </row>
    <row r="81" customFormat="false" ht="15" hidden="false" customHeight="false" outlineLevel="0" collapsed="false">
      <c r="A81" s="50"/>
      <c r="B81" s="50"/>
      <c r="C81" s="59" t="str">
        <f aca="false">IF(B81="","",IFERROR(INDEX(INV_NAME,MATCH(B81,INV_ID,0)),"CHECK: Supplier ID not found"))</f>
        <v/>
      </c>
      <c r="D81" s="34"/>
      <c r="E81" s="50"/>
      <c r="F81" s="34"/>
      <c r="G81" s="34"/>
      <c r="H81" s="34"/>
      <c r="I81" s="34"/>
      <c r="J81" s="34"/>
      <c r="K81" s="62" t="str">
        <f aca="false">IF(J81="","",SUMPRODUCT(ISNUMBER(SEARCH(","&amp;EV_ID&amp;",",","&amp;SUBSTITUTE(J81," ","")&amp;","))*(EV_ID&lt;&gt;"")))</f>
        <v/>
      </c>
      <c r="L81" s="34"/>
      <c r="M81" s="34"/>
      <c r="N81" s="34"/>
      <c r="O81" s="50"/>
      <c r="P81" s="50"/>
      <c r="Q81" s="51"/>
      <c r="R81" s="34"/>
      <c r="S81" s="54" t="str">
        <f aca="false">IF(A81="","",IF(M81="Confirmed weakness","Confirmed weakness",IF(OR(M81="Evidence insufficient",L81="Insufficient"),"Assurance limitation (evidence insufficient)",IF(AND(G81="Adequate",H81="Implemented",I81="Operating",L81="Sufficient"),"Design, implementation and operation evidenced",IF(AND(G81="Adequate",H81="Implemented"),"Designed and implemented; operation not evidenced",IF(G81="Adequate","Designed; implementation not evidenced","Not yet determined"))))))</f>
        <v/>
      </c>
      <c r="T81" s="54" t="str">
        <f aca="false">IF(A81="","",IF(AND(L81="Insufficient",N81="Ineffective"),"CHECK: evidence gap rated Ineffective - not permitted; record as Evidence insufficient",IF(AND(N81="Ineffective",M81&lt;&gt;"Confirmed weakness",M81&lt;&gt;"Exception identified"),"CHECK: Ineffective without a confirmed weakness or exception","OK")))</f>
        <v/>
      </c>
      <c r="U81" s="54" t="str">
        <f aca="false">IF(A81="","",IF(COUNTIF(CA_ID,A81)&gt;1,"CHECK: duplicate ID",IF(B81="","CHECK: Supplier ID missing",IF(COUNTIF(INV_ID,B81)=0,"CHECK: Supplier ID not in inventory",IF(AND(E81&lt;&gt;"",COUNTIF(RSK_ID,E81)=0),"CHECK: Risk ID not found",IF(AND(E81&lt;&gt;"",COUNTIF(RSK_ID,E81)&gt;0,IFERROR(INDEX(RSK_SUP,MATCH(E81,RSK_ID,0)),"")&lt;&gt;B81),"CHECK: Risk belongs to a different supplier",IF(AND(O81&lt;&gt;"",COUNTIF(FND_ID,O81)=0),"CHECK: Finding ID not found",IF(AND(J81&lt;&gt;"",K81&lt;LEN(SUBSTITUTE(J81," ",""))-LEN(SUBSTITUTE(SUBSTITUTE(J81," ",""),",",""))+1),"CHECK: some Evidence IDs not found","OK"))))))))</f>
        <v/>
      </c>
    </row>
    <row r="82" customFormat="false" ht="15" hidden="false" customHeight="false" outlineLevel="0" collapsed="false">
      <c r="A82" s="50"/>
      <c r="B82" s="50"/>
      <c r="C82" s="59" t="str">
        <f aca="false">IF(B82="","",IFERROR(INDEX(INV_NAME,MATCH(B82,INV_ID,0)),"CHECK: Supplier ID not found"))</f>
        <v/>
      </c>
      <c r="D82" s="34"/>
      <c r="E82" s="50"/>
      <c r="F82" s="34"/>
      <c r="G82" s="34"/>
      <c r="H82" s="34"/>
      <c r="I82" s="34"/>
      <c r="J82" s="34"/>
      <c r="K82" s="62" t="str">
        <f aca="false">IF(J82="","",SUMPRODUCT(ISNUMBER(SEARCH(","&amp;EV_ID&amp;",",","&amp;SUBSTITUTE(J82," ","")&amp;","))*(EV_ID&lt;&gt;"")))</f>
        <v/>
      </c>
      <c r="L82" s="34"/>
      <c r="M82" s="34"/>
      <c r="N82" s="34"/>
      <c r="O82" s="50"/>
      <c r="P82" s="50"/>
      <c r="Q82" s="51"/>
      <c r="R82" s="34"/>
      <c r="S82" s="54" t="str">
        <f aca="false">IF(A82="","",IF(M82="Confirmed weakness","Confirmed weakness",IF(OR(M82="Evidence insufficient",L82="Insufficient"),"Assurance limitation (evidence insufficient)",IF(AND(G82="Adequate",H82="Implemented",I82="Operating",L82="Sufficient"),"Design, implementation and operation evidenced",IF(AND(G82="Adequate",H82="Implemented"),"Designed and implemented; operation not evidenced",IF(G82="Adequate","Designed; implementation not evidenced","Not yet determined"))))))</f>
        <v/>
      </c>
      <c r="T82" s="54" t="str">
        <f aca="false">IF(A82="","",IF(AND(L82="Insufficient",N82="Ineffective"),"CHECK: evidence gap rated Ineffective - not permitted; record as Evidence insufficient",IF(AND(N82="Ineffective",M82&lt;&gt;"Confirmed weakness",M82&lt;&gt;"Exception identified"),"CHECK: Ineffective without a confirmed weakness or exception","OK")))</f>
        <v/>
      </c>
      <c r="U82" s="54" t="str">
        <f aca="false">IF(A82="","",IF(COUNTIF(CA_ID,A82)&gt;1,"CHECK: duplicate ID",IF(B82="","CHECK: Supplier ID missing",IF(COUNTIF(INV_ID,B82)=0,"CHECK: Supplier ID not in inventory",IF(AND(E82&lt;&gt;"",COUNTIF(RSK_ID,E82)=0),"CHECK: Risk ID not found",IF(AND(E82&lt;&gt;"",COUNTIF(RSK_ID,E82)&gt;0,IFERROR(INDEX(RSK_SUP,MATCH(E82,RSK_ID,0)),"")&lt;&gt;B82),"CHECK: Risk belongs to a different supplier",IF(AND(O82&lt;&gt;"",COUNTIF(FND_ID,O82)=0),"CHECK: Finding ID not found",IF(AND(J82&lt;&gt;"",K82&lt;LEN(SUBSTITUTE(J82," ",""))-LEN(SUBSTITUTE(SUBSTITUTE(J82," ",""),",",""))+1),"CHECK: some Evidence IDs not found","OK"))))))))</f>
        <v/>
      </c>
    </row>
    <row r="83" customFormat="false" ht="15" hidden="false" customHeight="false" outlineLevel="0" collapsed="false">
      <c r="A83" s="50"/>
      <c r="B83" s="50"/>
      <c r="C83" s="59" t="str">
        <f aca="false">IF(B83="","",IFERROR(INDEX(INV_NAME,MATCH(B83,INV_ID,0)),"CHECK: Supplier ID not found"))</f>
        <v/>
      </c>
      <c r="D83" s="34"/>
      <c r="E83" s="50"/>
      <c r="F83" s="34"/>
      <c r="G83" s="34"/>
      <c r="H83" s="34"/>
      <c r="I83" s="34"/>
      <c r="J83" s="34"/>
      <c r="K83" s="62" t="str">
        <f aca="false">IF(J83="","",SUMPRODUCT(ISNUMBER(SEARCH(","&amp;EV_ID&amp;",",","&amp;SUBSTITUTE(J83," ","")&amp;","))*(EV_ID&lt;&gt;"")))</f>
        <v/>
      </c>
      <c r="L83" s="34"/>
      <c r="M83" s="34"/>
      <c r="N83" s="34"/>
      <c r="O83" s="50"/>
      <c r="P83" s="50"/>
      <c r="Q83" s="51"/>
      <c r="R83" s="34"/>
      <c r="S83" s="54" t="str">
        <f aca="false">IF(A83="","",IF(M83="Confirmed weakness","Confirmed weakness",IF(OR(M83="Evidence insufficient",L83="Insufficient"),"Assurance limitation (evidence insufficient)",IF(AND(G83="Adequate",H83="Implemented",I83="Operating",L83="Sufficient"),"Design, implementation and operation evidenced",IF(AND(G83="Adequate",H83="Implemented"),"Designed and implemented; operation not evidenced",IF(G83="Adequate","Designed; implementation not evidenced","Not yet determined"))))))</f>
        <v/>
      </c>
      <c r="T83" s="54" t="str">
        <f aca="false">IF(A83="","",IF(AND(L83="Insufficient",N83="Ineffective"),"CHECK: evidence gap rated Ineffective - not permitted; record as Evidence insufficient",IF(AND(N83="Ineffective",M83&lt;&gt;"Confirmed weakness",M83&lt;&gt;"Exception identified"),"CHECK: Ineffective without a confirmed weakness or exception","OK")))</f>
        <v/>
      </c>
      <c r="U83" s="54" t="str">
        <f aca="false">IF(A83="","",IF(COUNTIF(CA_ID,A83)&gt;1,"CHECK: duplicate ID",IF(B83="","CHECK: Supplier ID missing",IF(COUNTIF(INV_ID,B83)=0,"CHECK: Supplier ID not in inventory",IF(AND(E83&lt;&gt;"",COUNTIF(RSK_ID,E83)=0),"CHECK: Risk ID not found",IF(AND(E83&lt;&gt;"",COUNTIF(RSK_ID,E83)&gt;0,IFERROR(INDEX(RSK_SUP,MATCH(E83,RSK_ID,0)),"")&lt;&gt;B83),"CHECK: Risk belongs to a different supplier",IF(AND(O83&lt;&gt;"",COUNTIF(FND_ID,O83)=0),"CHECK: Finding ID not found",IF(AND(J83&lt;&gt;"",K83&lt;LEN(SUBSTITUTE(J83," ",""))-LEN(SUBSTITUTE(SUBSTITUTE(J83," ",""),",",""))+1),"CHECK: some Evidence IDs not found","OK"))))))))</f>
        <v/>
      </c>
    </row>
    <row r="84" customFormat="false" ht="15" hidden="false" customHeight="false" outlineLevel="0" collapsed="false">
      <c r="A84" s="50"/>
      <c r="B84" s="50"/>
      <c r="C84" s="59" t="str">
        <f aca="false">IF(B84="","",IFERROR(INDEX(INV_NAME,MATCH(B84,INV_ID,0)),"CHECK: Supplier ID not found"))</f>
        <v/>
      </c>
      <c r="D84" s="34"/>
      <c r="E84" s="50"/>
      <c r="F84" s="34"/>
      <c r="G84" s="34"/>
      <c r="H84" s="34"/>
      <c r="I84" s="34"/>
      <c r="J84" s="34"/>
      <c r="K84" s="62" t="str">
        <f aca="false">IF(J84="","",SUMPRODUCT(ISNUMBER(SEARCH(","&amp;EV_ID&amp;",",","&amp;SUBSTITUTE(J84," ","")&amp;","))*(EV_ID&lt;&gt;"")))</f>
        <v/>
      </c>
      <c r="L84" s="34"/>
      <c r="M84" s="34"/>
      <c r="N84" s="34"/>
      <c r="O84" s="50"/>
      <c r="P84" s="50"/>
      <c r="Q84" s="51"/>
      <c r="R84" s="34"/>
      <c r="S84" s="54" t="str">
        <f aca="false">IF(A84="","",IF(M84="Confirmed weakness","Confirmed weakness",IF(OR(M84="Evidence insufficient",L84="Insufficient"),"Assurance limitation (evidence insufficient)",IF(AND(G84="Adequate",H84="Implemented",I84="Operating",L84="Sufficient"),"Design, implementation and operation evidenced",IF(AND(G84="Adequate",H84="Implemented"),"Designed and implemented; operation not evidenced",IF(G84="Adequate","Designed; implementation not evidenced","Not yet determined"))))))</f>
        <v/>
      </c>
      <c r="T84" s="54" t="str">
        <f aca="false">IF(A84="","",IF(AND(L84="Insufficient",N84="Ineffective"),"CHECK: evidence gap rated Ineffective - not permitted; record as Evidence insufficient",IF(AND(N84="Ineffective",M84&lt;&gt;"Confirmed weakness",M84&lt;&gt;"Exception identified"),"CHECK: Ineffective without a confirmed weakness or exception","OK")))</f>
        <v/>
      </c>
      <c r="U84" s="54" t="str">
        <f aca="false">IF(A84="","",IF(COUNTIF(CA_ID,A84)&gt;1,"CHECK: duplicate ID",IF(B84="","CHECK: Supplier ID missing",IF(COUNTIF(INV_ID,B84)=0,"CHECK: Supplier ID not in inventory",IF(AND(E84&lt;&gt;"",COUNTIF(RSK_ID,E84)=0),"CHECK: Risk ID not found",IF(AND(E84&lt;&gt;"",COUNTIF(RSK_ID,E84)&gt;0,IFERROR(INDEX(RSK_SUP,MATCH(E84,RSK_ID,0)),"")&lt;&gt;B84),"CHECK: Risk belongs to a different supplier",IF(AND(O84&lt;&gt;"",COUNTIF(FND_ID,O84)=0),"CHECK: Finding ID not found",IF(AND(J84&lt;&gt;"",K84&lt;LEN(SUBSTITUTE(J84," ",""))-LEN(SUBSTITUTE(SUBSTITUTE(J84," ",""),",",""))+1),"CHECK: some Evidence IDs not found","OK"))))))))</f>
        <v/>
      </c>
    </row>
    <row r="85" customFormat="false" ht="15" hidden="false" customHeight="false" outlineLevel="0" collapsed="false">
      <c r="A85" s="50"/>
      <c r="B85" s="50"/>
      <c r="C85" s="59" t="str">
        <f aca="false">IF(B85="","",IFERROR(INDEX(INV_NAME,MATCH(B85,INV_ID,0)),"CHECK: Supplier ID not found"))</f>
        <v/>
      </c>
      <c r="D85" s="34"/>
      <c r="E85" s="50"/>
      <c r="F85" s="34"/>
      <c r="G85" s="34"/>
      <c r="H85" s="34"/>
      <c r="I85" s="34"/>
      <c r="J85" s="34"/>
      <c r="K85" s="62" t="str">
        <f aca="false">IF(J85="","",SUMPRODUCT(ISNUMBER(SEARCH(","&amp;EV_ID&amp;",",","&amp;SUBSTITUTE(J85," ","")&amp;","))*(EV_ID&lt;&gt;"")))</f>
        <v/>
      </c>
      <c r="L85" s="34"/>
      <c r="M85" s="34"/>
      <c r="N85" s="34"/>
      <c r="O85" s="50"/>
      <c r="P85" s="50"/>
      <c r="Q85" s="51"/>
      <c r="R85" s="34"/>
      <c r="S85" s="54" t="str">
        <f aca="false">IF(A85="","",IF(M85="Confirmed weakness","Confirmed weakness",IF(OR(M85="Evidence insufficient",L85="Insufficient"),"Assurance limitation (evidence insufficient)",IF(AND(G85="Adequate",H85="Implemented",I85="Operating",L85="Sufficient"),"Design, implementation and operation evidenced",IF(AND(G85="Adequate",H85="Implemented"),"Designed and implemented; operation not evidenced",IF(G85="Adequate","Designed; implementation not evidenced","Not yet determined"))))))</f>
        <v/>
      </c>
      <c r="T85" s="54" t="str">
        <f aca="false">IF(A85="","",IF(AND(L85="Insufficient",N85="Ineffective"),"CHECK: evidence gap rated Ineffective - not permitted; record as Evidence insufficient",IF(AND(N85="Ineffective",M85&lt;&gt;"Confirmed weakness",M85&lt;&gt;"Exception identified"),"CHECK: Ineffective without a confirmed weakness or exception","OK")))</f>
        <v/>
      </c>
      <c r="U85" s="54" t="str">
        <f aca="false">IF(A85="","",IF(COUNTIF(CA_ID,A85)&gt;1,"CHECK: duplicate ID",IF(B85="","CHECK: Supplier ID missing",IF(COUNTIF(INV_ID,B85)=0,"CHECK: Supplier ID not in inventory",IF(AND(E85&lt;&gt;"",COUNTIF(RSK_ID,E85)=0),"CHECK: Risk ID not found",IF(AND(E85&lt;&gt;"",COUNTIF(RSK_ID,E85)&gt;0,IFERROR(INDEX(RSK_SUP,MATCH(E85,RSK_ID,0)),"")&lt;&gt;B85),"CHECK: Risk belongs to a different supplier",IF(AND(O85&lt;&gt;"",COUNTIF(FND_ID,O85)=0),"CHECK: Finding ID not found",IF(AND(J85&lt;&gt;"",K85&lt;LEN(SUBSTITUTE(J85," ",""))-LEN(SUBSTITUTE(SUBSTITUTE(J85," ",""),",",""))+1),"CHECK: some Evidence IDs not found","OK"))))))))</f>
        <v/>
      </c>
    </row>
    <row r="86" customFormat="false" ht="15" hidden="false" customHeight="false" outlineLevel="0" collapsed="false">
      <c r="A86" s="50"/>
      <c r="B86" s="50"/>
      <c r="C86" s="59" t="str">
        <f aca="false">IF(B86="","",IFERROR(INDEX(INV_NAME,MATCH(B86,INV_ID,0)),"CHECK: Supplier ID not found"))</f>
        <v/>
      </c>
      <c r="D86" s="34"/>
      <c r="E86" s="50"/>
      <c r="F86" s="34"/>
      <c r="G86" s="34"/>
      <c r="H86" s="34"/>
      <c r="I86" s="34"/>
      <c r="J86" s="34"/>
      <c r="K86" s="62" t="str">
        <f aca="false">IF(J86="","",SUMPRODUCT(ISNUMBER(SEARCH(","&amp;EV_ID&amp;",",","&amp;SUBSTITUTE(J86," ","")&amp;","))*(EV_ID&lt;&gt;"")))</f>
        <v/>
      </c>
      <c r="L86" s="34"/>
      <c r="M86" s="34"/>
      <c r="N86" s="34"/>
      <c r="O86" s="50"/>
      <c r="P86" s="50"/>
      <c r="Q86" s="51"/>
      <c r="R86" s="34"/>
      <c r="S86" s="54" t="str">
        <f aca="false">IF(A86="","",IF(M86="Confirmed weakness","Confirmed weakness",IF(OR(M86="Evidence insufficient",L86="Insufficient"),"Assurance limitation (evidence insufficient)",IF(AND(G86="Adequate",H86="Implemented",I86="Operating",L86="Sufficient"),"Design, implementation and operation evidenced",IF(AND(G86="Adequate",H86="Implemented"),"Designed and implemented; operation not evidenced",IF(G86="Adequate","Designed; implementation not evidenced","Not yet determined"))))))</f>
        <v/>
      </c>
      <c r="T86" s="54" t="str">
        <f aca="false">IF(A86="","",IF(AND(L86="Insufficient",N86="Ineffective"),"CHECK: evidence gap rated Ineffective - not permitted; record as Evidence insufficient",IF(AND(N86="Ineffective",M86&lt;&gt;"Confirmed weakness",M86&lt;&gt;"Exception identified"),"CHECK: Ineffective without a confirmed weakness or exception","OK")))</f>
        <v/>
      </c>
      <c r="U86" s="54" t="str">
        <f aca="false">IF(A86="","",IF(COUNTIF(CA_ID,A86)&gt;1,"CHECK: duplicate ID",IF(B86="","CHECK: Supplier ID missing",IF(COUNTIF(INV_ID,B86)=0,"CHECK: Supplier ID not in inventory",IF(AND(E86&lt;&gt;"",COUNTIF(RSK_ID,E86)=0),"CHECK: Risk ID not found",IF(AND(E86&lt;&gt;"",COUNTIF(RSK_ID,E86)&gt;0,IFERROR(INDEX(RSK_SUP,MATCH(E86,RSK_ID,0)),"")&lt;&gt;B86),"CHECK: Risk belongs to a different supplier",IF(AND(O86&lt;&gt;"",COUNTIF(FND_ID,O86)=0),"CHECK: Finding ID not found",IF(AND(J86&lt;&gt;"",K86&lt;LEN(SUBSTITUTE(J86," ",""))-LEN(SUBSTITUTE(SUBSTITUTE(J86," ",""),",",""))+1),"CHECK: some Evidence IDs not found","OK"))))))))</f>
        <v/>
      </c>
    </row>
    <row r="87" customFormat="false" ht="15" hidden="false" customHeight="false" outlineLevel="0" collapsed="false">
      <c r="A87" s="50"/>
      <c r="B87" s="50"/>
      <c r="C87" s="59" t="str">
        <f aca="false">IF(B87="","",IFERROR(INDEX(INV_NAME,MATCH(B87,INV_ID,0)),"CHECK: Supplier ID not found"))</f>
        <v/>
      </c>
      <c r="D87" s="34"/>
      <c r="E87" s="50"/>
      <c r="F87" s="34"/>
      <c r="G87" s="34"/>
      <c r="H87" s="34"/>
      <c r="I87" s="34"/>
      <c r="J87" s="34"/>
      <c r="K87" s="62" t="str">
        <f aca="false">IF(J87="","",SUMPRODUCT(ISNUMBER(SEARCH(","&amp;EV_ID&amp;",",","&amp;SUBSTITUTE(J87," ","")&amp;","))*(EV_ID&lt;&gt;"")))</f>
        <v/>
      </c>
      <c r="L87" s="34"/>
      <c r="M87" s="34"/>
      <c r="N87" s="34"/>
      <c r="O87" s="50"/>
      <c r="P87" s="50"/>
      <c r="Q87" s="51"/>
      <c r="R87" s="34"/>
      <c r="S87" s="54" t="str">
        <f aca="false">IF(A87="","",IF(M87="Confirmed weakness","Confirmed weakness",IF(OR(M87="Evidence insufficient",L87="Insufficient"),"Assurance limitation (evidence insufficient)",IF(AND(G87="Adequate",H87="Implemented",I87="Operating",L87="Sufficient"),"Design, implementation and operation evidenced",IF(AND(G87="Adequate",H87="Implemented"),"Designed and implemented; operation not evidenced",IF(G87="Adequate","Designed; implementation not evidenced","Not yet determined"))))))</f>
        <v/>
      </c>
      <c r="T87" s="54" t="str">
        <f aca="false">IF(A87="","",IF(AND(L87="Insufficient",N87="Ineffective"),"CHECK: evidence gap rated Ineffective - not permitted; record as Evidence insufficient",IF(AND(N87="Ineffective",M87&lt;&gt;"Confirmed weakness",M87&lt;&gt;"Exception identified"),"CHECK: Ineffective without a confirmed weakness or exception","OK")))</f>
        <v/>
      </c>
      <c r="U87" s="54" t="str">
        <f aca="false">IF(A87="","",IF(COUNTIF(CA_ID,A87)&gt;1,"CHECK: duplicate ID",IF(B87="","CHECK: Supplier ID missing",IF(COUNTIF(INV_ID,B87)=0,"CHECK: Supplier ID not in inventory",IF(AND(E87&lt;&gt;"",COUNTIF(RSK_ID,E87)=0),"CHECK: Risk ID not found",IF(AND(E87&lt;&gt;"",COUNTIF(RSK_ID,E87)&gt;0,IFERROR(INDEX(RSK_SUP,MATCH(E87,RSK_ID,0)),"")&lt;&gt;B87),"CHECK: Risk belongs to a different supplier",IF(AND(O87&lt;&gt;"",COUNTIF(FND_ID,O87)=0),"CHECK: Finding ID not found",IF(AND(J87&lt;&gt;"",K87&lt;LEN(SUBSTITUTE(J87," ",""))-LEN(SUBSTITUTE(SUBSTITUTE(J87," ",""),",",""))+1),"CHECK: some Evidence IDs not found","OK"))))))))</f>
        <v/>
      </c>
    </row>
    <row r="88" customFormat="false" ht="15" hidden="false" customHeight="false" outlineLevel="0" collapsed="false">
      <c r="A88" s="50"/>
      <c r="B88" s="50"/>
      <c r="C88" s="59" t="str">
        <f aca="false">IF(B88="","",IFERROR(INDEX(INV_NAME,MATCH(B88,INV_ID,0)),"CHECK: Supplier ID not found"))</f>
        <v/>
      </c>
      <c r="D88" s="34"/>
      <c r="E88" s="50"/>
      <c r="F88" s="34"/>
      <c r="G88" s="34"/>
      <c r="H88" s="34"/>
      <c r="I88" s="34"/>
      <c r="J88" s="34"/>
      <c r="K88" s="62" t="str">
        <f aca="false">IF(J88="","",SUMPRODUCT(ISNUMBER(SEARCH(","&amp;EV_ID&amp;",",","&amp;SUBSTITUTE(J88," ","")&amp;","))*(EV_ID&lt;&gt;"")))</f>
        <v/>
      </c>
      <c r="L88" s="34"/>
      <c r="M88" s="34"/>
      <c r="N88" s="34"/>
      <c r="O88" s="50"/>
      <c r="P88" s="50"/>
      <c r="Q88" s="51"/>
      <c r="R88" s="34"/>
      <c r="S88" s="54" t="str">
        <f aca="false">IF(A88="","",IF(M88="Confirmed weakness","Confirmed weakness",IF(OR(M88="Evidence insufficient",L88="Insufficient"),"Assurance limitation (evidence insufficient)",IF(AND(G88="Adequate",H88="Implemented",I88="Operating",L88="Sufficient"),"Design, implementation and operation evidenced",IF(AND(G88="Adequate",H88="Implemented"),"Designed and implemented; operation not evidenced",IF(G88="Adequate","Designed; implementation not evidenced","Not yet determined"))))))</f>
        <v/>
      </c>
      <c r="T88" s="54" t="str">
        <f aca="false">IF(A88="","",IF(AND(L88="Insufficient",N88="Ineffective"),"CHECK: evidence gap rated Ineffective - not permitted; record as Evidence insufficient",IF(AND(N88="Ineffective",M88&lt;&gt;"Confirmed weakness",M88&lt;&gt;"Exception identified"),"CHECK: Ineffective without a confirmed weakness or exception","OK")))</f>
        <v/>
      </c>
      <c r="U88" s="54" t="str">
        <f aca="false">IF(A88="","",IF(COUNTIF(CA_ID,A88)&gt;1,"CHECK: duplicate ID",IF(B88="","CHECK: Supplier ID missing",IF(COUNTIF(INV_ID,B88)=0,"CHECK: Supplier ID not in inventory",IF(AND(E88&lt;&gt;"",COUNTIF(RSK_ID,E88)=0),"CHECK: Risk ID not found",IF(AND(E88&lt;&gt;"",COUNTIF(RSK_ID,E88)&gt;0,IFERROR(INDEX(RSK_SUP,MATCH(E88,RSK_ID,0)),"")&lt;&gt;B88),"CHECK: Risk belongs to a different supplier",IF(AND(O88&lt;&gt;"",COUNTIF(FND_ID,O88)=0),"CHECK: Finding ID not found",IF(AND(J88&lt;&gt;"",K88&lt;LEN(SUBSTITUTE(J88," ",""))-LEN(SUBSTITUTE(SUBSTITUTE(J88," ",""),",",""))+1),"CHECK: some Evidence IDs not found","OK"))))))))</f>
        <v/>
      </c>
    </row>
    <row r="89" customFormat="false" ht="15" hidden="false" customHeight="false" outlineLevel="0" collapsed="false">
      <c r="A89" s="50"/>
      <c r="B89" s="50"/>
      <c r="C89" s="59" t="str">
        <f aca="false">IF(B89="","",IFERROR(INDEX(INV_NAME,MATCH(B89,INV_ID,0)),"CHECK: Supplier ID not found"))</f>
        <v/>
      </c>
      <c r="D89" s="34"/>
      <c r="E89" s="50"/>
      <c r="F89" s="34"/>
      <c r="G89" s="34"/>
      <c r="H89" s="34"/>
      <c r="I89" s="34"/>
      <c r="J89" s="34"/>
      <c r="K89" s="62" t="str">
        <f aca="false">IF(J89="","",SUMPRODUCT(ISNUMBER(SEARCH(","&amp;EV_ID&amp;",",","&amp;SUBSTITUTE(J89," ","")&amp;","))*(EV_ID&lt;&gt;"")))</f>
        <v/>
      </c>
      <c r="L89" s="34"/>
      <c r="M89" s="34"/>
      <c r="N89" s="34"/>
      <c r="O89" s="50"/>
      <c r="P89" s="50"/>
      <c r="Q89" s="51"/>
      <c r="R89" s="34"/>
      <c r="S89" s="54" t="str">
        <f aca="false">IF(A89="","",IF(M89="Confirmed weakness","Confirmed weakness",IF(OR(M89="Evidence insufficient",L89="Insufficient"),"Assurance limitation (evidence insufficient)",IF(AND(G89="Adequate",H89="Implemented",I89="Operating",L89="Sufficient"),"Design, implementation and operation evidenced",IF(AND(G89="Adequate",H89="Implemented"),"Designed and implemented; operation not evidenced",IF(G89="Adequate","Designed; implementation not evidenced","Not yet determined"))))))</f>
        <v/>
      </c>
      <c r="T89" s="54" t="str">
        <f aca="false">IF(A89="","",IF(AND(L89="Insufficient",N89="Ineffective"),"CHECK: evidence gap rated Ineffective - not permitted; record as Evidence insufficient",IF(AND(N89="Ineffective",M89&lt;&gt;"Confirmed weakness",M89&lt;&gt;"Exception identified"),"CHECK: Ineffective without a confirmed weakness or exception","OK")))</f>
        <v/>
      </c>
      <c r="U89" s="54" t="str">
        <f aca="false">IF(A89="","",IF(COUNTIF(CA_ID,A89)&gt;1,"CHECK: duplicate ID",IF(B89="","CHECK: Supplier ID missing",IF(COUNTIF(INV_ID,B89)=0,"CHECK: Supplier ID not in inventory",IF(AND(E89&lt;&gt;"",COUNTIF(RSK_ID,E89)=0),"CHECK: Risk ID not found",IF(AND(E89&lt;&gt;"",COUNTIF(RSK_ID,E89)&gt;0,IFERROR(INDEX(RSK_SUP,MATCH(E89,RSK_ID,0)),"")&lt;&gt;B89),"CHECK: Risk belongs to a different supplier",IF(AND(O89&lt;&gt;"",COUNTIF(FND_ID,O89)=0),"CHECK: Finding ID not found",IF(AND(J89&lt;&gt;"",K89&lt;LEN(SUBSTITUTE(J89," ",""))-LEN(SUBSTITUTE(SUBSTITUTE(J89," ",""),",",""))+1),"CHECK: some Evidence IDs not found","OK"))))))))</f>
        <v/>
      </c>
    </row>
    <row r="90" customFormat="false" ht="15" hidden="false" customHeight="false" outlineLevel="0" collapsed="false">
      <c r="A90" s="50"/>
      <c r="B90" s="50"/>
      <c r="C90" s="59" t="str">
        <f aca="false">IF(B90="","",IFERROR(INDEX(INV_NAME,MATCH(B90,INV_ID,0)),"CHECK: Supplier ID not found"))</f>
        <v/>
      </c>
      <c r="D90" s="34"/>
      <c r="E90" s="50"/>
      <c r="F90" s="34"/>
      <c r="G90" s="34"/>
      <c r="H90" s="34"/>
      <c r="I90" s="34"/>
      <c r="J90" s="34"/>
      <c r="K90" s="62" t="str">
        <f aca="false">IF(J90="","",SUMPRODUCT(ISNUMBER(SEARCH(","&amp;EV_ID&amp;",",","&amp;SUBSTITUTE(J90," ","")&amp;","))*(EV_ID&lt;&gt;"")))</f>
        <v/>
      </c>
      <c r="L90" s="34"/>
      <c r="M90" s="34"/>
      <c r="N90" s="34"/>
      <c r="O90" s="50"/>
      <c r="P90" s="50"/>
      <c r="Q90" s="51"/>
      <c r="R90" s="34"/>
      <c r="S90" s="54" t="str">
        <f aca="false">IF(A90="","",IF(M90="Confirmed weakness","Confirmed weakness",IF(OR(M90="Evidence insufficient",L90="Insufficient"),"Assurance limitation (evidence insufficient)",IF(AND(G90="Adequate",H90="Implemented",I90="Operating",L90="Sufficient"),"Design, implementation and operation evidenced",IF(AND(G90="Adequate",H90="Implemented"),"Designed and implemented; operation not evidenced",IF(G90="Adequate","Designed; implementation not evidenced","Not yet determined"))))))</f>
        <v/>
      </c>
      <c r="T90" s="54" t="str">
        <f aca="false">IF(A90="","",IF(AND(L90="Insufficient",N90="Ineffective"),"CHECK: evidence gap rated Ineffective - not permitted; record as Evidence insufficient",IF(AND(N90="Ineffective",M90&lt;&gt;"Confirmed weakness",M90&lt;&gt;"Exception identified"),"CHECK: Ineffective without a confirmed weakness or exception","OK")))</f>
        <v/>
      </c>
      <c r="U90" s="54" t="str">
        <f aca="false">IF(A90="","",IF(COUNTIF(CA_ID,A90)&gt;1,"CHECK: duplicate ID",IF(B90="","CHECK: Supplier ID missing",IF(COUNTIF(INV_ID,B90)=0,"CHECK: Supplier ID not in inventory",IF(AND(E90&lt;&gt;"",COUNTIF(RSK_ID,E90)=0),"CHECK: Risk ID not found",IF(AND(E90&lt;&gt;"",COUNTIF(RSK_ID,E90)&gt;0,IFERROR(INDEX(RSK_SUP,MATCH(E90,RSK_ID,0)),"")&lt;&gt;B90),"CHECK: Risk belongs to a different supplier",IF(AND(O90&lt;&gt;"",COUNTIF(FND_ID,O90)=0),"CHECK: Finding ID not found",IF(AND(J90&lt;&gt;"",K90&lt;LEN(SUBSTITUTE(J90," ",""))-LEN(SUBSTITUTE(SUBSTITUTE(J90," ",""),",",""))+1),"CHECK: some Evidence IDs not found","OK"))))))))</f>
        <v/>
      </c>
    </row>
    <row r="91" customFormat="false" ht="15" hidden="false" customHeight="false" outlineLevel="0" collapsed="false">
      <c r="A91" s="50"/>
      <c r="B91" s="50"/>
      <c r="C91" s="59" t="str">
        <f aca="false">IF(B91="","",IFERROR(INDEX(INV_NAME,MATCH(B91,INV_ID,0)),"CHECK: Supplier ID not found"))</f>
        <v/>
      </c>
      <c r="D91" s="34"/>
      <c r="E91" s="50"/>
      <c r="F91" s="34"/>
      <c r="G91" s="34"/>
      <c r="H91" s="34"/>
      <c r="I91" s="34"/>
      <c r="J91" s="34"/>
      <c r="K91" s="62" t="str">
        <f aca="false">IF(J91="","",SUMPRODUCT(ISNUMBER(SEARCH(","&amp;EV_ID&amp;",",","&amp;SUBSTITUTE(J91," ","")&amp;","))*(EV_ID&lt;&gt;"")))</f>
        <v/>
      </c>
      <c r="L91" s="34"/>
      <c r="M91" s="34"/>
      <c r="N91" s="34"/>
      <c r="O91" s="50"/>
      <c r="P91" s="50"/>
      <c r="Q91" s="51"/>
      <c r="R91" s="34"/>
      <c r="S91" s="54" t="str">
        <f aca="false">IF(A91="","",IF(M91="Confirmed weakness","Confirmed weakness",IF(OR(M91="Evidence insufficient",L91="Insufficient"),"Assurance limitation (evidence insufficient)",IF(AND(G91="Adequate",H91="Implemented",I91="Operating",L91="Sufficient"),"Design, implementation and operation evidenced",IF(AND(G91="Adequate",H91="Implemented"),"Designed and implemented; operation not evidenced",IF(G91="Adequate","Designed; implementation not evidenced","Not yet determined"))))))</f>
        <v/>
      </c>
      <c r="T91" s="54" t="str">
        <f aca="false">IF(A91="","",IF(AND(L91="Insufficient",N91="Ineffective"),"CHECK: evidence gap rated Ineffective - not permitted; record as Evidence insufficient",IF(AND(N91="Ineffective",M91&lt;&gt;"Confirmed weakness",M91&lt;&gt;"Exception identified"),"CHECK: Ineffective without a confirmed weakness or exception","OK")))</f>
        <v/>
      </c>
      <c r="U91" s="54" t="str">
        <f aca="false">IF(A91="","",IF(COUNTIF(CA_ID,A91)&gt;1,"CHECK: duplicate ID",IF(B91="","CHECK: Supplier ID missing",IF(COUNTIF(INV_ID,B91)=0,"CHECK: Supplier ID not in inventory",IF(AND(E91&lt;&gt;"",COUNTIF(RSK_ID,E91)=0),"CHECK: Risk ID not found",IF(AND(E91&lt;&gt;"",COUNTIF(RSK_ID,E91)&gt;0,IFERROR(INDEX(RSK_SUP,MATCH(E91,RSK_ID,0)),"")&lt;&gt;B91),"CHECK: Risk belongs to a different supplier",IF(AND(O91&lt;&gt;"",COUNTIF(FND_ID,O91)=0),"CHECK: Finding ID not found",IF(AND(J91&lt;&gt;"",K91&lt;LEN(SUBSTITUTE(J91," ",""))-LEN(SUBSTITUTE(SUBSTITUTE(J91," ",""),",",""))+1),"CHECK: some Evidence IDs not found","OK"))))))))</f>
        <v/>
      </c>
    </row>
    <row r="92" customFormat="false" ht="15" hidden="false" customHeight="false" outlineLevel="0" collapsed="false">
      <c r="A92" s="50"/>
      <c r="B92" s="50"/>
      <c r="C92" s="59" t="str">
        <f aca="false">IF(B92="","",IFERROR(INDEX(INV_NAME,MATCH(B92,INV_ID,0)),"CHECK: Supplier ID not found"))</f>
        <v/>
      </c>
      <c r="D92" s="34"/>
      <c r="E92" s="50"/>
      <c r="F92" s="34"/>
      <c r="G92" s="34"/>
      <c r="H92" s="34"/>
      <c r="I92" s="34"/>
      <c r="J92" s="34"/>
      <c r="K92" s="62" t="str">
        <f aca="false">IF(J92="","",SUMPRODUCT(ISNUMBER(SEARCH(","&amp;EV_ID&amp;",",","&amp;SUBSTITUTE(J92," ","")&amp;","))*(EV_ID&lt;&gt;"")))</f>
        <v/>
      </c>
      <c r="L92" s="34"/>
      <c r="M92" s="34"/>
      <c r="N92" s="34"/>
      <c r="O92" s="50"/>
      <c r="P92" s="50"/>
      <c r="Q92" s="51"/>
      <c r="R92" s="34"/>
      <c r="S92" s="54" t="str">
        <f aca="false">IF(A92="","",IF(M92="Confirmed weakness","Confirmed weakness",IF(OR(M92="Evidence insufficient",L92="Insufficient"),"Assurance limitation (evidence insufficient)",IF(AND(G92="Adequate",H92="Implemented",I92="Operating",L92="Sufficient"),"Design, implementation and operation evidenced",IF(AND(G92="Adequate",H92="Implemented"),"Designed and implemented; operation not evidenced",IF(G92="Adequate","Designed; implementation not evidenced","Not yet determined"))))))</f>
        <v/>
      </c>
      <c r="T92" s="54" t="str">
        <f aca="false">IF(A92="","",IF(AND(L92="Insufficient",N92="Ineffective"),"CHECK: evidence gap rated Ineffective - not permitted; record as Evidence insufficient",IF(AND(N92="Ineffective",M92&lt;&gt;"Confirmed weakness",M92&lt;&gt;"Exception identified"),"CHECK: Ineffective without a confirmed weakness or exception","OK")))</f>
        <v/>
      </c>
      <c r="U92" s="54" t="str">
        <f aca="false">IF(A92="","",IF(COUNTIF(CA_ID,A92)&gt;1,"CHECK: duplicate ID",IF(B92="","CHECK: Supplier ID missing",IF(COUNTIF(INV_ID,B92)=0,"CHECK: Supplier ID not in inventory",IF(AND(E92&lt;&gt;"",COUNTIF(RSK_ID,E92)=0),"CHECK: Risk ID not found",IF(AND(E92&lt;&gt;"",COUNTIF(RSK_ID,E92)&gt;0,IFERROR(INDEX(RSK_SUP,MATCH(E92,RSK_ID,0)),"")&lt;&gt;B92),"CHECK: Risk belongs to a different supplier",IF(AND(O92&lt;&gt;"",COUNTIF(FND_ID,O92)=0),"CHECK: Finding ID not found",IF(AND(J92&lt;&gt;"",K92&lt;LEN(SUBSTITUTE(J92," ",""))-LEN(SUBSTITUTE(SUBSTITUTE(J92," ",""),",",""))+1),"CHECK: some Evidence IDs not found","OK"))))))))</f>
        <v/>
      </c>
    </row>
    <row r="93" customFormat="false" ht="15" hidden="false" customHeight="false" outlineLevel="0" collapsed="false">
      <c r="A93" s="50"/>
      <c r="B93" s="50"/>
      <c r="C93" s="59" t="str">
        <f aca="false">IF(B93="","",IFERROR(INDEX(INV_NAME,MATCH(B93,INV_ID,0)),"CHECK: Supplier ID not found"))</f>
        <v/>
      </c>
      <c r="D93" s="34"/>
      <c r="E93" s="50"/>
      <c r="F93" s="34"/>
      <c r="G93" s="34"/>
      <c r="H93" s="34"/>
      <c r="I93" s="34"/>
      <c r="J93" s="34"/>
      <c r="K93" s="62" t="str">
        <f aca="false">IF(J93="","",SUMPRODUCT(ISNUMBER(SEARCH(","&amp;EV_ID&amp;",",","&amp;SUBSTITUTE(J93," ","")&amp;","))*(EV_ID&lt;&gt;"")))</f>
        <v/>
      </c>
      <c r="L93" s="34"/>
      <c r="M93" s="34"/>
      <c r="N93" s="34"/>
      <c r="O93" s="50"/>
      <c r="P93" s="50"/>
      <c r="Q93" s="51"/>
      <c r="R93" s="34"/>
      <c r="S93" s="54" t="str">
        <f aca="false">IF(A93="","",IF(M93="Confirmed weakness","Confirmed weakness",IF(OR(M93="Evidence insufficient",L93="Insufficient"),"Assurance limitation (evidence insufficient)",IF(AND(G93="Adequate",H93="Implemented",I93="Operating",L93="Sufficient"),"Design, implementation and operation evidenced",IF(AND(G93="Adequate",H93="Implemented"),"Designed and implemented; operation not evidenced",IF(G93="Adequate","Designed; implementation not evidenced","Not yet determined"))))))</f>
        <v/>
      </c>
      <c r="T93" s="54" t="str">
        <f aca="false">IF(A93="","",IF(AND(L93="Insufficient",N93="Ineffective"),"CHECK: evidence gap rated Ineffective - not permitted; record as Evidence insufficient",IF(AND(N93="Ineffective",M93&lt;&gt;"Confirmed weakness",M93&lt;&gt;"Exception identified"),"CHECK: Ineffective without a confirmed weakness or exception","OK")))</f>
        <v/>
      </c>
      <c r="U93" s="54" t="str">
        <f aca="false">IF(A93="","",IF(COUNTIF(CA_ID,A93)&gt;1,"CHECK: duplicate ID",IF(B93="","CHECK: Supplier ID missing",IF(COUNTIF(INV_ID,B93)=0,"CHECK: Supplier ID not in inventory",IF(AND(E93&lt;&gt;"",COUNTIF(RSK_ID,E93)=0),"CHECK: Risk ID not found",IF(AND(E93&lt;&gt;"",COUNTIF(RSK_ID,E93)&gt;0,IFERROR(INDEX(RSK_SUP,MATCH(E93,RSK_ID,0)),"")&lt;&gt;B93),"CHECK: Risk belongs to a different supplier",IF(AND(O93&lt;&gt;"",COUNTIF(FND_ID,O93)=0),"CHECK: Finding ID not found",IF(AND(J93&lt;&gt;"",K93&lt;LEN(SUBSTITUTE(J93," ",""))-LEN(SUBSTITUTE(SUBSTITUTE(J93," ",""),",",""))+1),"CHECK: some Evidence IDs not found","OK"))))))))</f>
        <v/>
      </c>
    </row>
    <row r="94" customFormat="false" ht="15" hidden="false" customHeight="false" outlineLevel="0" collapsed="false">
      <c r="A94" s="50"/>
      <c r="B94" s="50"/>
      <c r="C94" s="59" t="str">
        <f aca="false">IF(B94="","",IFERROR(INDEX(INV_NAME,MATCH(B94,INV_ID,0)),"CHECK: Supplier ID not found"))</f>
        <v/>
      </c>
      <c r="D94" s="34"/>
      <c r="E94" s="50"/>
      <c r="F94" s="34"/>
      <c r="G94" s="34"/>
      <c r="H94" s="34"/>
      <c r="I94" s="34"/>
      <c r="J94" s="34"/>
      <c r="K94" s="62" t="str">
        <f aca="false">IF(J94="","",SUMPRODUCT(ISNUMBER(SEARCH(","&amp;EV_ID&amp;",",","&amp;SUBSTITUTE(J94," ","")&amp;","))*(EV_ID&lt;&gt;"")))</f>
        <v/>
      </c>
      <c r="L94" s="34"/>
      <c r="M94" s="34"/>
      <c r="N94" s="34"/>
      <c r="O94" s="50"/>
      <c r="P94" s="50"/>
      <c r="Q94" s="51"/>
      <c r="R94" s="34"/>
      <c r="S94" s="54" t="str">
        <f aca="false">IF(A94="","",IF(M94="Confirmed weakness","Confirmed weakness",IF(OR(M94="Evidence insufficient",L94="Insufficient"),"Assurance limitation (evidence insufficient)",IF(AND(G94="Adequate",H94="Implemented",I94="Operating",L94="Sufficient"),"Design, implementation and operation evidenced",IF(AND(G94="Adequate",H94="Implemented"),"Designed and implemented; operation not evidenced",IF(G94="Adequate","Designed; implementation not evidenced","Not yet determined"))))))</f>
        <v/>
      </c>
      <c r="T94" s="54" t="str">
        <f aca="false">IF(A94="","",IF(AND(L94="Insufficient",N94="Ineffective"),"CHECK: evidence gap rated Ineffective - not permitted; record as Evidence insufficient",IF(AND(N94="Ineffective",M94&lt;&gt;"Confirmed weakness",M94&lt;&gt;"Exception identified"),"CHECK: Ineffective without a confirmed weakness or exception","OK")))</f>
        <v/>
      </c>
      <c r="U94" s="54" t="str">
        <f aca="false">IF(A94="","",IF(COUNTIF(CA_ID,A94)&gt;1,"CHECK: duplicate ID",IF(B94="","CHECK: Supplier ID missing",IF(COUNTIF(INV_ID,B94)=0,"CHECK: Supplier ID not in inventory",IF(AND(E94&lt;&gt;"",COUNTIF(RSK_ID,E94)=0),"CHECK: Risk ID not found",IF(AND(E94&lt;&gt;"",COUNTIF(RSK_ID,E94)&gt;0,IFERROR(INDEX(RSK_SUP,MATCH(E94,RSK_ID,0)),"")&lt;&gt;B94),"CHECK: Risk belongs to a different supplier",IF(AND(O94&lt;&gt;"",COUNTIF(FND_ID,O94)=0),"CHECK: Finding ID not found",IF(AND(J94&lt;&gt;"",K94&lt;LEN(SUBSTITUTE(J94," ",""))-LEN(SUBSTITUTE(SUBSTITUTE(J94," ",""),",",""))+1),"CHECK: some Evidence IDs not found","OK"))))))))</f>
        <v/>
      </c>
    </row>
    <row r="95" customFormat="false" ht="15" hidden="false" customHeight="false" outlineLevel="0" collapsed="false">
      <c r="A95" s="50"/>
      <c r="B95" s="50"/>
      <c r="C95" s="59" t="str">
        <f aca="false">IF(B95="","",IFERROR(INDEX(INV_NAME,MATCH(B95,INV_ID,0)),"CHECK: Supplier ID not found"))</f>
        <v/>
      </c>
      <c r="D95" s="34"/>
      <c r="E95" s="50"/>
      <c r="F95" s="34"/>
      <c r="G95" s="34"/>
      <c r="H95" s="34"/>
      <c r="I95" s="34"/>
      <c r="J95" s="34"/>
      <c r="K95" s="62" t="str">
        <f aca="false">IF(J95="","",SUMPRODUCT(ISNUMBER(SEARCH(","&amp;EV_ID&amp;",",","&amp;SUBSTITUTE(J95," ","")&amp;","))*(EV_ID&lt;&gt;"")))</f>
        <v/>
      </c>
      <c r="L95" s="34"/>
      <c r="M95" s="34"/>
      <c r="N95" s="34"/>
      <c r="O95" s="50"/>
      <c r="P95" s="50"/>
      <c r="Q95" s="51"/>
      <c r="R95" s="34"/>
      <c r="S95" s="54" t="str">
        <f aca="false">IF(A95="","",IF(M95="Confirmed weakness","Confirmed weakness",IF(OR(M95="Evidence insufficient",L95="Insufficient"),"Assurance limitation (evidence insufficient)",IF(AND(G95="Adequate",H95="Implemented",I95="Operating",L95="Sufficient"),"Design, implementation and operation evidenced",IF(AND(G95="Adequate",H95="Implemented"),"Designed and implemented; operation not evidenced",IF(G95="Adequate","Designed; implementation not evidenced","Not yet determined"))))))</f>
        <v/>
      </c>
      <c r="T95" s="54" t="str">
        <f aca="false">IF(A95="","",IF(AND(L95="Insufficient",N95="Ineffective"),"CHECK: evidence gap rated Ineffective - not permitted; record as Evidence insufficient",IF(AND(N95="Ineffective",M95&lt;&gt;"Confirmed weakness",M95&lt;&gt;"Exception identified"),"CHECK: Ineffective without a confirmed weakness or exception","OK")))</f>
        <v/>
      </c>
      <c r="U95" s="54" t="str">
        <f aca="false">IF(A95="","",IF(COUNTIF(CA_ID,A95)&gt;1,"CHECK: duplicate ID",IF(B95="","CHECK: Supplier ID missing",IF(COUNTIF(INV_ID,B95)=0,"CHECK: Supplier ID not in inventory",IF(AND(E95&lt;&gt;"",COUNTIF(RSK_ID,E95)=0),"CHECK: Risk ID not found",IF(AND(E95&lt;&gt;"",COUNTIF(RSK_ID,E95)&gt;0,IFERROR(INDEX(RSK_SUP,MATCH(E95,RSK_ID,0)),"")&lt;&gt;B95),"CHECK: Risk belongs to a different supplier",IF(AND(O95&lt;&gt;"",COUNTIF(FND_ID,O95)=0),"CHECK: Finding ID not found",IF(AND(J95&lt;&gt;"",K95&lt;LEN(SUBSTITUTE(J95," ",""))-LEN(SUBSTITUTE(SUBSTITUTE(J95," ",""),",",""))+1),"CHECK: some Evidence IDs not found","OK"))))))))</f>
        <v/>
      </c>
    </row>
    <row r="96" customFormat="false" ht="15" hidden="false" customHeight="false" outlineLevel="0" collapsed="false">
      <c r="A96" s="50"/>
      <c r="B96" s="50"/>
      <c r="C96" s="59" t="str">
        <f aca="false">IF(B96="","",IFERROR(INDEX(INV_NAME,MATCH(B96,INV_ID,0)),"CHECK: Supplier ID not found"))</f>
        <v/>
      </c>
      <c r="D96" s="34"/>
      <c r="E96" s="50"/>
      <c r="F96" s="34"/>
      <c r="G96" s="34"/>
      <c r="H96" s="34"/>
      <c r="I96" s="34"/>
      <c r="J96" s="34"/>
      <c r="K96" s="62" t="str">
        <f aca="false">IF(J96="","",SUMPRODUCT(ISNUMBER(SEARCH(","&amp;EV_ID&amp;",",","&amp;SUBSTITUTE(J96," ","")&amp;","))*(EV_ID&lt;&gt;"")))</f>
        <v/>
      </c>
      <c r="L96" s="34"/>
      <c r="M96" s="34"/>
      <c r="N96" s="34"/>
      <c r="O96" s="50"/>
      <c r="P96" s="50"/>
      <c r="Q96" s="51"/>
      <c r="R96" s="34"/>
      <c r="S96" s="54" t="str">
        <f aca="false">IF(A96="","",IF(M96="Confirmed weakness","Confirmed weakness",IF(OR(M96="Evidence insufficient",L96="Insufficient"),"Assurance limitation (evidence insufficient)",IF(AND(G96="Adequate",H96="Implemented",I96="Operating",L96="Sufficient"),"Design, implementation and operation evidenced",IF(AND(G96="Adequate",H96="Implemented"),"Designed and implemented; operation not evidenced",IF(G96="Adequate","Designed; implementation not evidenced","Not yet determined"))))))</f>
        <v/>
      </c>
      <c r="T96" s="54" t="str">
        <f aca="false">IF(A96="","",IF(AND(L96="Insufficient",N96="Ineffective"),"CHECK: evidence gap rated Ineffective - not permitted; record as Evidence insufficient",IF(AND(N96="Ineffective",M96&lt;&gt;"Confirmed weakness",M96&lt;&gt;"Exception identified"),"CHECK: Ineffective without a confirmed weakness or exception","OK")))</f>
        <v/>
      </c>
      <c r="U96" s="54" t="str">
        <f aca="false">IF(A96="","",IF(COUNTIF(CA_ID,A96)&gt;1,"CHECK: duplicate ID",IF(B96="","CHECK: Supplier ID missing",IF(COUNTIF(INV_ID,B96)=0,"CHECK: Supplier ID not in inventory",IF(AND(E96&lt;&gt;"",COUNTIF(RSK_ID,E96)=0),"CHECK: Risk ID not found",IF(AND(E96&lt;&gt;"",COUNTIF(RSK_ID,E96)&gt;0,IFERROR(INDEX(RSK_SUP,MATCH(E96,RSK_ID,0)),"")&lt;&gt;B96),"CHECK: Risk belongs to a different supplier",IF(AND(O96&lt;&gt;"",COUNTIF(FND_ID,O96)=0),"CHECK: Finding ID not found",IF(AND(J96&lt;&gt;"",K96&lt;LEN(SUBSTITUTE(J96," ",""))-LEN(SUBSTITUTE(SUBSTITUTE(J96," ",""),",",""))+1),"CHECK: some Evidence IDs not found","OK"))))))))</f>
        <v/>
      </c>
    </row>
    <row r="97" customFormat="false" ht="15" hidden="false" customHeight="false" outlineLevel="0" collapsed="false">
      <c r="A97" s="50"/>
      <c r="B97" s="50"/>
      <c r="C97" s="59" t="str">
        <f aca="false">IF(B97="","",IFERROR(INDEX(INV_NAME,MATCH(B97,INV_ID,0)),"CHECK: Supplier ID not found"))</f>
        <v/>
      </c>
      <c r="D97" s="34"/>
      <c r="E97" s="50"/>
      <c r="F97" s="34"/>
      <c r="G97" s="34"/>
      <c r="H97" s="34"/>
      <c r="I97" s="34"/>
      <c r="J97" s="34"/>
      <c r="K97" s="62" t="str">
        <f aca="false">IF(J97="","",SUMPRODUCT(ISNUMBER(SEARCH(","&amp;EV_ID&amp;",",","&amp;SUBSTITUTE(J97," ","")&amp;","))*(EV_ID&lt;&gt;"")))</f>
        <v/>
      </c>
      <c r="L97" s="34"/>
      <c r="M97" s="34"/>
      <c r="N97" s="34"/>
      <c r="O97" s="50"/>
      <c r="P97" s="50"/>
      <c r="Q97" s="51"/>
      <c r="R97" s="34"/>
      <c r="S97" s="54" t="str">
        <f aca="false">IF(A97="","",IF(M97="Confirmed weakness","Confirmed weakness",IF(OR(M97="Evidence insufficient",L97="Insufficient"),"Assurance limitation (evidence insufficient)",IF(AND(G97="Adequate",H97="Implemented",I97="Operating",L97="Sufficient"),"Design, implementation and operation evidenced",IF(AND(G97="Adequate",H97="Implemented"),"Designed and implemented; operation not evidenced",IF(G97="Adequate","Designed; implementation not evidenced","Not yet determined"))))))</f>
        <v/>
      </c>
      <c r="T97" s="54" t="str">
        <f aca="false">IF(A97="","",IF(AND(L97="Insufficient",N97="Ineffective"),"CHECK: evidence gap rated Ineffective - not permitted; record as Evidence insufficient",IF(AND(N97="Ineffective",M97&lt;&gt;"Confirmed weakness",M97&lt;&gt;"Exception identified"),"CHECK: Ineffective without a confirmed weakness or exception","OK")))</f>
        <v/>
      </c>
      <c r="U97" s="54" t="str">
        <f aca="false">IF(A97="","",IF(COUNTIF(CA_ID,A97)&gt;1,"CHECK: duplicate ID",IF(B97="","CHECK: Supplier ID missing",IF(COUNTIF(INV_ID,B97)=0,"CHECK: Supplier ID not in inventory",IF(AND(E97&lt;&gt;"",COUNTIF(RSK_ID,E97)=0),"CHECK: Risk ID not found",IF(AND(E97&lt;&gt;"",COUNTIF(RSK_ID,E97)&gt;0,IFERROR(INDEX(RSK_SUP,MATCH(E97,RSK_ID,0)),"")&lt;&gt;B97),"CHECK: Risk belongs to a different supplier",IF(AND(O97&lt;&gt;"",COUNTIF(FND_ID,O97)=0),"CHECK: Finding ID not found",IF(AND(J97&lt;&gt;"",K97&lt;LEN(SUBSTITUTE(J97," ",""))-LEN(SUBSTITUTE(SUBSTITUTE(J97," ",""),",",""))+1),"CHECK: some Evidence IDs not found","OK"))))))))</f>
        <v/>
      </c>
    </row>
    <row r="98" customFormat="false" ht="15" hidden="false" customHeight="false" outlineLevel="0" collapsed="false">
      <c r="A98" s="50"/>
      <c r="B98" s="50"/>
      <c r="C98" s="59" t="str">
        <f aca="false">IF(B98="","",IFERROR(INDEX(INV_NAME,MATCH(B98,INV_ID,0)),"CHECK: Supplier ID not found"))</f>
        <v/>
      </c>
      <c r="D98" s="34"/>
      <c r="E98" s="50"/>
      <c r="F98" s="34"/>
      <c r="G98" s="34"/>
      <c r="H98" s="34"/>
      <c r="I98" s="34"/>
      <c r="J98" s="34"/>
      <c r="K98" s="62" t="str">
        <f aca="false">IF(J98="","",SUMPRODUCT(ISNUMBER(SEARCH(","&amp;EV_ID&amp;",",","&amp;SUBSTITUTE(J98," ","")&amp;","))*(EV_ID&lt;&gt;"")))</f>
        <v/>
      </c>
      <c r="L98" s="34"/>
      <c r="M98" s="34"/>
      <c r="N98" s="34"/>
      <c r="O98" s="50"/>
      <c r="P98" s="50"/>
      <c r="Q98" s="51"/>
      <c r="R98" s="34"/>
      <c r="S98" s="54" t="str">
        <f aca="false">IF(A98="","",IF(M98="Confirmed weakness","Confirmed weakness",IF(OR(M98="Evidence insufficient",L98="Insufficient"),"Assurance limitation (evidence insufficient)",IF(AND(G98="Adequate",H98="Implemented",I98="Operating",L98="Sufficient"),"Design, implementation and operation evidenced",IF(AND(G98="Adequate",H98="Implemented"),"Designed and implemented; operation not evidenced",IF(G98="Adequate","Designed; implementation not evidenced","Not yet determined"))))))</f>
        <v/>
      </c>
      <c r="T98" s="54" t="str">
        <f aca="false">IF(A98="","",IF(AND(L98="Insufficient",N98="Ineffective"),"CHECK: evidence gap rated Ineffective - not permitted; record as Evidence insufficient",IF(AND(N98="Ineffective",M98&lt;&gt;"Confirmed weakness",M98&lt;&gt;"Exception identified"),"CHECK: Ineffective without a confirmed weakness or exception","OK")))</f>
        <v/>
      </c>
      <c r="U98" s="54" t="str">
        <f aca="false">IF(A98="","",IF(COUNTIF(CA_ID,A98)&gt;1,"CHECK: duplicate ID",IF(B98="","CHECK: Supplier ID missing",IF(COUNTIF(INV_ID,B98)=0,"CHECK: Supplier ID not in inventory",IF(AND(E98&lt;&gt;"",COUNTIF(RSK_ID,E98)=0),"CHECK: Risk ID not found",IF(AND(E98&lt;&gt;"",COUNTIF(RSK_ID,E98)&gt;0,IFERROR(INDEX(RSK_SUP,MATCH(E98,RSK_ID,0)),"")&lt;&gt;B98),"CHECK: Risk belongs to a different supplier",IF(AND(O98&lt;&gt;"",COUNTIF(FND_ID,O98)=0),"CHECK: Finding ID not found",IF(AND(J98&lt;&gt;"",K98&lt;LEN(SUBSTITUTE(J98," ",""))-LEN(SUBSTITUTE(SUBSTITUTE(J98," ",""),",",""))+1),"CHECK: some Evidence IDs not found","OK"))))))))</f>
        <v/>
      </c>
    </row>
    <row r="99" customFormat="false" ht="15" hidden="false" customHeight="false" outlineLevel="0" collapsed="false">
      <c r="A99" s="50"/>
      <c r="B99" s="50"/>
      <c r="C99" s="59" t="str">
        <f aca="false">IF(B99="","",IFERROR(INDEX(INV_NAME,MATCH(B99,INV_ID,0)),"CHECK: Supplier ID not found"))</f>
        <v/>
      </c>
      <c r="D99" s="34"/>
      <c r="E99" s="50"/>
      <c r="F99" s="34"/>
      <c r="G99" s="34"/>
      <c r="H99" s="34"/>
      <c r="I99" s="34"/>
      <c r="J99" s="34"/>
      <c r="K99" s="62" t="str">
        <f aca="false">IF(J99="","",SUMPRODUCT(ISNUMBER(SEARCH(","&amp;EV_ID&amp;",",","&amp;SUBSTITUTE(J99," ","")&amp;","))*(EV_ID&lt;&gt;"")))</f>
        <v/>
      </c>
      <c r="L99" s="34"/>
      <c r="M99" s="34"/>
      <c r="N99" s="34"/>
      <c r="O99" s="50"/>
      <c r="P99" s="50"/>
      <c r="Q99" s="51"/>
      <c r="R99" s="34"/>
      <c r="S99" s="54" t="str">
        <f aca="false">IF(A99="","",IF(M99="Confirmed weakness","Confirmed weakness",IF(OR(M99="Evidence insufficient",L99="Insufficient"),"Assurance limitation (evidence insufficient)",IF(AND(G99="Adequate",H99="Implemented",I99="Operating",L99="Sufficient"),"Design, implementation and operation evidenced",IF(AND(G99="Adequate",H99="Implemented"),"Designed and implemented; operation not evidenced",IF(G99="Adequate","Designed; implementation not evidenced","Not yet determined"))))))</f>
        <v/>
      </c>
      <c r="T99" s="54" t="str">
        <f aca="false">IF(A99="","",IF(AND(L99="Insufficient",N99="Ineffective"),"CHECK: evidence gap rated Ineffective - not permitted; record as Evidence insufficient",IF(AND(N99="Ineffective",M99&lt;&gt;"Confirmed weakness",M99&lt;&gt;"Exception identified"),"CHECK: Ineffective without a confirmed weakness or exception","OK")))</f>
        <v/>
      </c>
      <c r="U99" s="54" t="str">
        <f aca="false">IF(A99="","",IF(COUNTIF(CA_ID,A99)&gt;1,"CHECK: duplicate ID",IF(B99="","CHECK: Supplier ID missing",IF(COUNTIF(INV_ID,B99)=0,"CHECK: Supplier ID not in inventory",IF(AND(E99&lt;&gt;"",COUNTIF(RSK_ID,E99)=0),"CHECK: Risk ID not found",IF(AND(E99&lt;&gt;"",COUNTIF(RSK_ID,E99)&gt;0,IFERROR(INDEX(RSK_SUP,MATCH(E99,RSK_ID,0)),"")&lt;&gt;B99),"CHECK: Risk belongs to a different supplier",IF(AND(O99&lt;&gt;"",COUNTIF(FND_ID,O99)=0),"CHECK: Finding ID not found",IF(AND(J99&lt;&gt;"",K99&lt;LEN(SUBSTITUTE(J99," ",""))-LEN(SUBSTITUTE(SUBSTITUTE(J99," ",""),",",""))+1),"CHECK: some Evidence IDs not found","OK"))))))))</f>
        <v/>
      </c>
    </row>
    <row r="100" customFormat="false" ht="15" hidden="false" customHeight="false" outlineLevel="0" collapsed="false">
      <c r="A100" s="50"/>
      <c r="B100" s="50"/>
      <c r="C100" s="59" t="str">
        <f aca="false">IF(B100="","",IFERROR(INDEX(INV_NAME,MATCH(B100,INV_ID,0)),"CHECK: Supplier ID not found"))</f>
        <v/>
      </c>
      <c r="D100" s="34"/>
      <c r="E100" s="50"/>
      <c r="F100" s="34"/>
      <c r="G100" s="34"/>
      <c r="H100" s="34"/>
      <c r="I100" s="34"/>
      <c r="J100" s="34"/>
      <c r="K100" s="62" t="str">
        <f aca="false">IF(J100="","",SUMPRODUCT(ISNUMBER(SEARCH(","&amp;EV_ID&amp;",",","&amp;SUBSTITUTE(J100," ","")&amp;","))*(EV_ID&lt;&gt;"")))</f>
        <v/>
      </c>
      <c r="L100" s="34"/>
      <c r="M100" s="34"/>
      <c r="N100" s="34"/>
      <c r="O100" s="50"/>
      <c r="P100" s="50"/>
      <c r="Q100" s="51"/>
      <c r="R100" s="34"/>
      <c r="S100" s="54" t="str">
        <f aca="false">IF(A100="","",IF(M100="Confirmed weakness","Confirmed weakness",IF(OR(M100="Evidence insufficient",L100="Insufficient"),"Assurance limitation (evidence insufficient)",IF(AND(G100="Adequate",H100="Implemented",I100="Operating",L100="Sufficient"),"Design, implementation and operation evidenced",IF(AND(G100="Adequate",H100="Implemented"),"Designed and implemented; operation not evidenced",IF(G100="Adequate","Designed; implementation not evidenced","Not yet determined"))))))</f>
        <v/>
      </c>
      <c r="T100" s="54" t="str">
        <f aca="false">IF(A100="","",IF(AND(L100="Insufficient",N100="Ineffective"),"CHECK: evidence gap rated Ineffective - not permitted; record as Evidence insufficient",IF(AND(N100="Ineffective",M100&lt;&gt;"Confirmed weakness",M100&lt;&gt;"Exception identified"),"CHECK: Ineffective without a confirmed weakness or exception","OK")))</f>
        <v/>
      </c>
      <c r="U100" s="54" t="str">
        <f aca="false">IF(A100="","",IF(COUNTIF(CA_ID,A100)&gt;1,"CHECK: duplicate ID",IF(B100="","CHECK: Supplier ID missing",IF(COUNTIF(INV_ID,B100)=0,"CHECK: Supplier ID not in inventory",IF(AND(E100&lt;&gt;"",COUNTIF(RSK_ID,E100)=0),"CHECK: Risk ID not found",IF(AND(E100&lt;&gt;"",COUNTIF(RSK_ID,E100)&gt;0,IFERROR(INDEX(RSK_SUP,MATCH(E100,RSK_ID,0)),"")&lt;&gt;B100),"CHECK: Risk belongs to a different supplier",IF(AND(O100&lt;&gt;"",COUNTIF(FND_ID,O100)=0),"CHECK: Finding ID not found",IF(AND(J100&lt;&gt;"",K100&lt;LEN(SUBSTITUTE(J100," ",""))-LEN(SUBSTITUTE(SUBSTITUTE(J100," ",""),",",""))+1),"CHECK: some Evidence IDs not found","OK"))))))))</f>
        <v/>
      </c>
    </row>
    <row r="101" customFormat="false" ht="15" hidden="false" customHeight="false" outlineLevel="0" collapsed="false">
      <c r="A101" s="50"/>
      <c r="B101" s="50"/>
      <c r="C101" s="59" t="str">
        <f aca="false">IF(B101="","",IFERROR(INDEX(INV_NAME,MATCH(B101,INV_ID,0)),"CHECK: Supplier ID not found"))</f>
        <v/>
      </c>
      <c r="D101" s="34"/>
      <c r="E101" s="50"/>
      <c r="F101" s="34"/>
      <c r="G101" s="34"/>
      <c r="H101" s="34"/>
      <c r="I101" s="34"/>
      <c r="J101" s="34"/>
      <c r="K101" s="62" t="str">
        <f aca="false">IF(J101="","",SUMPRODUCT(ISNUMBER(SEARCH(","&amp;EV_ID&amp;",",","&amp;SUBSTITUTE(J101," ","")&amp;","))*(EV_ID&lt;&gt;"")))</f>
        <v/>
      </c>
      <c r="L101" s="34"/>
      <c r="M101" s="34"/>
      <c r="N101" s="34"/>
      <c r="O101" s="50"/>
      <c r="P101" s="50"/>
      <c r="Q101" s="51"/>
      <c r="R101" s="34"/>
      <c r="S101" s="54" t="str">
        <f aca="false">IF(A101="","",IF(M101="Confirmed weakness","Confirmed weakness",IF(OR(M101="Evidence insufficient",L101="Insufficient"),"Assurance limitation (evidence insufficient)",IF(AND(G101="Adequate",H101="Implemented",I101="Operating",L101="Sufficient"),"Design, implementation and operation evidenced",IF(AND(G101="Adequate",H101="Implemented"),"Designed and implemented; operation not evidenced",IF(G101="Adequate","Designed; implementation not evidenced","Not yet determined"))))))</f>
        <v/>
      </c>
      <c r="T101" s="54" t="str">
        <f aca="false">IF(A101="","",IF(AND(L101="Insufficient",N101="Ineffective"),"CHECK: evidence gap rated Ineffective - not permitted; record as Evidence insufficient",IF(AND(N101="Ineffective",M101&lt;&gt;"Confirmed weakness",M101&lt;&gt;"Exception identified"),"CHECK: Ineffective without a confirmed weakness or exception","OK")))</f>
        <v/>
      </c>
      <c r="U101" s="54" t="str">
        <f aca="false">IF(A101="","",IF(COUNTIF(CA_ID,A101)&gt;1,"CHECK: duplicate ID",IF(B101="","CHECK: Supplier ID missing",IF(COUNTIF(INV_ID,B101)=0,"CHECK: Supplier ID not in inventory",IF(AND(E101&lt;&gt;"",COUNTIF(RSK_ID,E101)=0),"CHECK: Risk ID not found",IF(AND(E101&lt;&gt;"",COUNTIF(RSK_ID,E101)&gt;0,IFERROR(INDEX(RSK_SUP,MATCH(E101,RSK_ID,0)),"")&lt;&gt;B101),"CHECK: Risk belongs to a different supplier",IF(AND(O101&lt;&gt;"",COUNTIF(FND_ID,O101)=0),"CHECK: Finding ID not found",IF(AND(J101&lt;&gt;"",K101&lt;LEN(SUBSTITUTE(J101," ",""))-LEN(SUBSTITUTE(SUBSTITUTE(J101," ",""),",",""))+1),"CHECK: some Evidence IDs not found","OK"))))))))</f>
        <v/>
      </c>
    </row>
    <row r="102" customFormat="false" ht="15" hidden="false" customHeight="false" outlineLevel="0" collapsed="false">
      <c r="A102" s="50"/>
      <c r="B102" s="50"/>
      <c r="C102" s="59" t="str">
        <f aca="false">IF(B102="","",IFERROR(INDEX(INV_NAME,MATCH(B102,INV_ID,0)),"CHECK: Supplier ID not found"))</f>
        <v/>
      </c>
      <c r="D102" s="34"/>
      <c r="E102" s="50"/>
      <c r="F102" s="34"/>
      <c r="G102" s="34"/>
      <c r="H102" s="34"/>
      <c r="I102" s="34"/>
      <c r="J102" s="34"/>
      <c r="K102" s="62" t="str">
        <f aca="false">IF(J102="","",SUMPRODUCT(ISNUMBER(SEARCH(","&amp;EV_ID&amp;",",","&amp;SUBSTITUTE(J102," ","")&amp;","))*(EV_ID&lt;&gt;"")))</f>
        <v/>
      </c>
      <c r="L102" s="34"/>
      <c r="M102" s="34"/>
      <c r="N102" s="34"/>
      <c r="O102" s="50"/>
      <c r="P102" s="50"/>
      <c r="Q102" s="51"/>
      <c r="R102" s="34"/>
      <c r="S102" s="54" t="str">
        <f aca="false">IF(A102="","",IF(M102="Confirmed weakness","Confirmed weakness",IF(OR(M102="Evidence insufficient",L102="Insufficient"),"Assurance limitation (evidence insufficient)",IF(AND(G102="Adequate",H102="Implemented",I102="Operating",L102="Sufficient"),"Design, implementation and operation evidenced",IF(AND(G102="Adequate",H102="Implemented"),"Designed and implemented; operation not evidenced",IF(G102="Adequate","Designed; implementation not evidenced","Not yet determined"))))))</f>
        <v/>
      </c>
      <c r="T102" s="54" t="str">
        <f aca="false">IF(A102="","",IF(AND(L102="Insufficient",N102="Ineffective"),"CHECK: evidence gap rated Ineffective - not permitted; record as Evidence insufficient",IF(AND(N102="Ineffective",M102&lt;&gt;"Confirmed weakness",M102&lt;&gt;"Exception identified"),"CHECK: Ineffective without a confirmed weakness or exception","OK")))</f>
        <v/>
      </c>
      <c r="U102" s="54" t="str">
        <f aca="false">IF(A102="","",IF(COUNTIF(CA_ID,A102)&gt;1,"CHECK: duplicate ID",IF(B102="","CHECK: Supplier ID missing",IF(COUNTIF(INV_ID,B102)=0,"CHECK: Supplier ID not in inventory",IF(AND(E102&lt;&gt;"",COUNTIF(RSK_ID,E102)=0),"CHECK: Risk ID not found",IF(AND(E102&lt;&gt;"",COUNTIF(RSK_ID,E102)&gt;0,IFERROR(INDEX(RSK_SUP,MATCH(E102,RSK_ID,0)),"")&lt;&gt;B102),"CHECK: Risk belongs to a different supplier",IF(AND(O102&lt;&gt;"",COUNTIF(FND_ID,O102)=0),"CHECK: Finding ID not found",IF(AND(J102&lt;&gt;"",K102&lt;LEN(SUBSTITUTE(J102," ",""))-LEN(SUBSTITUTE(SUBSTITUTE(J102," ",""),",",""))+1),"CHECK: some Evidence IDs not found","OK"))))))))</f>
        <v/>
      </c>
    </row>
    <row r="103" customFormat="false" ht="15" hidden="false" customHeight="false" outlineLevel="0" collapsed="false">
      <c r="A103" s="50"/>
      <c r="B103" s="50"/>
      <c r="C103" s="59" t="str">
        <f aca="false">IF(B103="","",IFERROR(INDEX(INV_NAME,MATCH(B103,INV_ID,0)),"CHECK: Supplier ID not found"))</f>
        <v/>
      </c>
      <c r="D103" s="34"/>
      <c r="E103" s="50"/>
      <c r="F103" s="34"/>
      <c r="G103" s="34"/>
      <c r="H103" s="34"/>
      <c r="I103" s="34"/>
      <c r="J103" s="34"/>
      <c r="K103" s="62" t="str">
        <f aca="false">IF(J103="","",SUMPRODUCT(ISNUMBER(SEARCH(","&amp;EV_ID&amp;",",","&amp;SUBSTITUTE(J103," ","")&amp;","))*(EV_ID&lt;&gt;"")))</f>
        <v/>
      </c>
      <c r="L103" s="34"/>
      <c r="M103" s="34"/>
      <c r="N103" s="34"/>
      <c r="O103" s="50"/>
      <c r="P103" s="50"/>
      <c r="Q103" s="51"/>
      <c r="R103" s="34"/>
      <c r="S103" s="54" t="str">
        <f aca="false">IF(A103="","",IF(M103="Confirmed weakness","Confirmed weakness",IF(OR(M103="Evidence insufficient",L103="Insufficient"),"Assurance limitation (evidence insufficient)",IF(AND(G103="Adequate",H103="Implemented",I103="Operating",L103="Sufficient"),"Design, implementation and operation evidenced",IF(AND(G103="Adequate",H103="Implemented"),"Designed and implemented; operation not evidenced",IF(G103="Adequate","Designed; implementation not evidenced","Not yet determined"))))))</f>
        <v/>
      </c>
      <c r="T103" s="54" t="str">
        <f aca="false">IF(A103="","",IF(AND(L103="Insufficient",N103="Ineffective"),"CHECK: evidence gap rated Ineffective - not permitted; record as Evidence insufficient",IF(AND(N103="Ineffective",M103&lt;&gt;"Confirmed weakness",M103&lt;&gt;"Exception identified"),"CHECK: Ineffective without a confirmed weakness or exception","OK")))</f>
        <v/>
      </c>
      <c r="U103" s="54" t="str">
        <f aca="false">IF(A103="","",IF(COUNTIF(CA_ID,A103)&gt;1,"CHECK: duplicate ID",IF(B103="","CHECK: Supplier ID missing",IF(COUNTIF(INV_ID,B103)=0,"CHECK: Supplier ID not in inventory",IF(AND(E103&lt;&gt;"",COUNTIF(RSK_ID,E103)=0),"CHECK: Risk ID not found",IF(AND(E103&lt;&gt;"",COUNTIF(RSK_ID,E103)&gt;0,IFERROR(INDEX(RSK_SUP,MATCH(E103,RSK_ID,0)),"")&lt;&gt;B103),"CHECK: Risk belongs to a different supplier",IF(AND(O103&lt;&gt;"",COUNTIF(FND_ID,O103)=0),"CHECK: Finding ID not found",IF(AND(J103&lt;&gt;"",K103&lt;LEN(SUBSTITUTE(J103," ",""))-LEN(SUBSTITUTE(SUBSTITUTE(J103," ",""),",",""))+1),"CHECK: some Evidence IDs not found","OK"))))))))</f>
        <v/>
      </c>
    </row>
    <row r="104" customFormat="false" ht="15" hidden="false" customHeight="false" outlineLevel="0" collapsed="false">
      <c r="A104" s="50"/>
      <c r="B104" s="50"/>
      <c r="C104" s="59" t="str">
        <f aca="false">IF(B104="","",IFERROR(INDEX(INV_NAME,MATCH(B104,INV_ID,0)),"CHECK: Supplier ID not found"))</f>
        <v/>
      </c>
      <c r="D104" s="34"/>
      <c r="E104" s="50"/>
      <c r="F104" s="34"/>
      <c r="G104" s="34"/>
      <c r="H104" s="34"/>
      <c r="I104" s="34"/>
      <c r="J104" s="34"/>
      <c r="K104" s="62" t="str">
        <f aca="false">IF(J104="","",SUMPRODUCT(ISNUMBER(SEARCH(","&amp;EV_ID&amp;",",","&amp;SUBSTITUTE(J104," ","")&amp;","))*(EV_ID&lt;&gt;"")))</f>
        <v/>
      </c>
      <c r="L104" s="34"/>
      <c r="M104" s="34"/>
      <c r="N104" s="34"/>
      <c r="O104" s="50"/>
      <c r="P104" s="50"/>
      <c r="Q104" s="51"/>
      <c r="R104" s="34"/>
      <c r="S104" s="54" t="str">
        <f aca="false">IF(A104="","",IF(M104="Confirmed weakness","Confirmed weakness",IF(OR(M104="Evidence insufficient",L104="Insufficient"),"Assurance limitation (evidence insufficient)",IF(AND(G104="Adequate",H104="Implemented",I104="Operating",L104="Sufficient"),"Design, implementation and operation evidenced",IF(AND(G104="Adequate",H104="Implemented"),"Designed and implemented; operation not evidenced",IF(G104="Adequate","Designed; implementation not evidenced","Not yet determined"))))))</f>
        <v/>
      </c>
      <c r="T104" s="54" t="str">
        <f aca="false">IF(A104="","",IF(AND(L104="Insufficient",N104="Ineffective"),"CHECK: evidence gap rated Ineffective - not permitted; record as Evidence insufficient",IF(AND(N104="Ineffective",M104&lt;&gt;"Confirmed weakness",M104&lt;&gt;"Exception identified"),"CHECK: Ineffective without a confirmed weakness or exception","OK")))</f>
        <v/>
      </c>
      <c r="U104" s="54" t="str">
        <f aca="false">IF(A104="","",IF(COUNTIF(CA_ID,A104)&gt;1,"CHECK: duplicate ID",IF(B104="","CHECK: Supplier ID missing",IF(COUNTIF(INV_ID,B104)=0,"CHECK: Supplier ID not in inventory",IF(AND(E104&lt;&gt;"",COUNTIF(RSK_ID,E104)=0),"CHECK: Risk ID not found",IF(AND(E104&lt;&gt;"",COUNTIF(RSK_ID,E104)&gt;0,IFERROR(INDEX(RSK_SUP,MATCH(E104,RSK_ID,0)),"")&lt;&gt;B104),"CHECK: Risk belongs to a different supplier",IF(AND(O104&lt;&gt;"",COUNTIF(FND_ID,O104)=0),"CHECK: Finding ID not found",IF(AND(J104&lt;&gt;"",K104&lt;LEN(SUBSTITUTE(J104," ",""))-LEN(SUBSTITUTE(SUBSTITUTE(J104," ",""),",",""))+1),"CHECK: some Evidence IDs not found","OK"))))))))</f>
        <v/>
      </c>
    </row>
    <row r="105" customFormat="false" ht="15" hidden="false" customHeight="false" outlineLevel="0" collapsed="false">
      <c r="A105" s="50"/>
      <c r="B105" s="50"/>
      <c r="C105" s="59" t="str">
        <f aca="false">IF(B105="","",IFERROR(INDEX(INV_NAME,MATCH(B105,INV_ID,0)),"CHECK: Supplier ID not found"))</f>
        <v/>
      </c>
      <c r="D105" s="34"/>
      <c r="E105" s="50"/>
      <c r="F105" s="34"/>
      <c r="G105" s="34"/>
      <c r="H105" s="34"/>
      <c r="I105" s="34"/>
      <c r="J105" s="34"/>
      <c r="K105" s="62" t="str">
        <f aca="false">IF(J105="","",SUMPRODUCT(ISNUMBER(SEARCH(","&amp;EV_ID&amp;",",","&amp;SUBSTITUTE(J105," ","")&amp;","))*(EV_ID&lt;&gt;"")))</f>
        <v/>
      </c>
      <c r="L105" s="34"/>
      <c r="M105" s="34"/>
      <c r="N105" s="34"/>
      <c r="O105" s="50"/>
      <c r="P105" s="50"/>
      <c r="Q105" s="51"/>
      <c r="R105" s="34"/>
      <c r="S105" s="54" t="str">
        <f aca="false">IF(A105="","",IF(M105="Confirmed weakness","Confirmed weakness",IF(OR(M105="Evidence insufficient",L105="Insufficient"),"Assurance limitation (evidence insufficient)",IF(AND(G105="Adequate",H105="Implemented",I105="Operating",L105="Sufficient"),"Design, implementation and operation evidenced",IF(AND(G105="Adequate",H105="Implemented"),"Designed and implemented; operation not evidenced",IF(G105="Adequate","Designed; implementation not evidenced","Not yet determined"))))))</f>
        <v/>
      </c>
      <c r="T105" s="54" t="str">
        <f aca="false">IF(A105="","",IF(AND(L105="Insufficient",N105="Ineffective"),"CHECK: evidence gap rated Ineffective - not permitted; record as Evidence insufficient",IF(AND(N105="Ineffective",M105&lt;&gt;"Confirmed weakness",M105&lt;&gt;"Exception identified"),"CHECK: Ineffective without a confirmed weakness or exception","OK")))</f>
        <v/>
      </c>
      <c r="U105" s="54" t="str">
        <f aca="false">IF(A105="","",IF(COUNTIF(CA_ID,A105)&gt;1,"CHECK: duplicate ID",IF(B105="","CHECK: Supplier ID missing",IF(COUNTIF(INV_ID,B105)=0,"CHECK: Supplier ID not in inventory",IF(AND(E105&lt;&gt;"",COUNTIF(RSK_ID,E105)=0),"CHECK: Risk ID not found",IF(AND(E105&lt;&gt;"",COUNTIF(RSK_ID,E105)&gt;0,IFERROR(INDEX(RSK_SUP,MATCH(E105,RSK_ID,0)),"")&lt;&gt;B105),"CHECK: Risk belongs to a different supplier",IF(AND(O105&lt;&gt;"",COUNTIF(FND_ID,O105)=0),"CHECK: Finding ID not found",IF(AND(J105&lt;&gt;"",K105&lt;LEN(SUBSTITUTE(J105," ",""))-LEN(SUBSTITUTE(SUBSTITUTE(J105," ",""),",",""))+1),"CHECK: some Evidence IDs not found","OK"))))))))</f>
        <v/>
      </c>
    </row>
    <row r="106" customFormat="false" ht="15" hidden="false" customHeight="false" outlineLevel="0" collapsed="false">
      <c r="A106" s="50"/>
      <c r="B106" s="50"/>
      <c r="C106" s="59" t="str">
        <f aca="false">IF(B106="","",IFERROR(INDEX(INV_NAME,MATCH(B106,INV_ID,0)),"CHECK: Supplier ID not found"))</f>
        <v/>
      </c>
      <c r="D106" s="34"/>
      <c r="E106" s="50"/>
      <c r="F106" s="34"/>
      <c r="G106" s="34"/>
      <c r="H106" s="34"/>
      <c r="I106" s="34"/>
      <c r="J106" s="34"/>
      <c r="K106" s="62" t="str">
        <f aca="false">IF(J106="","",SUMPRODUCT(ISNUMBER(SEARCH(","&amp;EV_ID&amp;",",","&amp;SUBSTITUTE(J106," ","")&amp;","))*(EV_ID&lt;&gt;"")))</f>
        <v/>
      </c>
      <c r="L106" s="34"/>
      <c r="M106" s="34"/>
      <c r="N106" s="34"/>
      <c r="O106" s="50"/>
      <c r="P106" s="50"/>
      <c r="Q106" s="51"/>
      <c r="R106" s="34"/>
      <c r="S106" s="54" t="str">
        <f aca="false">IF(A106="","",IF(M106="Confirmed weakness","Confirmed weakness",IF(OR(M106="Evidence insufficient",L106="Insufficient"),"Assurance limitation (evidence insufficient)",IF(AND(G106="Adequate",H106="Implemented",I106="Operating",L106="Sufficient"),"Design, implementation and operation evidenced",IF(AND(G106="Adequate",H106="Implemented"),"Designed and implemented; operation not evidenced",IF(G106="Adequate","Designed; implementation not evidenced","Not yet determined"))))))</f>
        <v/>
      </c>
      <c r="T106" s="54" t="str">
        <f aca="false">IF(A106="","",IF(AND(L106="Insufficient",N106="Ineffective"),"CHECK: evidence gap rated Ineffective - not permitted; record as Evidence insufficient",IF(AND(N106="Ineffective",M106&lt;&gt;"Confirmed weakness",M106&lt;&gt;"Exception identified"),"CHECK: Ineffective without a confirmed weakness or exception","OK")))</f>
        <v/>
      </c>
      <c r="U106" s="54" t="str">
        <f aca="false">IF(A106="","",IF(COUNTIF(CA_ID,A106)&gt;1,"CHECK: duplicate ID",IF(B106="","CHECK: Supplier ID missing",IF(COUNTIF(INV_ID,B106)=0,"CHECK: Supplier ID not in inventory",IF(AND(E106&lt;&gt;"",COUNTIF(RSK_ID,E106)=0),"CHECK: Risk ID not found",IF(AND(E106&lt;&gt;"",COUNTIF(RSK_ID,E106)&gt;0,IFERROR(INDEX(RSK_SUP,MATCH(E106,RSK_ID,0)),"")&lt;&gt;B106),"CHECK: Risk belongs to a different supplier",IF(AND(O106&lt;&gt;"",COUNTIF(FND_ID,O106)=0),"CHECK: Finding ID not found",IF(AND(J106&lt;&gt;"",K106&lt;LEN(SUBSTITUTE(J106," ",""))-LEN(SUBSTITUTE(SUBSTITUTE(J106," ",""),",",""))+1),"CHECK: some Evidence IDs not found","OK"))))))))</f>
        <v/>
      </c>
    </row>
    <row r="107" customFormat="false" ht="15" hidden="false" customHeight="false" outlineLevel="0" collapsed="false">
      <c r="A107" s="50"/>
      <c r="B107" s="50"/>
      <c r="C107" s="59" t="str">
        <f aca="false">IF(B107="","",IFERROR(INDEX(INV_NAME,MATCH(B107,INV_ID,0)),"CHECK: Supplier ID not found"))</f>
        <v/>
      </c>
      <c r="D107" s="34"/>
      <c r="E107" s="50"/>
      <c r="F107" s="34"/>
      <c r="G107" s="34"/>
      <c r="H107" s="34"/>
      <c r="I107" s="34"/>
      <c r="J107" s="34"/>
      <c r="K107" s="62" t="str">
        <f aca="false">IF(J107="","",SUMPRODUCT(ISNUMBER(SEARCH(","&amp;EV_ID&amp;",",","&amp;SUBSTITUTE(J107," ","")&amp;","))*(EV_ID&lt;&gt;"")))</f>
        <v/>
      </c>
      <c r="L107" s="34"/>
      <c r="M107" s="34"/>
      <c r="N107" s="34"/>
      <c r="O107" s="50"/>
      <c r="P107" s="50"/>
      <c r="Q107" s="51"/>
      <c r="R107" s="34"/>
      <c r="S107" s="54" t="str">
        <f aca="false">IF(A107="","",IF(M107="Confirmed weakness","Confirmed weakness",IF(OR(M107="Evidence insufficient",L107="Insufficient"),"Assurance limitation (evidence insufficient)",IF(AND(G107="Adequate",H107="Implemented",I107="Operating",L107="Sufficient"),"Design, implementation and operation evidenced",IF(AND(G107="Adequate",H107="Implemented"),"Designed and implemented; operation not evidenced",IF(G107="Adequate","Designed; implementation not evidenced","Not yet determined"))))))</f>
        <v/>
      </c>
      <c r="T107" s="54" t="str">
        <f aca="false">IF(A107="","",IF(AND(L107="Insufficient",N107="Ineffective"),"CHECK: evidence gap rated Ineffective - not permitted; record as Evidence insufficient",IF(AND(N107="Ineffective",M107&lt;&gt;"Confirmed weakness",M107&lt;&gt;"Exception identified"),"CHECK: Ineffective without a confirmed weakness or exception","OK")))</f>
        <v/>
      </c>
      <c r="U107" s="54" t="str">
        <f aca="false">IF(A107="","",IF(COUNTIF(CA_ID,A107)&gt;1,"CHECK: duplicate ID",IF(B107="","CHECK: Supplier ID missing",IF(COUNTIF(INV_ID,B107)=0,"CHECK: Supplier ID not in inventory",IF(AND(E107&lt;&gt;"",COUNTIF(RSK_ID,E107)=0),"CHECK: Risk ID not found",IF(AND(E107&lt;&gt;"",COUNTIF(RSK_ID,E107)&gt;0,IFERROR(INDEX(RSK_SUP,MATCH(E107,RSK_ID,0)),"")&lt;&gt;B107),"CHECK: Risk belongs to a different supplier",IF(AND(O107&lt;&gt;"",COUNTIF(FND_ID,O107)=0),"CHECK: Finding ID not found",IF(AND(J107&lt;&gt;"",K107&lt;LEN(SUBSTITUTE(J107," ",""))-LEN(SUBSTITUTE(SUBSTITUTE(J107," ",""),",",""))+1),"CHECK: some Evidence IDs not found","OK"))))))))</f>
        <v/>
      </c>
    </row>
    <row r="108" customFormat="false" ht="15" hidden="false" customHeight="false" outlineLevel="0" collapsed="false">
      <c r="A108" s="50"/>
      <c r="B108" s="50"/>
      <c r="C108" s="59" t="str">
        <f aca="false">IF(B108="","",IFERROR(INDEX(INV_NAME,MATCH(B108,INV_ID,0)),"CHECK: Supplier ID not found"))</f>
        <v/>
      </c>
      <c r="D108" s="34"/>
      <c r="E108" s="50"/>
      <c r="F108" s="34"/>
      <c r="G108" s="34"/>
      <c r="H108" s="34"/>
      <c r="I108" s="34"/>
      <c r="J108" s="34"/>
      <c r="K108" s="62" t="str">
        <f aca="false">IF(J108="","",SUMPRODUCT(ISNUMBER(SEARCH(","&amp;EV_ID&amp;",",","&amp;SUBSTITUTE(J108," ","")&amp;","))*(EV_ID&lt;&gt;"")))</f>
        <v/>
      </c>
      <c r="L108" s="34"/>
      <c r="M108" s="34"/>
      <c r="N108" s="34"/>
      <c r="O108" s="50"/>
      <c r="P108" s="50"/>
      <c r="Q108" s="51"/>
      <c r="R108" s="34"/>
      <c r="S108" s="54" t="str">
        <f aca="false">IF(A108="","",IF(M108="Confirmed weakness","Confirmed weakness",IF(OR(M108="Evidence insufficient",L108="Insufficient"),"Assurance limitation (evidence insufficient)",IF(AND(G108="Adequate",H108="Implemented",I108="Operating",L108="Sufficient"),"Design, implementation and operation evidenced",IF(AND(G108="Adequate",H108="Implemented"),"Designed and implemented; operation not evidenced",IF(G108="Adequate","Designed; implementation not evidenced","Not yet determined"))))))</f>
        <v/>
      </c>
      <c r="T108" s="54" t="str">
        <f aca="false">IF(A108="","",IF(AND(L108="Insufficient",N108="Ineffective"),"CHECK: evidence gap rated Ineffective - not permitted; record as Evidence insufficient",IF(AND(N108="Ineffective",M108&lt;&gt;"Confirmed weakness",M108&lt;&gt;"Exception identified"),"CHECK: Ineffective without a confirmed weakness or exception","OK")))</f>
        <v/>
      </c>
      <c r="U108" s="54" t="str">
        <f aca="false">IF(A108="","",IF(COUNTIF(CA_ID,A108)&gt;1,"CHECK: duplicate ID",IF(B108="","CHECK: Supplier ID missing",IF(COUNTIF(INV_ID,B108)=0,"CHECK: Supplier ID not in inventory",IF(AND(E108&lt;&gt;"",COUNTIF(RSK_ID,E108)=0),"CHECK: Risk ID not found",IF(AND(E108&lt;&gt;"",COUNTIF(RSK_ID,E108)&gt;0,IFERROR(INDEX(RSK_SUP,MATCH(E108,RSK_ID,0)),"")&lt;&gt;B108),"CHECK: Risk belongs to a different supplier",IF(AND(O108&lt;&gt;"",COUNTIF(FND_ID,O108)=0),"CHECK: Finding ID not found",IF(AND(J108&lt;&gt;"",K108&lt;LEN(SUBSTITUTE(J108," ",""))-LEN(SUBSTITUTE(SUBSTITUTE(J108," ",""),",",""))+1),"CHECK: some Evidence IDs not found","OK"))))))))</f>
        <v/>
      </c>
    </row>
    <row r="109" customFormat="false" ht="15" hidden="false" customHeight="false" outlineLevel="0" collapsed="false">
      <c r="A109" s="50"/>
      <c r="B109" s="50"/>
      <c r="C109" s="59" t="str">
        <f aca="false">IF(B109="","",IFERROR(INDEX(INV_NAME,MATCH(B109,INV_ID,0)),"CHECK: Supplier ID not found"))</f>
        <v/>
      </c>
      <c r="D109" s="34"/>
      <c r="E109" s="50"/>
      <c r="F109" s="34"/>
      <c r="G109" s="34"/>
      <c r="H109" s="34"/>
      <c r="I109" s="34"/>
      <c r="J109" s="34"/>
      <c r="K109" s="62" t="str">
        <f aca="false">IF(J109="","",SUMPRODUCT(ISNUMBER(SEARCH(","&amp;EV_ID&amp;",",","&amp;SUBSTITUTE(J109," ","")&amp;","))*(EV_ID&lt;&gt;"")))</f>
        <v/>
      </c>
      <c r="L109" s="34"/>
      <c r="M109" s="34"/>
      <c r="N109" s="34"/>
      <c r="O109" s="50"/>
      <c r="P109" s="50"/>
      <c r="Q109" s="51"/>
      <c r="R109" s="34"/>
      <c r="S109" s="54" t="str">
        <f aca="false">IF(A109="","",IF(M109="Confirmed weakness","Confirmed weakness",IF(OR(M109="Evidence insufficient",L109="Insufficient"),"Assurance limitation (evidence insufficient)",IF(AND(G109="Adequate",H109="Implemented",I109="Operating",L109="Sufficient"),"Design, implementation and operation evidenced",IF(AND(G109="Adequate",H109="Implemented"),"Designed and implemented; operation not evidenced",IF(G109="Adequate","Designed; implementation not evidenced","Not yet determined"))))))</f>
        <v/>
      </c>
      <c r="T109" s="54" t="str">
        <f aca="false">IF(A109="","",IF(AND(L109="Insufficient",N109="Ineffective"),"CHECK: evidence gap rated Ineffective - not permitted; record as Evidence insufficient",IF(AND(N109="Ineffective",M109&lt;&gt;"Confirmed weakness",M109&lt;&gt;"Exception identified"),"CHECK: Ineffective without a confirmed weakness or exception","OK")))</f>
        <v/>
      </c>
      <c r="U109" s="54" t="str">
        <f aca="false">IF(A109="","",IF(COUNTIF(CA_ID,A109)&gt;1,"CHECK: duplicate ID",IF(B109="","CHECK: Supplier ID missing",IF(COUNTIF(INV_ID,B109)=0,"CHECK: Supplier ID not in inventory",IF(AND(E109&lt;&gt;"",COUNTIF(RSK_ID,E109)=0),"CHECK: Risk ID not found",IF(AND(E109&lt;&gt;"",COUNTIF(RSK_ID,E109)&gt;0,IFERROR(INDEX(RSK_SUP,MATCH(E109,RSK_ID,0)),"")&lt;&gt;B109),"CHECK: Risk belongs to a different supplier",IF(AND(O109&lt;&gt;"",COUNTIF(FND_ID,O109)=0),"CHECK: Finding ID not found",IF(AND(J109&lt;&gt;"",K109&lt;LEN(SUBSTITUTE(J109," ",""))-LEN(SUBSTITUTE(SUBSTITUTE(J109," ",""),",",""))+1),"CHECK: some Evidence IDs not found","OK"))))))))</f>
        <v/>
      </c>
    </row>
    <row r="110" customFormat="false" ht="15" hidden="false" customHeight="false" outlineLevel="0" collapsed="false">
      <c r="A110" s="50"/>
      <c r="B110" s="50"/>
      <c r="C110" s="59" t="str">
        <f aca="false">IF(B110="","",IFERROR(INDEX(INV_NAME,MATCH(B110,INV_ID,0)),"CHECK: Supplier ID not found"))</f>
        <v/>
      </c>
      <c r="D110" s="34"/>
      <c r="E110" s="50"/>
      <c r="F110" s="34"/>
      <c r="G110" s="34"/>
      <c r="H110" s="34"/>
      <c r="I110" s="34"/>
      <c r="J110" s="34"/>
      <c r="K110" s="62" t="str">
        <f aca="false">IF(J110="","",SUMPRODUCT(ISNUMBER(SEARCH(","&amp;EV_ID&amp;",",","&amp;SUBSTITUTE(J110," ","")&amp;","))*(EV_ID&lt;&gt;"")))</f>
        <v/>
      </c>
      <c r="L110" s="34"/>
      <c r="M110" s="34"/>
      <c r="N110" s="34"/>
      <c r="O110" s="50"/>
      <c r="P110" s="50"/>
      <c r="Q110" s="51"/>
      <c r="R110" s="34"/>
      <c r="S110" s="54" t="str">
        <f aca="false">IF(A110="","",IF(M110="Confirmed weakness","Confirmed weakness",IF(OR(M110="Evidence insufficient",L110="Insufficient"),"Assurance limitation (evidence insufficient)",IF(AND(G110="Adequate",H110="Implemented",I110="Operating",L110="Sufficient"),"Design, implementation and operation evidenced",IF(AND(G110="Adequate",H110="Implemented"),"Designed and implemented; operation not evidenced",IF(G110="Adequate","Designed; implementation not evidenced","Not yet determined"))))))</f>
        <v/>
      </c>
      <c r="T110" s="54" t="str">
        <f aca="false">IF(A110="","",IF(AND(L110="Insufficient",N110="Ineffective"),"CHECK: evidence gap rated Ineffective - not permitted; record as Evidence insufficient",IF(AND(N110="Ineffective",M110&lt;&gt;"Confirmed weakness",M110&lt;&gt;"Exception identified"),"CHECK: Ineffective without a confirmed weakness or exception","OK")))</f>
        <v/>
      </c>
      <c r="U110" s="54" t="str">
        <f aca="false">IF(A110="","",IF(COUNTIF(CA_ID,A110)&gt;1,"CHECK: duplicate ID",IF(B110="","CHECK: Supplier ID missing",IF(COUNTIF(INV_ID,B110)=0,"CHECK: Supplier ID not in inventory",IF(AND(E110&lt;&gt;"",COUNTIF(RSK_ID,E110)=0),"CHECK: Risk ID not found",IF(AND(E110&lt;&gt;"",COUNTIF(RSK_ID,E110)&gt;0,IFERROR(INDEX(RSK_SUP,MATCH(E110,RSK_ID,0)),"")&lt;&gt;B110),"CHECK: Risk belongs to a different supplier",IF(AND(O110&lt;&gt;"",COUNTIF(FND_ID,O110)=0),"CHECK: Finding ID not found",IF(AND(J110&lt;&gt;"",K110&lt;LEN(SUBSTITUTE(J110," ",""))-LEN(SUBSTITUTE(SUBSTITUTE(J110," ",""),",",""))+1),"CHECK: some Evidence IDs not found","OK"))))))))</f>
        <v/>
      </c>
    </row>
    <row r="111" customFormat="false" ht="15" hidden="false" customHeight="false" outlineLevel="0" collapsed="false">
      <c r="A111" s="50"/>
      <c r="B111" s="50"/>
      <c r="C111" s="59" t="str">
        <f aca="false">IF(B111="","",IFERROR(INDEX(INV_NAME,MATCH(B111,INV_ID,0)),"CHECK: Supplier ID not found"))</f>
        <v/>
      </c>
      <c r="D111" s="34"/>
      <c r="E111" s="50"/>
      <c r="F111" s="34"/>
      <c r="G111" s="34"/>
      <c r="H111" s="34"/>
      <c r="I111" s="34"/>
      <c r="J111" s="34"/>
      <c r="K111" s="62" t="str">
        <f aca="false">IF(J111="","",SUMPRODUCT(ISNUMBER(SEARCH(","&amp;EV_ID&amp;",",","&amp;SUBSTITUTE(J111," ","")&amp;","))*(EV_ID&lt;&gt;"")))</f>
        <v/>
      </c>
      <c r="L111" s="34"/>
      <c r="M111" s="34"/>
      <c r="N111" s="34"/>
      <c r="O111" s="50"/>
      <c r="P111" s="50"/>
      <c r="Q111" s="51"/>
      <c r="R111" s="34"/>
      <c r="S111" s="54" t="str">
        <f aca="false">IF(A111="","",IF(M111="Confirmed weakness","Confirmed weakness",IF(OR(M111="Evidence insufficient",L111="Insufficient"),"Assurance limitation (evidence insufficient)",IF(AND(G111="Adequate",H111="Implemented",I111="Operating",L111="Sufficient"),"Design, implementation and operation evidenced",IF(AND(G111="Adequate",H111="Implemented"),"Designed and implemented; operation not evidenced",IF(G111="Adequate","Designed; implementation not evidenced","Not yet determined"))))))</f>
        <v/>
      </c>
      <c r="T111" s="54" t="str">
        <f aca="false">IF(A111="","",IF(AND(L111="Insufficient",N111="Ineffective"),"CHECK: evidence gap rated Ineffective - not permitted; record as Evidence insufficient",IF(AND(N111="Ineffective",M111&lt;&gt;"Confirmed weakness",M111&lt;&gt;"Exception identified"),"CHECK: Ineffective without a confirmed weakness or exception","OK")))</f>
        <v/>
      </c>
      <c r="U111" s="54" t="str">
        <f aca="false">IF(A111="","",IF(COUNTIF(CA_ID,A111)&gt;1,"CHECK: duplicate ID",IF(B111="","CHECK: Supplier ID missing",IF(COUNTIF(INV_ID,B111)=0,"CHECK: Supplier ID not in inventory",IF(AND(E111&lt;&gt;"",COUNTIF(RSK_ID,E111)=0),"CHECK: Risk ID not found",IF(AND(E111&lt;&gt;"",COUNTIF(RSK_ID,E111)&gt;0,IFERROR(INDEX(RSK_SUP,MATCH(E111,RSK_ID,0)),"")&lt;&gt;B111),"CHECK: Risk belongs to a different supplier",IF(AND(O111&lt;&gt;"",COUNTIF(FND_ID,O111)=0),"CHECK: Finding ID not found",IF(AND(J111&lt;&gt;"",K111&lt;LEN(SUBSTITUTE(J111," ",""))-LEN(SUBSTITUTE(SUBSTITUTE(J111," ",""),",",""))+1),"CHECK: some Evidence IDs not found","OK"))))))))</f>
        <v/>
      </c>
    </row>
    <row r="112" customFormat="false" ht="15" hidden="false" customHeight="false" outlineLevel="0" collapsed="false">
      <c r="A112" s="50"/>
      <c r="B112" s="50"/>
      <c r="C112" s="59" t="str">
        <f aca="false">IF(B112="","",IFERROR(INDEX(INV_NAME,MATCH(B112,INV_ID,0)),"CHECK: Supplier ID not found"))</f>
        <v/>
      </c>
      <c r="D112" s="34"/>
      <c r="E112" s="50"/>
      <c r="F112" s="34"/>
      <c r="G112" s="34"/>
      <c r="H112" s="34"/>
      <c r="I112" s="34"/>
      <c r="J112" s="34"/>
      <c r="K112" s="62" t="str">
        <f aca="false">IF(J112="","",SUMPRODUCT(ISNUMBER(SEARCH(","&amp;EV_ID&amp;",",","&amp;SUBSTITUTE(J112," ","")&amp;","))*(EV_ID&lt;&gt;"")))</f>
        <v/>
      </c>
      <c r="L112" s="34"/>
      <c r="M112" s="34"/>
      <c r="N112" s="34"/>
      <c r="O112" s="50"/>
      <c r="P112" s="50"/>
      <c r="Q112" s="51"/>
      <c r="R112" s="34"/>
      <c r="S112" s="54" t="str">
        <f aca="false">IF(A112="","",IF(M112="Confirmed weakness","Confirmed weakness",IF(OR(M112="Evidence insufficient",L112="Insufficient"),"Assurance limitation (evidence insufficient)",IF(AND(G112="Adequate",H112="Implemented",I112="Operating",L112="Sufficient"),"Design, implementation and operation evidenced",IF(AND(G112="Adequate",H112="Implemented"),"Designed and implemented; operation not evidenced",IF(G112="Adequate","Designed; implementation not evidenced","Not yet determined"))))))</f>
        <v/>
      </c>
      <c r="T112" s="54" t="str">
        <f aca="false">IF(A112="","",IF(AND(L112="Insufficient",N112="Ineffective"),"CHECK: evidence gap rated Ineffective - not permitted; record as Evidence insufficient",IF(AND(N112="Ineffective",M112&lt;&gt;"Confirmed weakness",M112&lt;&gt;"Exception identified"),"CHECK: Ineffective without a confirmed weakness or exception","OK")))</f>
        <v/>
      </c>
      <c r="U112" s="54" t="str">
        <f aca="false">IF(A112="","",IF(COUNTIF(CA_ID,A112)&gt;1,"CHECK: duplicate ID",IF(B112="","CHECK: Supplier ID missing",IF(COUNTIF(INV_ID,B112)=0,"CHECK: Supplier ID not in inventory",IF(AND(E112&lt;&gt;"",COUNTIF(RSK_ID,E112)=0),"CHECK: Risk ID not found",IF(AND(E112&lt;&gt;"",COUNTIF(RSK_ID,E112)&gt;0,IFERROR(INDEX(RSK_SUP,MATCH(E112,RSK_ID,0)),"")&lt;&gt;B112),"CHECK: Risk belongs to a different supplier",IF(AND(O112&lt;&gt;"",COUNTIF(FND_ID,O112)=0),"CHECK: Finding ID not found",IF(AND(J112&lt;&gt;"",K112&lt;LEN(SUBSTITUTE(J112," ",""))-LEN(SUBSTITUTE(SUBSTITUTE(J112," ",""),",",""))+1),"CHECK: some Evidence IDs not found","OK"))))))))</f>
        <v/>
      </c>
    </row>
    <row r="113" customFormat="false" ht="15" hidden="false" customHeight="false" outlineLevel="0" collapsed="false">
      <c r="A113" s="50"/>
      <c r="B113" s="50"/>
      <c r="C113" s="59" t="str">
        <f aca="false">IF(B113="","",IFERROR(INDEX(INV_NAME,MATCH(B113,INV_ID,0)),"CHECK: Supplier ID not found"))</f>
        <v/>
      </c>
      <c r="D113" s="34"/>
      <c r="E113" s="50"/>
      <c r="F113" s="34"/>
      <c r="G113" s="34"/>
      <c r="H113" s="34"/>
      <c r="I113" s="34"/>
      <c r="J113" s="34"/>
      <c r="K113" s="62" t="str">
        <f aca="false">IF(J113="","",SUMPRODUCT(ISNUMBER(SEARCH(","&amp;EV_ID&amp;",",","&amp;SUBSTITUTE(J113," ","")&amp;","))*(EV_ID&lt;&gt;"")))</f>
        <v/>
      </c>
      <c r="L113" s="34"/>
      <c r="M113" s="34"/>
      <c r="N113" s="34"/>
      <c r="O113" s="50"/>
      <c r="P113" s="50"/>
      <c r="Q113" s="51"/>
      <c r="R113" s="34"/>
      <c r="S113" s="54" t="str">
        <f aca="false">IF(A113="","",IF(M113="Confirmed weakness","Confirmed weakness",IF(OR(M113="Evidence insufficient",L113="Insufficient"),"Assurance limitation (evidence insufficient)",IF(AND(G113="Adequate",H113="Implemented",I113="Operating",L113="Sufficient"),"Design, implementation and operation evidenced",IF(AND(G113="Adequate",H113="Implemented"),"Designed and implemented; operation not evidenced",IF(G113="Adequate","Designed; implementation not evidenced","Not yet determined"))))))</f>
        <v/>
      </c>
      <c r="T113" s="54" t="str">
        <f aca="false">IF(A113="","",IF(AND(L113="Insufficient",N113="Ineffective"),"CHECK: evidence gap rated Ineffective - not permitted; record as Evidence insufficient",IF(AND(N113="Ineffective",M113&lt;&gt;"Confirmed weakness",M113&lt;&gt;"Exception identified"),"CHECK: Ineffective without a confirmed weakness or exception","OK")))</f>
        <v/>
      </c>
      <c r="U113" s="54" t="str">
        <f aca="false">IF(A113="","",IF(COUNTIF(CA_ID,A113)&gt;1,"CHECK: duplicate ID",IF(B113="","CHECK: Supplier ID missing",IF(COUNTIF(INV_ID,B113)=0,"CHECK: Supplier ID not in inventory",IF(AND(E113&lt;&gt;"",COUNTIF(RSK_ID,E113)=0),"CHECK: Risk ID not found",IF(AND(E113&lt;&gt;"",COUNTIF(RSK_ID,E113)&gt;0,IFERROR(INDEX(RSK_SUP,MATCH(E113,RSK_ID,0)),"")&lt;&gt;B113),"CHECK: Risk belongs to a different supplier",IF(AND(O113&lt;&gt;"",COUNTIF(FND_ID,O113)=0),"CHECK: Finding ID not found",IF(AND(J113&lt;&gt;"",K113&lt;LEN(SUBSTITUTE(J113," ",""))-LEN(SUBSTITUTE(SUBSTITUTE(J113," ",""),",",""))+1),"CHECK: some Evidence IDs not found","OK"))))))))</f>
        <v/>
      </c>
    </row>
    <row r="114" customFormat="false" ht="15" hidden="false" customHeight="false" outlineLevel="0" collapsed="false">
      <c r="A114" s="50"/>
      <c r="B114" s="50"/>
      <c r="C114" s="59" t="str">
        <f aca="false">IF(B114="","",IFERROR(INDEX(INV_NAME,MATCH(B114,INV_ID,0)),"CHECK: Supplier ID not found"))</f>
        <v/>
      </c>
      <c r="D114" s="34"/>
      <c r="E114" s="50"/>
      <c r="F114" s="34"/>
      <c r="G114" s="34"/>
      <c r="H114" s="34"/>
      <c r="I114" s="34"/>
      <c r="J114" s="34"/>
      <c r="K114" s="62" t="str">
        <f aca="false">IF(J114="","",SUMPRODUCT(ISNUMBER(SEARCH(","&amp;EV_ID&amp;",",","&amp;SUBSTITUTE(J114," ","")&amp;","))*(EV_ID&lt;&gt;"")))</f>
        <v/>
      </c>
      <c r="L114" s="34"/>
      <c r="M114" s="34"/>
      <c r="N114" s="34"/>
      <c r="O114" s="50"/>
      <c r="P114" s="50"/>
      <c r="Q114" s="51"/>
      <c r="R114" s="34"/>
      <c r="S114" s="54" t="str">
        <f aca="false">IF(A114="","",IF(M114="Confirmed weakness","Confirmed weakness",IF(OR(M114="Evidence insufficient",L114="Insufficient"),"Assurance limitation (evidence insufficient)",IF(AND(G114="Adequate",H114="Implemented",I114="Operating",L114="Sufficient"),"Design, implementation and operation evidenced",IF(AND(G114="Adequate",H114="Implemented"),"Designed and implemented; operation not evidenced",IF(G114="Adequate","Designed; implementation not evidenced","Not yet determined"))))))</f>
        <v/>
      </c>
      <c r="T114" s="54" t="str">
        <f aca="false">IF(A114="","",IF(AND(L114="Insufficient",N114="Ineffective"),"CHECK: evidence gap rated Ineffective - not permitted; record as Evidence insufficient",IF(AND(N114="Ineffective",M114&lt;&gt;"Confirmed weakness",M114&lt;&gt;"Exception identified"),"CHECK: Ineffective without a confirmed weakness or exception","OK")))</f>
        <v/>
      </c>
      <c r="U114" s="54" t="str">
        <f aca="false">IF(A114="","",IF(COUNTIF(CA_ID,A114)&gt;1,"CHECK: duplicate ID",IF(B114="","CHECK: Supplier ID missing",IF(COUNTIF(INV_ID,B114)=0,"CHECK: Supplier ID not in inventory",IF(AND(E114&lt;&gt;"",COUNTIF(RSK_ID,E114)=0),"CHECK: Risk ID not found",IF(AND(E114&lt;&gt;"",COUNTIF(RSK_ID,E114)&gt;0,IFERROR(INDEX(RSK_SUP,MATCH(E114,RSK_ID,0)),"")&lt;&gt;B114),"CHECK: Risk belongs to a different supplier",IF(AND(O114&lt;&gt;"",COUNTIF(FND_ID,O114)=0),"CHECK: Finding ID not found",IF(AND(J114&lt;&gt;"",K114&lt;LEN(SUBSTITUTE(J114," ",""))-LEN(SUBSTITUTE(SUBSTITUTE(J114," ",""),",",""))+1),"CHECK: some Evidence IDs not found","OK"))))))))</f>
        <v/>
      </c>
    </row>
    <row r="115" customFormat="false" ht="15" hidden="false" customHeight="false" outlineLevel="0" collapsed="false">
      <c r="A115" s="50"/>
      <c r="B115" s="50"/>
      <c r="C115" s="59" t="str">
        <f aca="false">IF(B115="","",IFERROR(INDEX(INV_NAME,MATCH(B115,INV_ID,0)),"CHECK: Supplier ID not found"))</f>
        <v/>
      </c>
      <c r="D115" s="34"/>
      <c r="E115" s="50"/>
      <c r="F115" s="34"/>
      <c r="G115" s="34"/>
      <c r="H115" s="34"/>
      <c r="I115" s="34"/>
      <c r="J115" s="34"/>
      <c r="K115" s="62" t="str">
        <f aca="false">IF(J115="","",SUMPRODUCT(ISNUMBER(SEARCH(","&amp;EV_ID&amp;",",","&amp;SUBSTITUTE(J115," ","")&amp;","))*(EV_ID&lt;&gt;"")))</f>
        <v/>
      </c>
      <c r="L115" s="34"/>
      <c r="M115" s="34"/>
      <c r="N115" s="34"/>
      <c r="O115" s="50"/>
      <c r="P115" s="50"/>
      <c r="Q115" s="51"/>
      <c r="R115" s="34"/>
      <c r="S115" s="54" t="str">
        <f aca="false">IF(A115="","",IF(M115="Confirmed weakness","Confirmed weakness",IF(OR(M115="Evidence insufficient",L115="Insufficient"),"Assurance limitation (evidence insufficient)",IF(AND(G115="Adequate",H115="Implemented",I115="Operating",L115="Sufficient"),"Design, implementation and operation evidenced",IF(AND(G115="Adequate",H115="Implemented"),"Designed and implemented; operation not evidenced",IF(G115="Adequate","Designed; implementation not evidenced","Not yet determined"))))))</f>
        <v/>
      </c>
      <c r="T115" s="54" t="str">
        <f aca="false">IF(A115="","",IF(AND(L115="Insufficient",N115="Ineffective"),"CHECK: evidence gap rated Ineffective - not permitted; record as Evidence insufficient",IF(AND(N115="Ineffective",M115&lt;&gt;"Confirmed weakness",M115&lt;&gt;"Exception identified"),"CHECK: Ineffective without a confirmed weakness or exception","OK")))</f>
        <v/>
      </c>
      <c r="U115" s="54" t="str">
        <f aca="false">IF(A115="","",IF(COUNTIF(CA_ID,A115)&gt;1,"CHECK: duplicate ID",IF(B115="","CHECK: Supplier ID missing",IF(COUNTIF(INV_ID,B115)=0,"CHECK: Supplier ID not in inventory",IF(AND(E115&lt;&gt;"",COUNTIF(RSK_ID,E115)=0),"CHECK: Risk ID not found",IF(AND(E115&lt;&gt;"",COUNTIF(RSK_ID,E115)&gt;0,IFERROR(INDEX(RSK_SUP,MATCH(E115,RSK_ID,0)),"")&lt;&gt;B115),"CHECK: Risk belongs to a different supplier",IF(AND(O115&lt;&gt;"",COUNTIF(FND_ID,O115)=0),"CHECK: Finding ID not found",IF(AND(J115&lt;&gt;"",K115&lt;LEN(SUBSTITUTE(J115," ",""))-LEN(SUBSTITUTE(SUBSTITUTE(J115," ",""),",",""))+1),"CHECK: some Evidence IDs not found","OK"))))))))</f>
        <v/>
      </c>
    </row>
    <row r="116" customFormat="false" ht="15" hidden="false" customHeight="false" outlineLevel="0" collapsed="false">
      <c r="A116" s="50"/>
      <c r="B116" s="50"/>
      <c r="C116" s="59" t="str">
        <f aca="false">IF(B116="","",IFERROR(INDEX(INV_NAME,MATCH(B116,INV_ID,0)),"CHECK: Supplier ID not found"))</f>
        <v/>
      </c>
      <c r="D116" s="34"/>
      <c r="E116" s="50"/>
      <c r="F116" s="34"/>
      <c r="G116" s="34"/>
      <c r="H116" s="34"/>
      <c r="I116" s="34"/>
      <c r="J116" s="34"/>
      <c r="K116" s="62" t="str">
        <f aca="false">IF(J116="","",SUMPRODUCT(ISNUMBER(SEARCH(","&amp;EV_ID&amp;",",","&amp;SUBSTITUTE(J116," ","")&amp;","))*(EV_ID&lt;&gt;"")))</f>
        <v/>
      </c>
      <c r="L116" s="34"/>
      <c r="M116" s="34"/>
      <c r="N116" s="34"/>
      <c r="O116" s="50"/>
      <c r="P116" s="50"/>
      <c r="Q116" s="51"/>
      <c r="R116" s="34"/>
      <c r="S116" s="54" t="str">
        <f aca="false">IF(A116="","",IF(M116="Confirmed weakness","Confirmed weakness",IF(OR(M116="Evidence insufficient",L116="Insufficient"),"Assurance limitation (evidence insufficient)",IF(AND(G116="Adequate",H116="Implemented",I116="Operating",L116="Sufficient"),"Design, implementation and operation evidenced",IF(AND(G116="Adequate",H116="Implemented"),"Designed and implemented; operation not evidenced",IF(G116="Adequate","Designed; implementation not evidenced","Not yet determined"))))))</f>
        <v/>
      </c>
      <c r="T116" s="54" t="str">
        <f aca="false">IF(A116="","",IF(AND(L116="Insufficient",N116="Ineffective"),"CHECK: evidence gap rated Ineffective - not permitted; record as Evidence insufficient",IF(AND(N116="Ineffective",M116&lt;&gt;"Confirmed weakness",M116&lt;&gt;"Exception identified"),"CHECK: Ineffective without a confirmed weakness or exception","OK")))</f>
        <v/>
      </c>
      <c r="U116" s="54" t="str">
        <f aca="false">IF(A116="","",IF(COUNTIF(CA_ID,A116)&gt;1,"CHECK: duplicate ID",IF(B116="","CHECK: Supplier ID missing",IF(COUNTIF(INV_ID,B116)=0,"CHECK: Supplier ID not in inventory",IF(AND(E116&lt;&gt;"",COUNTIF(RSK_ID,E116)=0),"CHECK: Risk ID not found",IF(AND(E116&lt;&gt;"",COUNTIF(RSK_ID,E116)&gt;0,IFERROR(INDEX(RSK_SUP,MATCH(E116,RSK_ID,0)),"")&lt;&gt;B116),"CHECK: Risk belongs to a different supplier",IF(AND(O116&lt;&gt;"",COUNTIF(FND_ID,O116)=0),"CHECK: Finding ID not found",IF(AND(J116&lt;&gt;"",K116&lt;LEN(SUBSTITUTE(J116," ",""))-LEN(SUBSTITUTE(SUBSTITUTE(J116," ",""),",",""))+1),"CHECK: some Evidence IDs not found","OK"))))))))</f>
        <v/>
      </c>
    </row>
    <row r="117" customFormat="false" ht="15" hidden="false" customHeight="false" outlineLevel="0" collapsed="false">
      <c r="A117" s="50"/>
      <c r="B117" s="50"/>
      <c r="C117" s="59" t="str">
        <f aca="false">IF(B117="","",IFERROR(INDEX(INV_NAME,MATCH(B117,INV_ID,0)),"CHECK: Supplier ID not found"))</f>
        <v/>
      </c>
      <c r="D117" s="34"/>
      <c r="E117" s="50"/>
      <c r="F117" s="34"/>
      <c r="G117" s="34"/>
      <c r="H117" s="34"/>
      <c r="I117" s="34"/>
      <c r="J117" s="34"/>
      <c r="K117" s="62" t="str">
        <f aca="false">IF(J117="","",SUMPRODUCT(ISNUMBER(SEARCH(","&amp;EV_ID&amp;",",","&amp;SUBSTITUTE(J117," ","")&amp;","))*(EV_ID&lt;&gt;"")))</f>
        <v/>
      </c>
      <c r="L117" s="34"/>
      <c r="M117" s="34"/>
      <c r="N117" s="34"/>
      <c r="O117" s="50"/>
      <c r="P117" s="50"/>
      <c r="Q117" s="51"/>
      <c r="R117" s="34"/>
      <c r="S117" s="54" t="str">
        <f aca="false">IF(A117="","",IF(M117="Confirmed weakness","Confirmed weakness",IF(OR(M117="Evidence insufficient",L117="Insufficient"),"Assurance limitation (evidence insufficient)",IF(AND(G117="Adequate",H117="Implemented",I117="Operating",L117="Sufficient"),"Design, implementation and operation evidenced",IF(AND(G117="Adequate",H117="Implemented"),"Designed and implemented; operation not evidenced",IF(G117="Adequate","Designed; implementation not evidenced","Not yet determined"))))))</f>
        <v/>
      </c>
      <c r="T117" s="54" t="str">
        <f aca="false">IF(A117="","",IF(AND(L117="Insufficient",N117="Ineffective"),"CHECK: evidence gap rated Ineffective - not permitted; record as Evidence insufficient",IF(AND(N117="Ineffective",M117&lt;&gt;"Confirmed weakness",M117&lt;&gt;"Exception identified"),"CHECK: Ineffective without a confirmed weakness or exception","OK")))</f>
        <v/>
      </c>
      <c r="U117" s="54" t="str">
        <f aca="false">IF(A117="","",IF(COUNTIF(CA_ID,A117)&gt;1,"CHECK: duplicate ID",IF(B117="","CHECK: Supplier ID missing",IF(COUNTIF(INV_ID,B117)=0,"CHECK: Supplier ID not in inventory",IF(AND(E117&lt;&gt;"",COUNTIF(RSK_ID,E117)=0),"CHECK: Risk ID not found",IF(AND(E117&lt;&gt;"",COUNTIF(RSK_ID,E117)&gt;0,IFERROR(INDEX(RSK_SUP,MATCH(E117,RSK_ID,0)),"")&lt;&gt;B117),"CHECK: Risk belongs to a different supplier",IF(AND(O117&lt;&gt;"",COUNTIF(FND_ID,O117)=0),"CHECK: Finding ID not found",IF(AND(J117&lt;&gt;"",K117&lt;LEN(SUBSTITUTE(J117," ",""))-LEN(SUBSTITUTE(SUBSTITUTE(J117," ",""),",",""))+1),"CHECK: some Evidence IDs not found","OK"))))))))</f>
        <v/>
      </c>
    </row>
    <row r="118" customFormat="false" ht="15" hidden="false" customHeight="false" outlineLevel="0" collapsed="false">
      <c r="A118" s="50"/>
      <c r="B118" s="50"/>
      <c r="C118" s="59" t="str">
        <f aca="false">IF(B118="","",IFERROR(INDEX(INV_NAME,MATCH(B118,INV_ID,0)),"CHECK: Supplier ID not found"))</f>
        <v/>
      </c>
      <c r="D118" s="34"/>
      <c r="E118" s="50"/>
      <c r="F118" s="34"/>
      <c r="G118" s="34"/>
      <c r="H118" s="34"/>
      <c r="I118" s="34"/>
      <c r="J118" s="34"/>
      <c r="K118" s="62" t="str">
        <f aca="false">IF(J118="","",SUMPRODUCT(ISNUMBER(SEARCH(","&amp;EV_ID&amp;",",","&amp;SUBSTITUTE(J118," ","")&amp;","))*(EV_ID&lt;&gt;"")))</f>
        <v/>
      </c>
      <c r="L118" s="34"/>
      <c r="M118" s="34"/>
      <c r="N118" s="34"/>
      <c r="O118" s="50"/>
      <c r="P118" s="50"/>
      <c r="Q118" s="51"/>
      <c r="R118" s="34"/>
      <c r="S118" s="54" t="str">
        <f aca="false">IF(A118="","",IF(M118="Confirmed weakness","Confirmed weakness",IF(OR(M118="Evidence insufficient",L118="Insufficient"),"Assurance limitation (evidence insufficient)",IF(AND(G118="Adequate",H118="Implemented",I118="Operating",L118="Sufficient"),"Design, implementation and operation evidenced",IF(AND(G118="Adequate",H118="Implemented"),"Designed and implemented; operation not evidenced",IF(G118="Adequate","Designed; implementation not evidenced","Not yet determined"))))))</f>
        <v/>
      </c>
      <c r="T118" s="54" t="str">
        <f aca="false">IF(A118="","",IF(AND(L118="Insufficient",N118="Ineffective"),"CHECK: evidence gap rated Ineffective - not permitted; record as Evidence insufficient",IF(AND(N118="Ineffective",M118&lt;&gt;"Confirmed weakness",M118&lt;&gt;"Exception identified"),"CHECK: Ineffective without a confirmed weakness or exception","OK")))</f>
        <v/>
      </c>
      <c r="U118" s="54" t="str">
        <f aca="false">IF(A118="","",IF(COUNTIF(CA_ID,A118)&gt;1,"CHECK: duplicate ID",IF(B118="","CHECK: Supplier ID missing",IF(COUNTIF(INV_ID,B118)=0,"CHECK: Supplier ID not in inventory",IF(AND(E118&lt;&gt;"",COUNTIF(RSK_ID,E118)=0),"CHECK: Risk ID not found",IF(AND(E118&lt;&gt;"",COUNTIF(RSK_ID,E118)&gt;0,IFERROR(INDEX(RSK_SUP,MATCH(E118,RSK_ID,0)),"")&lt;&gt;B118),"CHECK: Risk belongs to a different supplier",IF(AND(O118&lt;&gt;"",COUNTIF(FND_ID,O118)=0),"CHECK: Finding ID not found",IF(AND(J118&lt;&gt;"",K118&lt;LEN(SUBSTITUTE(J118," ",""))-LEN(SUBSTITUTE(SUBSTITUTE(J118," ",""),",",""))+1),"CHECK: some Evidence IDs not found","OK"))))))))</f>
        <v/>
      </c>
    </row>
    <row r="119" customFormat="false" ht="15" hidden="false" customHeight="false" outlineLevel="0" collapsed="false">
      <c r="A119" s="50"/>
      <c r="B119" s="50"/>
      <c r="C119" s="59" t="str">
        <f aca="false">IF(B119="","",IFERROR(INDEX(INV_NAME,MATCH(B119,INV_ID,0)),"CHECK: Supplier ID not found"))</f>
        <v/>
      </c>
      <c r="D119" s="34"/>
      <c r="E119" s="50"/>
      <c r="F119" s="34"/>
      <c r="G119" s="34"/>
      <c r="H119" s="34"/>
      <c r="I119" s="34"/>
      <c r="J119" s="34"/>
      <c r="K119" s="62" t="str">
        <f aca="false">IF(J119="","",SUMPRODUCT(ISNUMBER(SEARCH(","&amp;EV_ID&amp;",",","&amp;SUBSTITUTE(J119," ","")&amp;","))*(EV_ID&lt;&gt;"")))</f>
        <v/>
      </c>
      <c r="L119" s="34"/>
      <c r="M119" s="34"/>
      <c r="N119" s="34"/>
      <c r="O119" s="50"/>
      <c r="P119" s="50"/>
      <c r="Q119" s="51"/>
      <c r="R119" s="34"/>
      <c r="S119" s="54" t="str">
        <f aca="false">IF(A119="","",IF(M119="Confirmed weakness","Confirmed weakness",IF(OR(M119="Evidence insufficient",L119="Insufficient"),"Assurance limitation (evidence insufficient)",IF(AND(G119="Adequate",H119="Implemented",I119="Operating",L119="Sufficient"),"Design, implementation and operation evidenced",IF(AND(G119="Adequate",H119="Implemented"),"Designed and implemented; operation not evidenced",IF(G119="Adequate","Designed; implementation not evidenced","Not yet determined"))))))</f>
        <v/>
      </c>
      <c r="T119" s="54" t="str">
        <f aca="false">IF(A119="","",IF(AND(L119="Insufficient",N119="Ineffective"),"CHECK: evidence gap rated Ineffective - not permitted; record as Evidence insufficient",IF(AND(N119="Ineffective",M119&lt;&gt;"Confirmed weakness",M119&lt;&gt;"Exception identified"),"CHECK: Ineffective without a confirmed weakness or exception","OK")))</f>
        <v/>
      </c>
      <c r="U119" s="54" t="str">
        <f aca="false">IF(A119="","",IF(COUNTIF(CA_ID,A119)&gt;1,"CHECK: duplicate ID",IF(B119="","CHECK: Supplier ID missing",IF(COUNTIF(INV_ID,B119)=0,"CHECK: Supplier ID not in inventory",IF(AND(E119&lt;&gt;"",COUNTIF(RSK_ID,E119)=0),"CHECK: Risk ID not found",IF(AND(E119&lt;&gt;"",COUNTIF(RSK_ID,E119)&gt;0,IFERROR(INDEX(RSK_SUP,MATCH(E119,RSK_ID,0)),"")&lt;&gt;B119),"CHECK: Risk belongs to a different supplier",IF(AND(O119&lt;&gt;"",COUNTIF(FND_ID,O119)=0),"CHECK: Finding ID not found",IF(AND(J119&lt;&gt;"",K119&lt;LEN(SUBSTITUTE(J119," ",""))-LEN(SUBSTITUTE(SUBSTITUTE(J119," ",""),",",""))+1),"CHECK: some Evidence IDs not found","OK"))))))))</f>
        <v/>
      </c>
    </row>
    <row r="120" customFormat="false" ht="15" hidden="false" customHeight="false" outlineLevel="0" collapsed="false">
      <c r="A120" s="50"/>
      <c r="B120" s="50"/>
      <c r="C120" s="59" t="str">
        <f aca="false">IF(B120="","",IFERROR(INDEX(INV_NAME,MATCH(B120,INV_ID,0)),"CHECK: Supplier ID not found"))</f>
        <v/>
      </c>
      <c r="D120" s="34"/>
      <c r="E120" s="50"/>
      <c r="F120" s="34"/>
      <c r="G120" s="34"/>
      <c r="H120" s="34"/>
      <c r="I120" s="34"/>
      <c r="J120" s="34"/>
      <c r="K120" s="62" t="str">
        <f aca="false">IF(J120="","",SUMPRODUCT(ISNUMBER(SEARCH(","&amp;EV_ID&amp;",",","&amp;SUBSTITUTE(J120," ","")&amp;","))*(EV_ID&lt;&gt;"")))</f>
        <v/>
      </c>
      <c r="L120" s="34"/>
      <c r="M120" s="34"/>
      <c r="N120" s="34"/>
      <c r="O120" s="50"/>
      <c r="P120" s="50"/>
      <c r="Q120" s="51"/>
      <c r="R120" s="34"/>
      <c r="S120" s="54" t="str">
        <f aca="false">IF(A120="","",IF(M120="Confirmed weakness","Confirmed weakness",IF(OR(M120="Evidence insufficient",L120="Insufficient"),"Assurance limitation (evidence insufficient)",IF(AND(G120="Adequate",H120="Implemented",I120="Operating",L120="Sufficient"),"Design, implementation and operation evidenced",IF(AND(G120="Adequate",H120="Implemented"),"Designed and implemented; operation not evidenced",IF(G120="Adequate","Designed; implementation not evidenced","Not yet determined"))))))</f>
        <v/>
      </c>
      <c r="T120" s="54" t="str">
        <f aca="false">IF(A120="","",IF(AND(L120="Insufficient",N120="Ineffective"),"CHECK: evidence gap rated Ineffective - not permitted; record as Evidence insufficient",IF(AND(N120="Ineffective",M120&lt;&gt;"Confirmed weakness",M120&lt;&gt;"Exception identified"),"CHECK: Ineffective without a confirmed weakness or exception","OK")))</f>
        <v/>
      </c>
      <c r="U120" s="54" t="str">
        <f aca="false">IF(A120="","",IF(COUNTIF(CA_ID,A120)&gt;1,"CHECK: duplicate ID",IF(B120="","CHECK: Supplier ID missing",IF(COUNTIF(INV_ID,B120)=0,"CHECK: Supplier ID not in inventory",IF(AND(E120&lt;&gt;"",COUNTIF(RSK_ID,E120)=0),"CHECK: Risk ID not found",IF(AND(E120&lt;&gt;"",COUNTIF(RSK_ID,E120)&gt;0,IFERROR(INDEX(RSK_SUP,MATCH(E120,RSK_ID,0)),"")&lt;&gt;B120),"CHECK: Risk belongs to a different supplier",IF(AND(O120&lt;&gt;"",COUNTIF(FND_ID,O120)=0),"CHECK: Finding ID not found",IF(AND(J120&lt;&gt;"",K120&lt;LEN(SUBSTITUTE(J120," ",""))-LEN(SUBSTITUTE(SUBSTITUTE(J120," ",""),",",""))+1),"CHECK: some Evidence IDs not found","OK"))))))))</f>
        <v/>
      </c>
    </row>
    <row r="121" customFormat="false" ht="15" hidden="false" customHeight="false" outlineLevel="0" collapsed="false">
      <c r="A121" s="50"/>
      <c r="B121" s="50"/>
      <c r="C121" s="59" t="str">
        <f aca="false">IF(B121="","",IFERROR(INDEX(INV_NAME,MATCH(B121,INV_ID,0)),"CHECK: Supplier ID not found"))</f>
        <v/>
      </c>
      <c r="D121" s="34"/>
      <c r="E121" s="50"/>
      <c r="F121" s="34"/>
      <c r="G121" s="34"/>
      <c r="H121" s="34"/>
      <c r="I121" s="34"/>
      <c r="J121" s="34"/>
      <c r="K121" s="62" t="str">
        <f aca="false">IF(J121="","",SUMPRODUCT(ISNUMBER(SEARCH(","&amp;EV_ID&amp;",",","&amp;SUBSTITUTE(J121," ","")&amp;","))*(EV_ID&lt;&gt;"")))</f>
        <v/>
      </c>
      <c r="L121" s="34"/>
      <c r="M121" s="34"/>
      <c r="N121" s="34"/>
      <c r="O121" s="50"/>
      <c r="P121" s="50"/>
      <c r="Q121" s="51"/>
      <c r="R121" s="34"/>
      <c r="S121" s="54" t="str">
        <f aca="false">IF(A121="","",IF(M121="Confirmed weakness","Confirmed weakness",IF(OR(M121="Evidence insufficient",L121="Insufficient"),"Assurance limitation (evidence insufficient)",IF(AND(G121="Adequate",H121="Implemented",I121="Operating",L121="Sufficient"),"Design, implementation and operation evidenced",IF(AND(G121="Adequate",H121="Implemented"),"Designed and implemented; operation not evidenced",IF(G121="Adequate","Designed; implementation not evidenced","Not yet determined"))))))</f>
        <v/>
      </c>
      <c r="T121" s="54" t="str">
        <f aca="false">IF(A121="","",IF(AND(L121="Insufficient",N121="Ineffective"),"CHECK: evidence gap rated Ineffective - not permitted; record as Evidence insufficient",IF(AND(N121="Ineffective",M121&lt;&gt;"Confirmed weakness",M121&lt;&gt;"Exception identified"),"CHECK: Ineffective without a confirmed weakness or exception","OK")))</f>
        <v/>
      </c>
      <c r="U121" s="54" t="str">
        <f aca="false">IF(A121="","",IF(COUNTIF(CA_ID,A121)&gt;1,"CHECK: duplicate ID",IF(B121="","CHECK: Supplier ID missing",IF(COUNTIF(INV_ID,B121)=0,"CHECK: Supplier ID not in inventory",IF(AND(E121&lt;&gt;"",COUNTIF(RSK_ID,E121)=0),"CHECK: Risk ID not found",IF(AND(E121&lt;&gt;"",COUNTIF(RSK_ID,E121)&gt;0,IFERROR(INDEX(RSK_SUP,MATCH(E121,RSK_ID,0)),"")&lt;&gt;B121),"CHECK: Risk belongs to a different supplier",IF(AND(O121&lt;&gt;"",COUNTIF(FND_ID,O121)=0),"CHECK: Finding ID not found",IF(AND(J121&lt;&gt;"",K121&lt;LEN(SUBSTITUTE(J121," ",""))-LEN(SUBSTITUTE(SUBSTITUTE(J121," ",""),",",""))+1),"CHECK: some Evidence IDs not found","OK"))))))))</f>
        <v/>
      </c>
    </row>
    <row r="122" customFormat="false" ht="15" hidden="false" customHeight="false" outlineLevel="0" collapsed="false">
      <c r="A122" s="50"/>
      <c r="B122" s="50"/>
      <c r="C122" s="59" t="str">
        <f aca="false">IF(B122="","",IFERROR(INDEX(INV_NAME,MATCH(B122,INV_ID,0)),"CHECK: Supplier ID not found"))</f>
        <v/>
      </c>
      <c r="D122" s="34"/>
      <c r="E122" s="50"/>
      <c r="F122" s="34"/>
      <c r="G122" s="34"/>
      <c r="H122" s="34"/>
      <c r="I122" s="34"/>
      <c r="J122" s="34"/>
      <c r="K122" s="62" t="str">
        <f aca="false">IF(J122="","",SUMPRODUCT(ISNUMBER(SEARCH(","&amp;EV_ID&amp;",",","&amp;SUBSTITUTE(J122," ","")&amp;","))*(EV_ID&lt;&gt;"")))</f>
        <v/>
      </c>
      <c r="L122" s="34"/>
      <c r="M122" s="34"/>
      <c r="N122" s="34"/>
      <c r="O122" s="50"/>
      <c r="P122" s="50"/>
      <c r="Q122" s="51"/>
      <c r="R122" s="34"/>
      <c r="S122" s="54" t="str">
        <f aca="false">IF(A122="","",IF(M122="Confirmed weakness","Confirmed weakness",IF(OR(M122="Evidence insufficient",L122="Insufficient"),"Assurance limitation (evidence insufficient)",IF(AND(G122="Adequate",H122="Implemented",I122="Operating",L122="Sufficient"),"Design, implementation and operation evidenced",IF(AND(G122="Adequate",H122="Implemented"),"Designed and implemented; operation not evidenced",IF(G122="Adequate","Designed; implementation not evidenced","Not yet determined"))))))</f>
        <v/>
      </c>
      <c r="T122" s="54" t="str">
        <f aca="false">IF(A122="","",IF(AND(L122="Insufficient",N122="Ineffective"),"CHECK: evidence gap rated Ineffective - not permitted; record as Evidence insufficient",IF(AND(N122="Ineffective",M122&lt;&gt;"Confirmed weakness",M122&lt;&gt;"Exception identified"),"CHECK: Ineffective without a confirmed weakness or exception","OK")))</f>
        <v/>
      </c>
      <c r="U122" s="54" t="str">
        <f aca="false">IF(A122="","",IF(COUNTIF(CA_ID,A122)&gt;1,"CHECK: duplicate ID",IF(B122="","CHECK: Supplier ID missing",IF(COUNTIF(INV_ID,B122)=0,"CHECK: Supplier ID not in inventory",IF(AND(E122&lt;&gt;"",COUNTIF(RSK_ID,E122)=0),"CHECK: Risk ID not found",IF(AND(E122&lt;&gt;"",COUNTIF(RSK_ID,E122)&gt;0,IFERROR(INDEX(RSK_SUP,MATCH(E122,RSK_ID,0)),"")&lt;&gt;B122),"CHECK: Risk belongs to a different supplier",IF(AND(O122&lt;&gt;"",COUNTIF(FND_ID,O122)=0),"CHECK: Finding ID not found",IF(AND(J122&lt;&gt;"",K122&lt;LEN(SUBSTITUTE(J122," ",""))-LEN(SUBSTITUTE(SUBSTITUTE(J122," ",""),",",""))+1),"CHECK: some Evidence IDs not found","OK"))))))))</f>
        <v/>
      </c>
    </row>
    <row r="123" customFormat="false" ht="15" hidden="false" customHeight="false" outlineLevel="0" collapsed="false">
      <c r="A123" s="50"/>
      <c r="B123" s="50"/>
      <c r="C123" s="59" t="str">
        <f aca="false">IF(B123="","",IFERROR(INDEX(INV_NAME,MATCH(B123,INV_ID,0)),"CHECK: Supplier ID not found"))</f>
        <v/>
      </c>
      <c r="D123" s="34"/>
      <c r="E123" s="50"/>
      <c r="F123" s="34"/>
      <c r="G123" s="34"/>
      <c r="H123" s="34"/>
      <c r="I123" s="34"/>
      <c r="J123" s="34"/>
      <c r="K123" s="62" t="str">
        <f aca="false">IF(J123="","",SUMPRODUCT(ISNUMBER(SEARCH(","&amp;EV_ID&amp;",",","&amp;SUBSTITUTE(J123," ","")&amp;","))*(EV_ID&lt;&gt;"")))</f>
        <v/>
      </c>
      <c r="L123" s="34"/>
      <c r="M123" s="34"/>
      <c r="N123" s="34"/>
      <c r="O123" s="50"/>
      <c r="P123" s="50"/>
      <c r="Q123" s="51"/>
      <c r="R123" s="34"/>
      <c r="S123" s="54" t="str">
        <f aca="false">IF(A123="","",IF(M123="Confirmed weakness","Confirmed weakness",IF(OR(M123="Evidence insufficient",L123="Insufficient"),"Assurance limitation (evidence insufficient)",IF(AND(G123="Adequate",H123="Implemented",I123="Operating",L123="Sufficient"),"Design, implementation and operation evidenced",IF(AND(G123="Adequate",H123="Implemented"),"Designed and implemented; operation not evidenced",IF(G123="Adequate","Designed; implementation not evidenced","Not yet determined"))))))</f>
        <v/>
      </c>
      <c r="T123" s="54" t="str">
        <f aca="false">IF(A123="","",IF(AND(L123="Insufficient",N123="Ineffective"),"CHECK: evidence gap rated Ineffective - not permitted; record as Evidence insufficient",IF(AND(N123="Ineffective",M123&lt;&gt;"Confirmed weakness",M123&lt;&gt;"Exception identified"),"CHECK: Ineffective without a confirmed weakness or exception","OK")))</f>
        <v/>
      </c>
      <c r="U123" s="54" t="str">
        <f aca="false">IF(A123="","",IF(COUNTIF(CA_ID,A123)&gt;1,"CHECK: duplicate ID",IF(B123="","CHECK: Supplier ID missing",IF(COUNTIF(INV_ID,B123)=0,"CHECK: Supplier ID not in inventory",IF(AND(E123&lt;&gt;"",COUNTIF(RSK_ID,E123)=0),"CHECK: Risk ID not found",IF(AND(E123&lt;&gt;"",COUNTIF(RSK_ID,E123)&gt;0,IFERROR(INDEX(RSK_SUP,MATCH(E123,RSK_ID,0)),"")&lt;&gt;B123),"CHECK: Risk belongs to a different supplier",IF(AND(O123&lt;&gt;"",COUNTIF(FND_ID,O123)=0),"CHECK: Finding ID not found",IF(AND(J123&lt;&gt;"",K123&lt;LEN(SUBSTITUTE(J123," ",""))-LEN(SUBSTITUTE(SUBSTITUTE(J123," ",""),",",""))+1),"CHECK: some Evidence IDs not found","OK"))))))))</f>
        <v/>
      </c>
    </row>
    <row r="124" customFormat="false" ht="15" hidden="false" customHeight="false" outlineLevel="0" collapsed="false">
      <c r="A124" s="50"/>
      <c r="B124" s="50"/>
      <c r="C124" s="59" t="str">
        <f aca="false">IF(B124="","",IFERROR(INDEX(INV_NAME,MATCH(B124,INV_ID,0)),"CHECK: Supplier ID not found"))</f>
        <v/>
      </c>
      <c r="D124" s="34"/>
      <c r="E124" s="50"/>
      <c r="F124" s="34"/>
      <c r="G124" s="34"/>
      <c r="H124" s="34"/>
      <c r="I124" s="34"/>
      <c r="J124" s="34"/>
      <c r="K124" s="62" t="str">
        <f aca="false">IF(J124="","",SUMPRODUCT(ISNUMBER(SEARCH(","&amp;EV_ID&amp;",",","&amp;SUBSTITUTE(J124," ","")&amp;","))*(EV_ID&lt;&gt;"")))</f>
        <v/>
      </c>
      <c r="L124" s="34"/>
      <c r="M124" s="34"/>
      <c r="N124" s="34"/>
      <c r="O124" s="50"/>
      <c r="P124" s="50"/>
      <c r="Q124" s="51"/>
      <c r="R124" s="34"/>
      <c r="S124" s="54" t="str">
        <f aca="false">IF(A124="","",IF(M124="Confirmed weakness","Confirmed weakness",IF(OR(M124="Evidence insufficient",L124="Insufficient"),"Assurance limitation (evidence insufficient)",IF(AND(G124="Adequate",H124="Implemented",I124="Operating",L124="Sufficient"),"Design, implementation and operation evidenced",IF(AND(G124="Adequate",H124="Implemented"),"Designed and implemented; operation not evidenced",IF(G124="Adequate","Designed; implementation not evidenced","Not yet determined"))))))</f>
        <v/>
      </c>
      <c r="T124" s="54" t="str">
        <f aca="false">IF(A124="","",IF(AND(L124="Insufficient",N124="Ineffective"),"CHECK: evidence gap rated Ineffective - not permitted; record as Evidence insufficient",IF(AND(N124="Ineffective",M124&lt;&gt;"Confirmed weakness",M124&lt;&gt;"Exception identified"),"CHECK: Ineffective without a confirmed weakness or exception","OK")))</f>
        <v/>
      </c>
      <c r="U124" s="54" t="str">
        <f aca="false">IF(A124="","",IF(COUNTIF(CA_ID,A124)&gt;1,"CHECK: duplicate ID",IF(B124="","CHECK: Supplier ID missing",IF(COUNTIF(INV_ID,B124)=0,"CHECK: Supplier ID not in inventory",IF(AND(E124&lt;&gt;"",COUNTIF(RSK_ID,E124)=0),"CHECK: Risk ID not found",IF(AND(E124&lt;&gt;"",COUNTIF(RSK_ID,E124)&gt;0,IFERROR(INDEX(RSK_SUP,MATCH(E124,RSK_ID,0)),"")&lt;&gt;B124),"CHECK: Risk belongs to a different supplier",IF(AND(O124&lt;&gt;"",COUNTIF(FND_ID,O124)=0),"CHECK: Finding ID not found",IF(AND(J124&lt;&gt;"",K124&lt;LEN(SUBSTITUTE(J124," ",""))-LEN(SUBSTITUTE(SUBSTITUTE(J124," ",""),",",""))+1),"CHECK: some Evidence IDs not found","OK"))))))))</f>
        <v/>
      </c>
    </row>
    <row r="125" customFormat="false" ht="15" hidden="false" customHeight="false" outlineLevel="0" collapsed="false">
      <c r="A125" s="50"/>
      <c r="B125" s="50"/>
      <c r="C125" s="59" t="str">
        <f aca="false">IF(B125="","",IFERROR(INDEX(INV_NAME,MATCH(B125,INV_ID,0)),"CHECK: Supplier ID not found"))</f>
        <v/>
      </c>
      <c r="D125" s="34"/>
      <c r="E125" s="50"/>
      <c r="F125" s="34"/>
      <c r="G125" s="34"/>
      <c r="H125" s="34"/>
      <c r="I125" s="34"/>
      <c r="J125" s="34"/>
      <c r="K125" s="62" t="str">
        <f aca="false">IF(J125="","",SUMPRODUCT(ISNUMBER(SEARCH(","&amp;EV_ID&amp;",",","&amp;SUBSTITUTE(J125," ","")&amp;","))*(EV_ID&lt;&gt;"")))</f>
        <v/>
      </c>
      <c r="L125" s="34"/>
      <c r="M125" s="34"/>
      <c r="N125" s="34"/>
      <c r="O125" s="50"/>
      <c r="P125" s="50"/>
      <c r="Q125" s="51"/>
      <c r="R125" s="34"/>
      <c r="S125" s="54" t="str">
        <f aca="false">IF(A125="","",IF(M125="Confirmed weakness","Confirmed weakness",IF(OR(M125="Evidence insufficient",L125="Insufficient"),"Assurance limitation (evidence insufficient)",IF(AND(G125="Adequate",H125="Implemented",I125="Operating",L125="Sufficient"),"Design, implementation and operation evidenced",IF(AND(G125="Adequate",H125="Implemented"),"Designed and implemented; operation not evidenced",IF(G125="Adequate","Designed; implementation not evidenced","Not yet determined"))))))</f>
        <v/>
      </c>
      <c r="T125" s="54" t="str">
        <f aca="false">IF(A125="","",IF(AND(L125="Insufficient",N125="Ineffective"),"CHECK: evidence gap rated Ineffective - not permitted; record as Evidence insufficient",IF(AND(N125="Ineffective",M125&lt;&gt;"Confirmed weakness",M125&lt;&gt;"Exception identified"),"CHECK: Ineffective without a confirmed weakness or exception","OK")))</f>
        <v/>
      </c>
      <c r="U125" s="54" t="str">
        <f aca="false">IF(A125="","",IF(COUNTIF(CA_ID,A125)&gt;1,"CHECK: duplicate ID",IF(B125="","CHECK: Supplier ID missing",IF(COUNTIF(INV_ID,B125)=0,"CHECK: Supplier ID not in inventory",IF(AND(E125&lt;&gt;"",COUNTIF(RSK_ID,E125)=0),"CHECK: Risk ID not found",IF(AND(E125&lt;&gt;"",COUNTIF(RSK_ID,E125)&gt;0,IFERROR(INDEX(RSK_SUP,MATCH(E125,RSK_ID,0)),"")&lt;&gt;B125),"CHECK: Risk belongs to a different supplier",IF(AND(O125&lt;&gt;"",COUNTIF(FND_ID,O125)=0),"CHECK: Finding ID not found",IF(AND(J125&lt;&gt;"",K125&lt;LEN(SUBSTITUTE(J125," ",""))-LEN(SUBSTITUTE(SUBSTITUTE(J125," ",""),",",""))+1),"CHECK: some Evidence IDs not found","OK"))))))))</f>
        <v/>
      </c>
    </row>
    <row r="126" customFormat="false" ht="15" hidden="false" customHeight="false" outlineLevel="0" collapsed="false">
      <c r="A126" s="50"/>
      <c r="B126" s="50"/>
      <c r="C126" s="59" t="str">
        <f aca="false">IF(B126="","",IFERROR(INDEX(INV_NAME,MATCH(B126,INV_ID,0)),"CHECK: Supplier ID not found"))</f>
        <v/>
      </c>
      <c r="D126" s="34"/>
      <c r="E126" s="50"/>
      <c r="F126" s="34"/>
      <c r="G126" s="34"/>
      <c r="H126" s="34"/>
      <c r="I126" s="34"/>
      <c r="J126" s="34"/>
      <c r="K126" s="62" t="str">
        <f aca="false">IF(J126="","",SUMPRODUCT(ISNUMBER(SEARCH(","&amp;EV_ID&amp;",",","&amp;SUBSTITUTE(J126," ","")&amp;","))*(EV_ID&lt;&gt;"")))</f>
        <v/>
      </c>
      <c r="L126" s="34"/>
      <c r="M126" s="34"/>
      <c r="N126" s="34"/>
      <c r="O126" s="50"/>
      <c r="P126" s="50"/>
      <c r="Q126" s="51"/>
      <c r="R126" s="34"/>
      <c r="S126" s="54" t="str">
        <f aca="false">IF(A126="","",IF(M126="Confirmed weakness","Confirmed weakness",IF(OR(M126="Evidence insufficient",L126="Insufficient"),"Assurance limitation (evidence insufficient)",IF(AND(G126="Adequate",H126="Implemented",I126="Operating",L126="Sufficient"),"Design, implementation and operation evidenced",IF(AND(G126="Adequate",H126="Implemented"),"Designed and implemented; operation not evidenced",IF(G126="Adequate","Designed; implementation not evidenced","Not yet determined"))))))</f>
        <v/>
      </c>
      <c r="T126" s="54" t="str">
        <f aca="false">IF(A126="","",IF(AND(L126="Insufficient",N126="Ineffective"),"CHECK: evidence gap rated Ineffective - not permitted; record as Evidence insufficient",IF(AND(N126="Ineffective",M126&lt;&gt;"Confirmed weakness",M126&lt;&gt;"Exception identified"),"CHECK: Ineffective without a confirmed weakness or exception","OK")))</f>
        <v/>
      </c>
      <c r="U126" s="54" t="str">
        <f aca="false">IF(A126="","",IF(COUNTIF(CA_ID,A126)&gt;1,"CHECK: duplicate ID",IF(B126="","CHECK: Supplier ID missing",IF(COUNTIF(INV_ID,B126)=0,"CHECK: Supplier ID not in inventory",IF(AND(E126&lt;&gt;"",COUNTIF(RSK_ID,E126)=0),"CHECK: Risk ID not found",IF(AND(E126&lt;&gt;"",COUNTIF(RSK_ID,E126)&gt;0,IFERROR(INDEX(RSK_SUP,MATCH(E126,RSK_ID,0)),"")&lt;&gt;B126),"CHECK: Risk belongs to a different supplier",IF(AND(O126&lt;&gt;"",COUNTIF(FND_ID,O126)=0),"CHECK: Finding ID not found",IF(AND(J126&lt;&gt;"",K126&lt;LEN(SUBSTITUTE(J126," ",""))-LEN(SUBSTITUTE(SUBSTITUTE(J126," ",""),",",""))+1),"CHECK: some Evidence IDs not found","OK"))))))))</f>
        <v/>
      </c>
    </row>
    <row r="127" customFormat="false" ht="15" hidden="false" customHeight="false" outlineLevel="0" collapsed="false">
      <c r="A127" s="50"/>
      <c r="B127" s="50"/>
      <c r="C127" s="59" t="str">
        <f aca="false">IF(B127="","",IFERROR(INDEX(INV_NAME,MATCH(B127,INV_ID,0)),"CHECK: Supplier ID not found"))</f>
        <v/>
      </c>
      <c r="D127" s="34"/>
      <c r="E127" s="50"/>
      <c r="F127" s="34"/>
      <c r="G127" s="34"/>
      <c r="H127" s="34"/>
      <c r="I127" s="34"/>
      <c r="J127" s="34"/>
      <c r="K127" s="62" t="str">
        <f aca="false">IF(J127="","",SUMPRODUCT(ISNUMBER(SEARCH(","&amp;EV_ID&amp;",",","&amp;SUBSTITUTE(J127," ","")&amp;","))*(EV_ID&lt;&gt;"")))</f>
        <v/>
      </c>
      <c r="L127" s="34"/>
      <c r="M127" s="34"/>
      <c r="N127" s="34"/>
      <c r="O127" s="50"/>
      <c r="P127" s="50"/>
      <c r="Q127" s="51"/>
      <c r="R127" s="34"/>
      <c r="S127" s="54" t="str">
        <f aca="false">IF(A127="","",IF(M127="Confirmed weakness","Confirmed weakness",IF(OR(M127="Evidence insufficient",L127="Insufficient"),"Assurance limitation (evidence insufficient)",IF(AND(G127="Adequate",H127="Implemented",I127="Operating",L127="Sufficient"),"Design, implementation and operation evidenced",IF(AND(G127="Adequate",H127="Implemented"),"Designed and implemented; operation not evidenced",IF(G127="Adequate","Designed; implementation not evidenced","Not yet determined"))))))</f>
        <v/>
      </c>
      <c r="T127" s="54" t="str">
        <f aca="false">IF(A127="","",IF(AND(L127="Insufficient",N127="Ineffective"),"CHECK: evidence gap rated Ineffective - not permitted; record as Evidence insufficient",IF(AND(N127="Ineffective",M127&lt;&gt;"Confirmed weakness",M127&lt;&gt;"Exception identified"),"CHECK: Ineffective without a confirmed weakness or exception","OK")))</f>
        <v/>
      </c>
      <c r="U127" s="54" t="str">
        <f aca="false">IF(A127="","",IF(COUNTIF(CA_ID,A127)&gt;1,"CHECK: duplicate ID",IF(B127="","CHECK: Supplier ID missing",IF(COUNTIF(INV_ID,B127)=0,"CHECK: Supplier ID not in inventory",IF(AND(E127&lt;&gt;"",COUNTIF(RSK_ID,E127)=0),"CHECK: Risk ID not found",IF(AND(E127&lt;&gt;"",COUNTIF(RSK_ID,E127)&gt;0,IFERROR(INDEX(RSK_SUP,MATCH(E127,RSK_ID,0)),"")&lt;&gt;B127),"CHECK: Risk belongs to a different supplier",IF(AND(O127&lt;&gt;"",COUNTIF(FND_ID,O127)=0),"CHECK: Finding ID not found",IF(AND(J127&lt;&gt;"",K127&lt;LEN(SUBSTITUTE(J127," ",""))-LEN(SUBSTITUTE(SUBSTITUTE(J127," ",""),",",""))+1),"CHECK: some Evidence IDs not found","OK"))))))))</f>
        <v/>
      </c>
    </row>
    <row r="128" customFormat="false" ht="15" hidden="false" customHeight="false" outlineLevel="0" collapsed="false">
      <c r="A128" s="50"/>
      <c r="B128" s="50"/>
      <c r="C128" s="59" t="str">
        <f aca="false">IF(B128="","",IFERROR(INDEX(INV_NAME,MATCH(B128,INV_ID,0)),"CHECK: Supplier ID not found"))</f>
        <v/>
      </c>
      <c r="D128" s="34"/>
      <c r="E128" s="50"/>
      <c r="F128" s="34"/>
      <c r="G128" s="34"/>
      <c r="H128" s="34"/>
      <c r="I128" s="34"/>
      <c r="J128" s="34"/>
      <c r="K128" s="62" t="str">
        <f aca="false">IF(J128="","",SUMPRODUCT(ISNUMBER(SEARCH(","&amp;EV_ID&amp;",",","&amp;SUBSTITUTE(J128," ","")&amp;","))*(EV_ID&lt;&gt;"")))</f>
        <v/>
      </c>
      <c r="L128" s="34"/>
      <c r="M128" s="34"/>
      <c r="N128" s="34"/>
      <c r="O128" s="50"/>
      <c r="P128" s="50"/>
      <c r="Q128" s="51"/>
      <c r="R128" s="34"/>
      <c r="S128" s="54" t="str">
        <f aca="false">IF(A128="","",IF(M128="Confirmed weakness","Confirmed weakness",IF(OR(M128="Evidence insufficient",L128="Insufficient"),"Assurance limitation (evidence insufficient)",IF(AND(G128="Adequate",H128="Implemented",I128="Operating",L128="Sufficient"),"Design, implementation and operation evidenced",IF(AND(G128="Adequate",H128="Implemented"),"Designed and implemented; operation not evidenced",IF(G128="Adequate","Designed; implementation not evidenced","Not yet determined"))))))</f>
        <v/>
      </c>
      <c r="T128" s="54" t="str">
        <f aca="false">IF(A128="","",IF(AND(L128="Insufficient",N128="Ineffective"),"CHECK: evidence gap rated Ineffective - not permitted; record as Evidence insufficient",IF(AND(N128="Ineffective",M128&lt;&gt;"Confirmed weakness",M128&lt;&gt;"Exception identified"),"CHECK: Ineffective without a confirmed weakness or exception","OK")))</f>
        <v/>
      </c>
      <c r="U128" s="54" t="str">
        <f aca="false">IF(A128="","",IF(COUNTIF(CA_ID,A128)&gt;1,"CHECK: duplicate ID",IF(B128="","CHECK: Supplier ID missing",IF(COUNTIF(INV_ID,B128)=0,"CHECK: Supplier ID not in inventory",IF(AND(E128&lt;&gt;"",COUNTIF(RSK_ID,E128)=0),"CHECK: Risk ID not found",IF(AND(E128&lt;&gt;"",COUNTIF(RSK_ID,E128)&gt;0,IFERROR(INDEX(RSK_SUP,MATCH(E128,RSK_ID,0)),"")&lt;&gt;B128),"CHECK: Risk belongs to a different supplier",IF(AND(O128&lt;&gt;"",COUNTIF(FND_ID,O128)=0),"CHECK: Finding ID not found",IF(AND(J128&lt;&gt;"",K128&lt;LEN(SUBSTITUTE(J128," ",""))-LEN(SUBSTITUTE(SUBSTITUTE(J128," ",""),",",""))+1),"CHECK: some Evidence IDs not found","OK"))))))))</f>
        <v/>
      </c>
    </row>
    <row r="129" customFormat="false" ht="15" hidden="false" customHeight="false" outlineLevel="0" collapsed="false">
      <c r="A129" s="50"/>
      <c r="B129" s="50"/>
      <c r="C129" s="59" t="str">
        <f aca="false">IF(B129="","",IFERROR(INDEX(INV_NAME,MATCH(B129,INV_ID,0)),"CHECK: Supplier ID not found"))</f>
        <v/>
      </c>
      <c r="D129" s="34"/>
      <c r="E129" s="50"/>
      <c r="F129" s="34"/>
      <c r="G129" s="34"/>
      <c r="H129" s="34"/>
      <c r="I129" s="34"/>
      <c r="J129" s="34"/>
      <c r="K129" s="62" t="str">
        <f aca="false">IF(J129="","",SUMPRODUCT(ISNUMBER(SEARCH(","&amp;EV_ID&amp;",",","&amp;SUBSTITUTE(J129," ","")&amp;","))*(EV_ID&lt;&gt;"")))</f>
        <v/>
      </c>
      <c r="L129" s="34"/>
      <c r="M129" s="34"/>
      <c r="N129" s="34"/>
      <c r="O129" s="50"/>
      <c r="P129" s="50"/>
      <c r="Q129" s="51"/>
      <c r="R129" s="34"/>
      <c r="S129" s="54" t="str">
        <f aca="false">IF(A129="","",IF(M129="Confirmed weakness","Confirmed weakness",IF(OR(M129="Evidence insufficient",L129="Insufficient"),"Assurance limitation (evidence insufficient)",IF(AND(G129="Adequate",H129="Implemented",I129="Operating",L129="Sufficient"),"Design, implementation and operation evidenced",IF(AND(G129="Adequate",H129="Implemented"),"Designed and implemented; operation not evidenced",IF(G129="Adequate","Designed; implementation not evidenced","Not yet determined"))))))</f>
        <v/>
      </c>
      <c r="T129" s="54" t="str">
        <f aca="false">IF(A129="","",IF(AND(L129="Insufficient",N129="Ineffective"),"CHECK: evidence gap rated Ineffective - not permitted; record as Evidence insufficient",IF(AND(N129="Ineffective",M129&lt;&gt;"Confirmed weakness",M129&lt;&gt;"Exception identified"),"CHECK: Ineffective without a confirmed weakness or exception","OK")))</f>
        <v/>
      </c>
      <c r="U129" s="54" t="str">
        <f aca="false">IF(A129="","",IF(COUNTIF(CA_ID,A129)&gt;1,"CHECK: duplicate ID",IF(B129="","CHECK: Supplier ID missing",IF(COUNTIF(INV_ID,B129)=0,"CHECK: Supplier ID not in inventory",IF(AND(E129&lt;&gt;"",COUNTIF(RSK_ID,E129)=0),"CHECK: Risk ID not found",IF(AND(E129&lt;&gt;"",COUNTIF(RSK_ID,E129)&gt;0,IFERROR(INDEX(RSK_SUP,MATCH(E129,RSK_ID,0)),"")&lt;&gt;B129),"CHECK: Risk belongs to a different supplier",IF(AND(O129&lt;&gt;"",COUNTIF(FND_ID,O129)=0),"CHECK: Finding ID not found",IF(AND(J129&lt;&gt;"",K129&lt;LEN(SUBSTITUTE(J129," ",""))-LEN(SUBSTITUTE(SUBSTITUTE(J129," ",""),",",""))+1),"CHECK: some Evidence IDs not found","OK"))))))))</f>
        <v/>
      </c>
    </row>
    <row r="130" customFormat="false" ht="15" hidden="false" customHeight="false" outlineLevel="0" collapsed="false">
      <c r="A130" s="50"/>
      <c r="B130" s="50"/>
      <c r="C130" s="59" t="str">
        <f aca="false">IF(B130="","",IFERROR(INDEX(INV_NAME,MATCH(B130,INV_ID,0)),"CHECK: Supplier ID not found"))</f>
        <v/>
      </c>
      <c r="D130" s="34"/>
      <c r="E130" s="50"/>
      <c r="F130" s="34"/>
      <c r="G130" s="34"/>
      <c r="H130" s="34"/>
      <c r="I130" s="34"/>
      <c r="J130" s="34"/>
      <c r="K130" s="62" t="str">
        <f aca="false">IF(J130="","",SUMPRODUCT(ISNUMBER(SEARCH(","&amp;EV_ID&amp;",",","&amp;SUBSTITUTE(J130," ","")&amp;","))*(EV_ID&lt;&gt;"")))</f>
        <v/>
      </c>
      <c r="L130" s="34"/>
      <c r="M130" s="34"/>
      <c r="N130" s="34"/>
      <c r="O130" s="50"/>
      <c r="P130" s="50"/>
      <c r="Q130" s="51"/>
      <c r="R130" s="34"/>
      <c r="S130" s="54" t="str">
        <f aca="false">IF(A130="","",IF(M130="Confirmed weakness","Confirmed weakness",IF(OR(M130="Evidence insufficient",L130="Insufficient"),"Assurance limitation (evidence insufficient)",IF(AND(G130="Adequate",H130="Implemented",I130="Operating",L130="Sufficient"),"Design, implementation and operation evidenced",IF(AND(G130="Adequate",H130="Implemented"),"Designed and implemented; operation not evidenced",IF(G130="Adequate","Designed; implementation not evidenced","Not yet determined"))))))</f>
        <v/>
      </c>
      <c r="T130" s="54" t="str">
        <f aca="false">IF(A130="","",IF(AND(L130="Insufficient",N130="Ineffective"),"CHECK: evidence gap rated Ineffective - not permitted; record as Evidence insufficient",IF(AND(N130="Ineffective",M130&lt;&gt;"Confirmed weakness",M130&lt;&gt;"Exception identified"),"CHECK: Ineffective without a confirmed weakness or exception","OK")))</f>
        <v/>
      </c>
      <c r="U130" s="54" t="str">
        <f aca="false">IF(A130="","",IF(COUNTIF(CA_ID,A130)&gt;1,"CHECK: duplicate ID",IF(B130="","CHECK: Supplier ID missing",IF(COUNTIF(INV_ID,B130)=0,"CHECK: Supplier ID not in inventory",IF(AND(E130&lt;&gt;"",COUNTIF(RSK_ID,E130)=0),"CHECK: Risk ID not found",IF(AND(E130&lt;&gt;"",COUNTIF(RSK_ID,E130)&gt;0,IFERROR(INDEX(RSK_SUP,MATCH(E130,RSK_ID,0)),"")&lt;&gt;B130),"CHECK: Risk belongs to a different supplier",IF(AND(O130&lt;&gt;"",COUNTIF(FND_ID,O130)=0),"CHECK: Finding ID not found",IF(AND(J130&lt;&gt;"",K130&lt;LEN(SUBSTITUTE(J130," ",""))-LEN(SUBSTITUTE(SUBSTITUTE(J130," ",""),",",""))+1),"CHECK: some Evidence IDs not found","OK"))))))))</f>
        <v/>
      </c>
    </row>
    <row r="131" customFormat="false" ht="15" hidden="false" customHeight="false" outlineLevel="0" collapsed="false">
      <c r="A131" s="50"/>
      <c r="B131" s="50"/>
      <c r="C131" s="59" t="str">
        <f aca="false">IF(B131="","",IFERROR(INDEX(INV_NAME,MATCH(B131,INV_ID,0)),"CHECK: Supplier ID not found"))</f>
        <v/>
      </c>
      <c r="D131" s="34"/>
      <c r="E131" s="50"/>
      <c r="F131" s="34"/>
      <c r="G131" s="34"/>
      <c r="H131" s="34"/>
      <c r="I131" s="34"/>
      <c r="J131" s="34"/>
      <c r="K131" s="62" t="str">
        <f aca="false">IF(J131="","",SUMPRODUCT(ISNUMBER(SEARCH(","&amp;EV_ID&amp;",",","&amp;SUBSTITUTE(J131," ","")&amp;","))*(EV_ID&lt;&gt;"")))</f>
        <v/>
      </c>
      <c r="L131" s="34"/>
      <c r="M131" s="34"/>
      <c r="N131" s="34"/>
      <c r="O131" s="50"/>
      <c r="P131" s="50"/>
      <c r="Q131" s="51"/>
      <c r="R131" s="34"/>
      <c r="S131" s="54" t="str">
        <f aca="false">IF(A131="","",IF(M131="Confirmed weakness","Confirmed weakness",IF(OR(M131="Evidence insufficient",L131="Insufficient"),"Assurance limitation (evidence insufficient)",IF(AND(G131="Adequate",H131="Implemented",I131="Operating",L131="Sufficient"),"Design, implementation and operation evidenced",IF(AND(G131="Adequate",H131="Implemented"),"Designed and implemented; operation not evidenced",IF(G131="Adequate","Designed; implementation not evidenced","Not yet determined"))))))</f>
        <v/>
      </c>
      <c r="T131" s="54" t="str">
        <f aca="false">IF(A131="","",IF(AND(L131="Insufficient",N131="Ineffective"),"CHECK: evidence gap rated Ineffective - not permitted; record as Evidence insufficient",IF(AND(N131="Ineffective",M131&lt;&gt;"Confirmed weakness",M131&lt;&gt;"Exception identified"),"CHECK: Ineffective without a confirmed weakness or exception","OK")))</f>
        <v/>
      </c>
      <c r="U131" s="54" t="str">
        <f aca="false">IF(A131="","",IF(COUNTIF(CA_ID,A131)&gt;1,"CHECK: duplicate ID",IF(B131="","CHECK: Supplier ID missing",IF(COUNTIF(INV_ID,B131)=0,"CHECK: Supplier ID not in inventory",IF(AND(E131&lt;&gt;"",COUNTIF(RSK_ID,E131)=0),"CHECK: Risk ID not found",IF(AND(E131&lt;&gt;"",COUNTIF(RSK_ID,E131)&gt;0,IFERROR(INDEX(RSK_SUP,MATCH(E131,RSK_ID,0)),"")&lt;&gt;B131),"CHECK: Risk belongs to a different supplier",IF(AND(O131&lt;&gt;"",COUNTIF(FND_ID,O131)=0),"CHECK: Finding ID not found",IF(AND(J131&lt;&gt;"",K131&lt;LEN(SUBSTITUTE(J131," ",""))-LEN(SUBSTITUTE(SUBSTITUTE(J131," ",""),",",""))+1),"CHECK: some Evidence IDs not found","OK"))))))))</f>
        <v/>
      </c>
    </row>
    <row r="132" customFormat="false" ht="15" hidden="false" customHeight="false" outlineLevel="0" collapsed="false">
      <c r="A132" s="50"/>
      <c r="B132" s="50"/>
      <c r="C132" s="59" t="str">
        <f aca="false">IF(B132="","",IFERROR(INDEX(INV_NAME,MATCH(B132,INV_ID,0)),"CHECK: Supplier ID not found"))</f>
        <v/>
      </c>
      <c r="D132" s="34"/>
      <c r="E132" s="50"/>
      <c r="F132" s="34"/>
      <c r="G132" s="34"/>
      <c r="H132" s="34"/>
      <c r="I132" s="34"/>
      <c r="J132" s="34"/>
      <c r="K132" s="62" t="str">
        <f aca="false">IF(J132="","",SUMPRODUCT(ISNUMBER(SEARCH(","&amp;EV_ID&amp;",",","&amp;SUBSTITUTE(J132," ","")&amp;","))*(EV_ID&lt;&gt;"")))</f>
        <v/>
      </c>
      <c r="L132" s="34"/>
      <c r="M132" s="34"/>
      <c r="N132" s="34"/>
      <c r="O132" s="50"/>
      <c r="P132" s="50"/>
      <c r="Q132" s="51"/>
      <c r="R132" s="34"/>
      <c r="S132" s="54" t="str">
        <f aca="false">IF(A132="","",IF(M132="Confirmed weakness","Confirmed weakness",IF(OR(M132="Evidence insufficient",L132="Insufficient"),"Assurance limitation (evidence insufficient)",IF(AND(G132="Adequate",H132="Implemented",I132="Operating",L132="Sufficient"),"Design, implementation and operation evidenced",IF(AND(G132="Adequate",H132="Implemented"),"Designed and implemented; operation not evidenced",IF(G132="Adequate","Designed; implementation not evidenced","Not yet determined"))))))</f>
        <v/>
      </c>
      <c r="T132" s="54" t="str">
        <f aca="false">IF(A132="","",IF(AND(L132="Insufficient",N132="Ineffective"),"CHECK: evidence gap rated Ineffective - not permitted; record as Evidence insufficient",IF(AND(N132="Ineffective",M132&lt;&gt;"Confirmed weakness",M132&lt;&gt;"Exception identified"),"CHECK: Ineffective without a confirmed weakness or exception","OK")))</f>
        <v/>
      </c>
      <c r="U132" s="54" t="str">
        <f aca="false">IF(A132="","",IF(COUNTIF(CA_ID,A132)&gt;1,"CHECK: duplicate ID",IF(B132="","CHECK: Supplier ID missing",IF(COUNTIF(INV_ID,B132)=0,"CHECK: Supplier ID not in inventory",IF(AND(E132&lt;&gt;"",COUNTIF(RSK_ID,E132)=0),"CHECK: Risk ID not found",IF(AND(E132&lt;&gt;"",COUNTIF(RSK_ID,E132)&gt;0,IFERROR(INDEX(RSK_SUP,MATCH(E132,RSK_ID,0)),"")&lt;&gt;B132),"CHECK: Risk belongs to a different supplier",IF(AND(O132&lt;&gt;"",COUNTIF(FND_ID,O132)=0),"CHECK: Finding ID not found",IF(AND(J132&lt;&gt;"",K132&lt;LEN(SUBSTITUTE(J132," ",""))-LEN(SUBSTITUTE(SUBSTITUTE(J132," ",""),",",""))+1),"CHECK: some Evidence IDs not found","OK"))))))))</f>
        <v/>
      </c>
    </row>
    <row r="133" customFormat="false" ht="15" hidden="false" customHeight="false" outlineLevel="0" collapsed="false">
      <c r="A133" s="50"/>
      <c r="B133" s="50"/>
      <c r="C133" s="59" t="str">
        <f aca="false">IF(B133="","",IFERROR(INDEX(INV_NAME,MATCH(B133,INV_ID,0)),"CHECK: Supplier ID not found"))</f>
        <v/>
      </c>
      <c r="D133" s="34"/>
      <c r="E133" s="50"/>
      <c r="F133" s="34"/>
      <c r="G133" s="34"/>
      <c r="H133" s="34"/>
      <c r="I133" s="34"/>
      <c r="J133" s="34"/>
      <c r="K133" s="62" t="str">
        <f aca="false">IF(J133="","",SUMPRODUCT(ISNUMBER(SEARCH(","&amp;EV_ID&amp;",",","&amp;SUBSTITUTE(J133," ","")&amp;","))*(EV_ID&lt;&gt;"")))</f>
        <v/>
      </c>
      <c r="L133" s="34"/>
      <c r="M133" s="34"/>
      <c r="N133" s="34"/>
      <c r="O133" s="50"/>
      <c r="P133" s="50"/>
      <c r="Q133" s="51"/>
      <c r="R133" s="34"/>
      <c r="S133" s="54" t="str">
        <f aca="false">IF(A133="","",IF(M133="Confirmed weakness","Confirmed weakness",IF(OR(M133="Evidence insufficient",L133="Insufficient"),"Assurance limitation (evidence insufficient)",IF(AND(G133="Adequate",H133="Implemented",I133="Operating",L133="Sufficient"),"Design, implementation and operation evidenced",IF(AND(G133="Adequate",H133="Implemented"),"Designed and implemented; operation not evidenced",IF(G133="Adequate","Designed; implementation not evidenced","Not yet determined"))))))</f>
        <v/>
      </c>
      <c r="T133" s="54" t="str">
        <f aca="false">IF(A133="","",IF(AND(L133="Insufficient",N133="Ineffective"),"CHECK: evidence gap rated Ineffective - not permitted; record as Evidence insufficient",IF(AND(N133="Ineffective",M133&lt;&gt;"Confirmed weakness",M133&lt;&gt;"Exception identified"),"CHECK: Ineffective without a confirmed weakness or exception","OK")))</f>
        <v/>
      </c>
      <c r="U133" s="54" t="str">
        <f aca="false">IF(A133="","",IF(COUNTIF(CA_ID,A133)&gt;1,"CHECK: duplicate ID",IF(B133="","CHECK: Supplier ID missing",IF(COUNTIF(INV_ID,B133)=0,"CHECK: Supplier ID not in inventory",IF(AND(E133&lt;&gt;"",COUNTIF(RSK_ID,E133)=0),"CHECK: Risk ID not found",IF(AND(E133&lt;&gt;"",COUNTIF(RSK_ID,E133)&gt;0,IFERROR(INDEX(RSK_SUP,MATCH(E133,RSK_ID,0)),"")&lt;&gt;B133),"CHECK: Risk belongs to a different supplier",IF(AND(O133&lt;&gt;"",COUNTIF(FND_ID,O133)=0),"CHECK: Finding ID not found",IF(AND(J133&lt;&gt;"",K133&lt;LEN(SUBSTITUTE(J133," ",""))-LEN(SUBSTITUTE(SUBSTITUTE(J133," ",""),",",""))+1),"CHECK: some Evidence IDs not found","OK"))))))))</f>
        <v/>
      </c>
    </row>
    <row r="134" customFormat="false" ht="15" hidden="false" customHeight="false" outlineLevel="0" collapsed="false">
      <c r="A134" s="50"/>
      <c r="B134" s="50"/>
      <c r="C134" s="59" t="str">
        <f aca="false">IF(B134="","",IFERROR(INDEX(INV_NAME,MATCH(B134,INV_ID,0)),"CHECK: Supplier ID not found"))</f>
        <v/>
      </c>
      <c r="D134" s="34"/>
      <c r="E134" s="50"/>
      <c r="F134" s="34"/>
      <c r="G134" s="34"/>
      <c r="H134" s="34"/>
      <c r="I134" s="34"/>
      <c r="J134" s="34"/>
      <c r="K134" s="62" t="str">
        <f aca="false">IF(J134="","",SUMPRODUCT(ISNUMBER(SEARCH(","&amp;EV_ID&amp;",",","&amp;SUBSTITUTE(J134," ","")&amp;","))*(EV_ID&lt;&gt;"")))</f>
        <v/>
      </c>
      <c r="L134" s="34"/>
      <c r="M134" s="34"/>
      <c r="N134" s="34"/>
      <c r="O134" s="50"/>
      <c r="P134" s="50"/>
      <c r="Q134" s="51"/>
      <c r="R134" s="34"/>
      <c r="S134" s="54" t="str">
        <f aca="false">IF(A134="","",IF(M134="Confirmed weakness","Confirmed weakness",IF(OR(M134="Evidence insufficient",L134="Insufficient"),"Assurance limitation (evidence insufficient)",IF(AND(G134="Adequate",H134="Implemented",I134="Operating",L134="Sufficient"),"Design, implementation and operation evidenced",IF(AND(G134="Adequate",H134="Implemented"),"Designed and implemented; operation not evidenced",IF(G134="Adequate","Designed; implementation not evidenced","Not yet determined"))))))</f>
        <v/>
      </c>
      <c r="T134" s="54" t="str">
        <f aca="false">IF(A134="","",IF(AND(L134="Insufficient",N134="Ineffective"),"CHECK: evidence gap rated Ineffective - not permitted; record as Evidence insufficient",IF(AND(N134="Ineffective",M134&lt;&gt;"Confirmed weakness",M134&lt;&gt;"Exception identified"),"CHECK: Ineffective without a confirmed weakness or exception","OK")))</f>
        <v/>
      </c>
      <c r="U134" s="54" t="str">
        <f aca="false">IF(A134="","",IF(COUNTIF(CA_ID,A134)&gt;1,"CHECK: duplicate ID",IF(B134="","CHECK: Supplier ID missing",IF(COUNTIF(INV_ID,B134)=0,"CHECK: Supplier ID not in inventory",IF(AND(E134&lt;&gt;"",COUNTIF(RSK_ID,E134)=0),"CHECK: Risk ID not found",IF(AND(E134&lt;&gt;"",COUNTIF(RSK_ID,E134)&gt;0,IFERROR(INDEX(RSK_SUP,MATCH(E134,RSK_ID,0)),"")&lt;&gt;B134),"CHECK: Risk belongs to a different supplier",IF(AND(O134&lt;&gt;"",COUNTIF(FND_ID,O134)=0),"CHECK: Finding ID not found",IF(AND(J134&lt;&gt;"",K134&lt;LEN(SUBSTITUTE(J134," ",""))-LEN(SUBSTITUTE(SUBSTITUTE(J134," ",""),",",""))+1),"CHECK: some Evidence IDs not found","OK"))))))))</f>
        <v/>
      </c>
    </row>
    <row r="135" customFormat="false" ht="15" hidden="false" customHeight="false" outlineLevel="0" collapsed="false">
      <c r="A135" s="50"/>
      <c r="B135" s="50"/>
      <c r="C135" s="59" t="str">
        <f aca="false">IF(B135="","",IFERROR(INDEX(INV_NAME,MATCH(B135,INV_ID,0)),"CHECK: Supplier ID not found"))</f>
        <v/>
      </c>
      <c r="D135" s="34"/>
      <c r="E135" s="50"/>
      <c r="F135" s="34"/>
      <c r="G135" s="34"/>
      <c r="H135" s="34"/>
      <c r="I135" s="34"/>
      <c r="J135" s="34"/>
      <c r="K135" s="62" t="str">
        <f aca="false">IF(J135="","",SUMPRODUCT(ISNUMBER(SEARCH(","&amp;EV_ID&amp;",",","&amp;SUBSTITUTE(J135," ","")&amp;","))*(EV_ID&lt;&gt;"")))</f>
        <v/>
      </c>
      <c r="L135" s="34"/>
      <c r="M135" s="34"/>
      <c r="N135" s="34"/>
      <c r="O135" s="50"/>
      <c r="P135" s="50"/>
      <c r="Q135" s="51"/>
      <c r="R135" s="34"/>
      <c r="S135" s="54" t="str">
        <f aca="false">IF(A135="","",IF(M135="Confirmed weakness","Confirmed weakness",IF(OR(M135="Evidence insufficient",L135="Insufficient"),"Assurance limitation (evidence insufficient)",IF(AND(G135="Adequate",H135="Implemented",I135="Operating",L135="Sufficient"),"Design, implementation and operation evidenced",IF(AND(G135="Adequate",H135="Implemented"),"Designed and implemented; operation not evidenced",IF(G135="Adequate","Designed; implementation not evidenced","Not yet determined"))))))</f>
        <v/>
      </c>
      <c r="T135" s="54" t="str">
        <f aca="false">IF(A135="","",IF(AND(L135="Insufficient",N135="Ineffective"),"CHECK: evidence gap rated Ineffective - not permitted; record as Evidence insufficient",IF(AND(N135="Ineffective",M135&lt;&gt;"Confirmed weakness",M135&lt;&gt;"Exception identified"),"CHECK: Ineffective without a confirmed weakness or exception","OK")))</f>
        <v/>
      </c>
      <c r="U135" s="54" t="str">
        <f aca="false">IF(A135="","",IF(COUNTIF(CA_ID,A135)&gt;1,"CHECK: duplicate ID",IF(B135="","CHECK: Supplier ID missing",IF(COUNTIF(INV_ID,B135)=0,"CHECK: Supplier ID not in inventory",IF(AND(E135&lt;&gt;"",COUNTIF(RSK_ID,E135)=0),"CHECK: Risk ID not found",IF(AND(E135&lt;&gt;"",COUNTIF(RSK_ID,E135)&gt;0,IFERROR(INDEX(RSK_SUP,MATCH(E135,RSK_ID,0)),"")&lt;&gt;B135),"CHECK: Risk belongs to a different supplier",IF(AND(O135&lt;&gt;"",COUNTIF(FND_ID,O135)=0),"CHECK: Finding ID not found",IF(AND(J135&lt;&gt;"",K135&lt;LEN(SUBSTITUTE(J135," ",""))-LEN(SUBSTITUTE(SUBSTITUTE(J135," ",""),",",""))+1),"CHECK: some Evidence IDs not found","OK"))))))))</f>
        <v/>
      </c>
    </row>
    <row r="136" customFormat="false" ht="15" hidden="false" customHeight="false" outlineLevel="0" collapsed="false">
      <c r="A136" s="50"/>
      <c r="B136" s="50"/>
      <c r="C136" s="59" t="str">
        <f aca="false">IF(B136="","",IFERROR(INDEX(INV_NAME,MATCH(B136,INV_ID,0)),"CHECK: Supplier ID not found"))</f>
        <v/>
      </c>
      <c r="D136" s="34"/>
      <c r="E136" s="50"/>
      <c r="F136" s="34"/>
      <c r="G136" s="34"/>
      <c r="H136" s="34"/>
      <c r="I136" s="34"/>
      <c r="J136" s="34"/>
      <c r="K136" s="62" t="str">
        <f aca="false">IF(J136="","",SUMPRODUCT(ISNUMBER(SEARCH(","&amp;EV_ID&amp;",",","&amp;SUBSTITUTE(J136," ","")&amp;","))*(EV_ID&lt;&gt;"")))</f>
        <v/>
      </c>
      <c r="L136" s="34"/>
      <c r="M136" s="34"/>
      <c r="N136" s="34"/>
      <c r="O136" s="50"/>
      <c r="P136" s="50"/>
      <c r="Q136" s="51"/>
      <c r="R136" s="34"/>
      <c r="S136" s="54" t="str">
        <f aca="false">IF(A136="","",IF(M136="Confirmed weakness","Confirmed weakness",IF(OR(M136="Evidence insufficient",L136="Insufficient"),"Assurance limitation (evidence insufficient)",IF(AND(G136="Adequate",H136="Implemented",I136="Operating",L136="Sufficient"),"Design, implementation and operation evidenced",IF(AND(G136="Adequate",H136="Implemented"),"Designed and implemented; operation not evidenced",IF(G136="Adequate","Designed; implementation not evidenced","Not yet determined"))))))</f>
        <v/>
      </c>
      <c r="T136" s="54" t="str">
        <f aca="false">IF(A136="","",IF(AND(L136="Insufficient",N136="Ineffective"),"CHECK: evidence gap rated Ineffective - not permitted; record as Evidence insufficient",IF(AND(N136="Ineffective",M136&lt;&gt;"Confirmed weakness",M136&lt;&gt;"Exception identified"),"CHECK: Ineffective without a confirmed weakness or exception","OK")))</f>
        <v/>
      </c>
      <c r="U136" s="54" t="str">
        <f aca="false">IF(A136="","",IF(COUNTIF(CA_ID,A136)&gt;1,"CHECK: duplicate ID",IF(B136="","CHECK: Supplier ID missing",IF(COUNTIF(INV_ID,B136)=0,"CHECK: Supplier ID not in inventory",IF(AND(E136&lt;&gt;"",COUNTIF(RSK_ID,E136)=0),"CHECK: Risk ID not found",IF(AND(E136&lt;&gt;"",COUNTIF(RSK_ID,E136)&gt;0,IFERROR(INDEX(RSK_SUP,MATCH(E136,RSK_ID,0)),"")&lt;&gt;B136),"CHECK: Risk belongs to a different supplier",IF(AND(O136&lt;&gt;"",COUNTIF(FND_ID,O136)=0),"CHECK: Finding ID not found",IF(AND(J136&lt;&gt;"",K136&lt;LEN(SUBSTITUTE(J136," ",""))-LEN(SUBSTITUTE(SUBSTITUTE(J136," ",""),",",""))+1),"CHECK: some Evidence IDs not found","OK"))))))))</f>
        <v/>
      </c>
    </row>
    <row r="137" customFormat="false" ht="15" hidden="false" customHeight="false" outlineLevel="0" collapsed="false">
      <c r="A137" s="50"/>
      <c r="B137" s="50"/>
      <c r="C137" s="59" t="str">
        <f aca="false">IF(B137="","",IFERROR(INDEX(INV_NAME,MATCH(B137,INV_ID,0)),"CHECK: Supplier ID not found"))</f>
        <v/>
      </c>
      <c r="D137" s="34"/>
      <c r="E137" s="50"/>
      <c r="F137" s="34"/>
      <c r="G137" s="34"/>
      <c r="H137" s="34"/>
      <c r="I137" s="34"/>
      <c r="J137" s="34"/>
      <c r="K137" s="62" t="str">
        <f aca="false">IF(J137="","",SUMPRODUCT(ISNUMBER(SEARCH(","&amp;EV_ID&amp;",",","&amp;SUBSTITUTE(J137," ","")&amp;","))*(EV_ID&lt;&gt;"")))</f>
        <v/>
      </c>
      <c r="L137" s="34"/>
      <c r="M137" s="34"/>
      <c r="N137" s="34"/>
      <c r="O137" s="50"/>
      <c r="P137" s="50"/>
      <c r="Q137" s="51"/>
      <c r="R137" s="34"/>
      <c r="S137" s="54" t="str">
        <f aca="false">IF(A137="","",IF(M137="Confirmed weakness","Confirmed weakness",IF(OR(M137="Evidence insufficient",L137="Insufficient"),"Assurance limitation (evidence insufficient)",IF(AND(G137="Adequate",H137="Implemented",I137="Operating",L137="Sufficient"),"Design, implementation and operation evidenced",IF(AND(G137="Adequate",H137="Implemented"),"Designed and implemented; operation not evidenced",IF(G137="Adequate","Designed; implementation not evidenced","Not yet determined"))))))</f>
        <v/>
      </c>
      <c r="T137" s="54" t="str">
        <f aca="false">IF(A137="","",IF(AND(L137="Insufficient",N137="Ineffective"),"CHECK: evidence gap rated Ineffective - not permitted; record as Evidence insufficient",IF(AND(N137="Ineffective",M137&lt;&gt;"Confirmed weakness",M137&lt;&gt;"Exception identified"),"CHECK: Ineffective without a confirmed weakness or exception","OK")))</f>
        <v/>
      </c>
      <c r="U137" s="54" t="str">
        <f aca="false">IF(A137="","",IF(COUNTIF(CA_ID,A137)&gt;1,"CHECK: duplicate ID",IF(B137="","CHECK: Supplier ID missing",IF(COUNTIF(INV_ID,B137)=0,"CHECK: Supplier ID not in inventory",IF(AND(E137&lt;&gt;"",COUNTIF(RSK_ID,E137)=0),"CHECK: Risk ID not found",IF(AND(E137&lt;&gt;"",COUNTIF(RSK_ID,E137)&gt;0,IFERROR(INDEX(RSK_SUP,MATCH(E137,RSK_ID,0)),"")&lt;&gt;B137),"CHECK: Risk belongs to a different supplier",IF(AND(O137&lt;&gt;"",COUNTIF(FND_ID,O137)=0),"CHECK: Finding ID not found",IF(AND(J137&lt;&gt;"",K137&lt;LEN(SUBSTITUTE(J137," ",""))-LEN(SUBSTITUTE(SUBSTITUTE(J137," ",""),",",""))+1),"CHECK: some Evidence IDs not found","OK"))))))))</f>
        <v/>
      </c>
    </row>
    <row r="138" customFormat="false" ht="15" hidden="false" customHeight="false" outlineLevel="0" collapsed="false">
      <c r="A138" s="50"/>
      <c r="B138" s="50"/>
      <c r="C138" s="59" t="str">
        <f aca="false">IF(B138="","",IFERROR(INDEX(INV_NAME,MATCH(B138,INV_ID,0)),"CHECK: Supplier ID not found"))</f>
        <v/>
      </c>
      <c r="D138" s="34"/>
      <c r="E138" s="50"/>
      <c r="F138" s="34"/>
      <c r="G138" s="34"/>
      <c r="H138" s="34"/>
      <c r="I138" s="34"/>
      <c r="J138" s="34"/>
      <c r="K138" s="62" t="str">
        <f aca="false">IF(J138="","",SUMPRODUCT(ISNUMBER(SEARCH(","&amp;EV_ID&amp;",",","&amp;SUBSTITUTE(J138," ","")&amp;","))*(EV_ID&lt;&gt;"")))</f>
        <v/>
      </c>
      <c r="L138" s="34"/>
      <c r="M138" s="34"/>
      <c r="N138" s="34"/>
      <c r="O138" s="50"/>
      <c r="P138" s="50"/>
      <c r="Q138" s="51"/>
      <c r="R138" s="34"/>
      <c r="S138" s="54" t="str">
        <f aca="false">IF(A138="","",IF(M138="Confirmed weakness","Confirmed weakness",IF(OR(M138="Evidence insufficient",L138="Insufficient"),"Assurance limitation (evidence insufficient)",IF(AND(G138="Adequate",H138="Implemented",I138="Operating",L138="Sufficient"),"Design, implementation and operation evidenced",IF(AND(G138="Adequate",H138="Implemented"),"Designed and implemented; operation not evidenced",IF(G138="Adequate","Designed; implementation not evidenced","Not yet determined"))))))</f>
        <v/>
      </c>
      <c r="T138" s="54" t="str">
        <f aca="false">IF(A138="","",IF(AND(L138="Insufficient",N138="Ineffective"),"CHECK: evidence gap rated Ineffective - not permitted; record as Evidence insufficient",IF(AND(N138="Ineffective",M138&lt;&gt;"Confirmed weakness",M138&lt;&gt;"Exception identified"),"CHECK: Ineffective without a confirmed weakness or exception","OK")))</f>
        <v/>
      </c>
      <c r="U138" s="54" t="str">
        <f aca="false">IF(A138="","",IF(COUNTIF(CA_ID,A138)&gt;1,"CHECK: duplicate ID",IF(B138="","CHECK: Supplier ID missing",IF(COUNTIF(INV_ID,B138)=0,"CHECK: Supplier ID not in inventory",IF(AND(E138&lt;&gt;"",COUNTIF(RSK_ID,E138)=0),"CHECK: Risk ID not found",IF(AND(E138&lt;&gt;"",COUNTIF(RSK_ID,E138)&gt;0,IFERROR(INDEX(RSK_SUP,MATCH(E138,RSK_ID,0)),"")&lt;&gt;B138),"CHECK: Risk belongs to a different supplier",IF(AND(O138&lt;&gt;"",COUNTIF(FND_ID,O138)=0),"CHECK: Finding ID not found",IF(AND(J138&lt;&gt;"",K138&lt;LEN(SUBSTITUTE(J138," ",""))-LEN(SUBSTITUTE(SUBSTITUTE(J138," ",""),",",""))+1),"CHECK: some Evidence IDs not found","OK"))))))))</f>
        <v/>
      </c>
    </row>
    <row r="139" customFormat="false" ht="15" hidden="false" customHeight="false" outlineLevel="0" collapsed="false">
      <c r="A139" s="50"/>
      <c r="B139" s="50"/>
      <c r="C139" s="59" t="str">
        <f aca="false">IF(B139="","",IFERROR(INDEX(INV_NAME,MATCH(B139,INV_ID,0)),"CHECK: Supplier ID not found"))</f>
        <v/>
      </c>
      <c r="D139" s="34"/>
      <c r="E139" s="50"/>
      <c r="F139" s="34"/>
      <c r="G139" s="34"/>
      <c r="H139" s="34"/>
      <c r="I139" s="34"/>
      <c r="J139" s="34"/>
      <c r="K139" s="62" t="str">
        <f aca="false">IF(J139="","",SUMPRODUCT(ISNUMBER(SEARCH(","&amp;EV_ID&amp;",",","&amp;SUBSTITUTE(J139," ","")&amp;","))*(EV_ID&lt;&gt;"")))</f>
        <v/>
      </c>
      <c r="L139" s="34"/>
      <c r="M139" s="34"/>
      <c r="N139" s="34"/>
      <c r="O139" s="50"/>
      <c r="P139" s="50"/>
      <c r="Q139" s="51"/>
      <c r="R139" s="34"/>
      <c r="S139" s="54" t="str">
        <f aca="false">IF(A139="","",IF(M139="Confirmed weakness","Confirmed weakness",IF(OR(M139="Evidence insufficient",L139="Insufficient"),"Assurance limitation (evidence insufficient)",IF(AND(G139="Adequate",H139="Implemented",I139="Operating",L139="Sufficient"),"Design, implementation and operation evidenced",IF(AND(G139="Adequate",H139="Implemented"),"Designed and implemented; operation not evidenced",IF(G139="Adequate","Designed; implementation not evidenced","Not yet determined"))))))</f>
        <v/>
      </c>
      <c r="T139" s="54" t="str">
        <f aca="false">IF(A139="","",IF(AND(L139="Insufficient",N139="Ineffective"),"CHECK: evidence gap rated Ineffective - not permitted; record as Evidence insufficient",IF(AND(N139="Ineffective",M139&lt;&gt;"Confirmed weakness",M139&lt;&gt;"Exception identified"),"CHECK: Ineffective without a confirmed weakness or exception","OK")))</f>
        <v/>
      </c>
      <c r="U139" s="54" t="str">
        <f aca="false">IF(A139="","",IF(COUNTIF(CA_ID,A139)&gt;1,"CHECK: duplicate ID",IF(B139="","CHECK: Supplier ID missing",IF(COUNTIF(INV_ID,B139)=0,"CHECK: Supplier ID not in inventory",IF(AND(E139&lt;&gt;"",COUNTIF(RSK_ID,E139)=0),"CHECK: Risk ID not found",IF(AND(E139&lt;&gt;"",COUNTIF(RSK_ID,E139)&gt;0,IFERROR(INDEX(RSK_SUP,MATCH(E139,RSK_ID,0)),"")&lt;&gt;B139),"CHECK: Risk belongs to a different supplier",IF(AND(O139&lt;&gt;"",COUNTIF(FND_ID,O139)=0),"CHECK: Finding ID not found",IF(AND(J139&lt;&gt;"",K139&lt;LEN(SUBSTITUTE(J139," ",""))-LEN(SUBSTITUTE(SUBSTITUTE(J139," ",""),",",""))+1),"CHECK: some Evidence IDs not found","OK"))))))))</f>
        <v/>
      </c>
    </row>
    <row r="140" customFormat="false" ht="15" hidden="false" customHeight="false" outlineLevel="0" collapsed="false">
      <c r="A140" s="50"/>
      <c r="B140" s="50"/>
      <c r="C140" s="59" t="str">
        <f aca="false">IF(B140="","",IFERROR(INDEX(INV_NAME,MATCH(B140,INV_ID,0)),"CHECK: Supplier ID not found"))</f>
        <v/>
      </c>
      <c r="D140" s="34"/>
      <c r="E140" s="50"/>
      <c r="F140" s="34"/>
      <c r="G140" s="34"/>
      <c r="H140" s="34"/>
      <c r="I140" s="34"/>
      <c r="J140" s="34"/>
      <c r="K140" s="62" t="str">
        <f aca="false">IF(J140="","",SUMPRODUCT(ISNUMBER(SEARCH(","&amp;EV_ID&amp;",",","&amp;SUBSTITUTE(J140," ","")&amp;","))*(EV_ID&lt;&gt;"")))</f>
        <v/>
      </c>
      <c r="L140" s="34"/>
      <c r="M140" s="34"/>
      <c r="N140" s="34"/>
      <c r="O140" s="50"/>
      <c r="P140" s="50"/>
      <c r="Q140" s="51"/>
      <c r="R140" s="34"/>
      <c r="S140" s="54" t="str">
        <f aca="false">IF(A140="","",IF(M140="Confirmed weakness","Confirmed weakness",IF(OR(M140="Evidence insufficient",L140="Insufficient"),"Assurance limitation (evidence insufficient)",IF(AND(G140="Adequate",H140="Implemented",I140="Operating",L140="Sufficient"),"Design, implementation and operation evidenced",IF(AND(G140="Adequate",H140="Implemented"),"Designed and implemented; operation not evidenced",IF(G140="Adequate","Designed; implementation not evidenced","Not yet determined"))))))</f>
        <v/>
      </c>
      <c r="T140" s="54" t="str">
        <f aca="false">IF(A140="","",IF(AND(L140="Insufficient",N140="Ineffective"),"CHECK: evidence gap rated Ineffective - not permitted; record as Evidence insufficient",IF(AND(N140="Ineffective",M140&lt;&gt;"Confirmed weakness",M140&lt;&gt;"Exception identified"),"CHECK: Ineffective without a confirmed weakness or exception","OK")))</f>
        <v/>
      </c>
      <c r="U140" s="54" t="str">
        <f aca="false">IF(A140="","",IF(COUNTIF(CA_ID,A140)&gt;1,"CHECK: duplicate ID",IF(B140="","CHECK: Supplier ID missing",IF(COUNTIF(INV_ID,B140)=0,"CHECK: Supplier ID not in inventory",IF(AND(E140&lt;&gt;"",COUNTIF(RSK_ID,E140)=0),"CHECK: Risk ID not found",IF(AND(E140&lt;&gt;"",COUNTIF(RSK_ID,E140)&gt;0,IFERROR(INDEX(RSK_SUP,MATCH(E140,RSK_ID,0)),"")&lt;&gt;B140),"CHECK: Risk belongs to a different supplier",IF(AND(O140&lt;&gt;"",COUNTIF(FND_ID,O140)=0),"CHECK: Finding ID not found",IF(AND(J140&lt;&gt;"",K140&lt;LEN(SUBSTITUTE(J140," ",""))-LEN(SUBSTITUTE(SUBSTITUTE(J140," ",""),",",""))+1),"CHECK: some Evidence IDs not found","OK"))))))))</f>
        <v/>
      </c>
    </row>
    <row r="141" customFormat="false" ht="15" hidden="false" customHeight="false" outlineLevel="0" collapsed="false">
      <c r="A141" s="50"/>
      <c r="B141" s="50"/>
      <c r="C141" s="59" t="str">
        <f aca="false">IF(B141="","",IFERROR(INDEX(INV_NAME,MATCH(B141,INV_ID,0)),"CHECK: Supplier ID not found"))</f>
        <v/>
      </c>
      <c r="D141" s="34"/>
      <c r="E141" s="50"/>
      <c r="F141" s="34"/>
      <c r="G141" s="34"/>
      <c r="H141" s="34"/>
      <c r="I141" s="34"/>
      <c r="J141" s="34"/>
      <c r="K141" s="62" t="str">
        <f aca="false">IF(J141="","",SUMPRODUCT(ISNUMBER(SEARCH(","&amp;EV_ID&amp;",",","&amp;SUBSTITUTE(J141," ","")&amp;","))*(EV_ID&lt;&gt;"")))</f>
        <v/>
      </c>
      <c r="L141" s="34"/>
      <c r="M141" s="34"/>
      <c r="N141" s="34"/>
      <c r="O141" s="50"/>
      <c r="P141" s="50"/>
      <c r="Q141" s="51"/>
      <c r="R141" s="34"/>
      <c r="S141" s="54" t="str">
        <f aca="false">IF(A141="","",IF(M141="Confirmed weakness","Confirmed weakness",IF(OR(M141="Evidence insufficient",L141="Insufficient"),"Assurance limitation (evidence insufficient)",IF(AND(G141="Adequate",H141="Implemented",I141="Operating",L141="Sufficient"),"Design, implementation and operation evidenced",IF(AND(G141="Adequate",H141="Implemented"),"Designed and implemented; operation not evidenced",IF(G141="Adequate","Designed; implementation not evidenced","Not yet determined"))))))</f>
        <v/>
      </c>
      <c r="T141" s="54" t="str">
        <f aca="false">IF(A141="","",IF(AND(L141="Insufficient",N141="Ineffective"),"CHECK: evidence gap rated Ineffective - not permitted; record as Evidence insufficient",IF(AND(N141="Ineffective",M141&lt;&gt;"Confirmed weakness",M141&lt;&gt;"Exception identified"),"CHECK: Ineffective without a confirmed weakness or exception","OK")))</f>
        <v/>
      </c>
      <c r="U141" s="54" t="str">
        <f aca="false">IF(A141="","",IF(COUNTIF(CA_ID,A141)&gt;1,"CHECK: duplicate ID",IF(B141="","CHECK: Supplier ID missing",IF(COUNTIF(INV_ID,B141)=0,"CHECK: Supplier ID not in inventory",IF(AND(E141&lt;&gt;"",COUNTIF(RSK_ID,E141)=0),"CHECK: Risk ID not found",IF(AND(E141&lt;&gt;"",COUNTIF(RSK_ID,E141)&gt;0,IFERROR(INDEX(RSK_SUP,MATCH(E141,RSK_ID,0)),"")&lt;&gt;B141),"CHECK: Risk belongs to a different supplier",IF(AND(O141&lt;&gt;"",COUNTIF(FND_ID,O141)=0),"CHECK: Finding ID not found",IF(AND(J141&lt;&gt;"",K141&lt;LEN(SUBSTITUTE(J141," ",""))-LEN(SUBSTITUTE(SUBSTITUTE(J141," ",""),",",""))+1),"CHECK: some Evidence IDs not found","OK"))))))))</f>
        <v/>
      </c>
    </row>
    <row r="142" customFormat="false" ht="15" hidden="false" customHeight="false" outlineLevel="0" collapsed="false">
      <c r="A142" s="50"/>
      <c r="B142" s="50"/>
      <c r="C142" s="59" t="str">
        <f aca="false">IF(B142="","",IFERROR(INDEX(INV_NAME,MATCH(B142,INV_ID,0)),"CHECK: Supplier ID not found"))</f>
        <v/>
      </c>
      <c r="D142" s="34"/>
      <c r="E142" s="50"/>
      <c r="F142" s="34"/>
      <c r="G142" s="34"/>
      <c r="H142" s="34"/>
      <c r="I142" s="34"/>
      <c r="J142" s="34"/>
      <c r="K142" s="62" t="str">
        <f aca="false">IF(J142="","",SUMPRODUCT(ISNUMBER(SEARCH(","&amp;EV_ID&amp;",",","&amp;SUBSTITUTE(J142," ","")&amp;","))*(EV_ID&lt;&gt;"")))</f>
        <v/>
      </c>
      <c r="L142" s="34"/>
      <c r="M142" s="34"/>
      <c r="N142" s="34"/>
      <c r="O142" s="50"/>
      <c r="P142" s="50"/>
      <c r="Q142" s="51"/>
      <c r="R142" s="34"/>
      <c r="S142" s="54" t="str">
        <f aca="false">IF(A142="","",IF(M142="Confirmed weakness","Confirmed weakness",IF(OR(M142="Evidence insufficient",L142="Insufficient"),"Assurance limitation (evidence insufficient)",IF(AND(G142="Adequate",H142="Implemented",I142="Operating",L142="Sufficient"),"Design, implementation and operation evidenced",IF(AND(G142="Adequate",H142="Implemented"),"Designed and implemented; operation not evidenced",IF(G142="Adequate","Designed; implementation not evidenced","Not yet determined"))))))</f>
        <v/>
      </c>
      <c r="T142" s="54" t="str">
        <f aca="false">IF(A142="","",IF(AND(L142="Insufficient",N142="Ineffective"),"CHECK: evidence gap rated Ineffective - not permitted; record as Evidence insufficient",IF(AND(N142="Ineffective",M142&lt;&gt;"Confirmed weakness",M142&lt;&gt;"Exception identified"),"CHECK: Ineffective without a confirmed weakness or exception","OK")))</f>
        <v/>
      </c>
      <c r="U142" s="54" t="str">
        <f aca="false">IF(A142="","",IF(COUNTIF(CA_ID,A142)&gt;1,"CHECK: duplicate ID",IF(B142="","CHECK: Supplier ID missing",IF(COUNTIF(INV_ID,B142)=0,"CHECK: Supplier ID not in inventory",IF(AND(E142&lt;&gt;"",COUNTIF(RSK_ID,E142)=0),"CHECK: Risk ID not found",IF(AND(E142&lt;&gt;"",COUNTIF(RSK_ID,E142)&gt;0,IFERROR(INDEX(RSK_SUP,MATCH(E142,RSK_ID,0)),"")&lt;&gt;B142),"CHECK: Risk belongs to a different supplier",IF(AND(O142&lt;&gt;"",COUNTIF(FND_ID,O142)=0),"CHECK: Finding ID not found",IF(AND(J142&lt;&gt;"",K142&lt;LEN(SUBSTITUTE(J142," ",""))-LEN(SUBSTITUTE(SUBSTITUTE(J142," ",""),",",""))+1),"CHECK: some Evidence IDs not found","OK"))))))))</f>
        <v/>
      </c>
    </row>
    <row r="143" customFormat="false" ht="15" hidden="false" customHeight="false" outlineLevel="0" collapsed="false">
      <c r="A143" s="50"/>
      <c r="B143" s="50"/>
      <c r="C143" s="59" t="str">
        <f aca="false">IF(B143="","",IFERROR(INDEX(INV_NAME,MATCH(B143,INV_ID,0)),"CHECK: Supplier ID not found"))</f>
        <v/>
      </c>
      <c r="D143" s="34"/>
      <c r="E143" s="50"/>
      <c r="F143" s="34"/>
      <c r="G143" s="34"/>
      <c r="H143" s="34"/>
      <c r="I143" s="34"/>
      <c r="J143" s="34"/>
      <c r="K143" s="62" t="str">
        <f aca="false">IF(J143="","",SUMPRODUCT(ISNUMBER(SEARCH(","&amp;EV_ID&amp;",",","&amp;SUBSTITUTE(J143," ","")&amp;","))*(EV_ID&lt;&gt;"")))</f>
        <v/>
      </c>
      <c r="L143" s="34"/>
      <c r="M143" s="34"/>
      <c r="N143" s="34"/>
      <c r="O143" s="50"/>
      <c r="P143" s="50"/>
      <c r="Q143" s="51"/>
      <c r="R143" s="34"/>
      <c r="S143" s="54" t="str">
        <f aca="false">IF(A143="","",IF(M143="Confirmed weakness","Confirmed weakness",IF(OR(M143="Evidence insufficient",L143="Insufficient"),"Assurance limitation (evidence insufficient)",IF(AND(G143="Adequate",H143="Implemented",I143="Operating",L143="Sufficient"),"Design, implementation and operation evidenced",IF(AND(G143="Adequate",H143="Implemented"),"Designed and implemented; operation not evidenced",IF(G143="Adequate","Designed; implementation not evidenced","Not yet determined"))))))</f>
        <v/>
      </c>
      <c r="T143" s="54" t="str">
        <f aca="false">IF(A143="","",IF(AND(L143="Insufficient",N143="Ineffective"),"CHECK: evidence gap rated Ineffective - not permitted; record as Evidence insufficient",IF(AND(N143="Ineffective",M143&lt;&gt;"Confirmed weakness",M143&lt;&gt;"Exception identified"),"CHECK: Ineffective without a confirmed weakness or exception","OK")))</f>
        <v/>
      </c>
      <c r="U143" s="54" t="str">
        <f aca="false">IF(A143="","",IF(COUNTIF(CA_ID,A143)&gt;1,"CHECK: duplicate ID",IF(B143="","CHECK: Supplier ID missing",IF(COUNTIF(INV_ID,B143)=0,"CHECK: Supplier ID not in inventory",IF(AND(E143&lt;&gt;"",COUNTIF(RSK_ID,E143)=0),"CHECK: Risk ID not found",IF(AND(E143&lt;&gt;"",COUNTIF(RSK_ID,E143)&gt;0,IFERROR(INDEX(RSK_SUP,MATCH(E143,RSK_ID,0)),"")&lt;&gt;B143),"CHECK: Risk belongs to a different supplier",IF(AND(O143&lt;&gt;"",COUNTIF(FND_ID,O143)=0),"CHECK: Finding ID not found",IF(AND(J143&lt;&gt;"",K143&lt;LEN(SUBSTITUTE(J143," ",""))-LEN(SUBSTITUTE(SUBSTITUTE(J143," ",""),",",""))+1),"CHECK: some Evidence IDs not found","OK"))))))))</f>
        <v/>
      </c>
    </row>
    <row r="144" customFormat="false" ht="15" hidden="false" customHeight="false" outlineLevel="0" collapsed="false">
      <c r="A144" s="50"/>
      <c r="B144" s="50"/>
      <c r="C144" s="59" t="str">
        <f aca="false">IF(B144="","",IFERROR(INDEX(INV_NAME,MATCH(B144,INV_ID,0)),"CHECK: Supplier ID not found"))</f>
        <v/>
      </c>
      <c r="D144" s="34"/>
      <c r="E144" s="50"/>
      <c r="F144" s="34"/>
      <c r="G144" s="34"/>
      <c r="H144" s="34"/>
      <c r="I144" s="34"/>
      <c r="J144" s="34"/>
      <c r="K144" s="62" t="str">
        <f aca="false">IF(J144="","",SUMPRODUCT(ISNUMBER(SEARCH(","&amp;EV_ID&amp;",",","&amp;SUBSTITUTE(J144," ","")&amp;","))*(EV_ID&lt;&gt;"")))</f>
        <v/>
      </c>
      <c r="L144" s="34"/>
      <c r="M144" s="34"/>
      <c r="N144" s="34"/>
      <c r="O144" s="50"/>
      <c r="P144" s="50"/>
      <c r="Q144" s="51"/>
      <c r="R144" s="34"/>
      <c r="S144" s="54" t="str">
        <f aca="false">IF(A144="","",IF(M144="Confirmed weakness","Confirmed weakness",IF(OR(M144="Evidence insufficient",L144="Insufficient"),"Assurance limitation (evidence insufficient)",IF(AND(G144="Adequate",H144="Implemented",I144="Operating",L144="Sufficient"),"Design, implementation and operation evidenced",IF(AND(G144="Adequate",H144="Implemented"),"Designed and implemented; operation not evidenced",IF(G144="Adequate","Designed; implementation not evidenced","Not yet determined"))))))</f>
        <v/>
      </c>
      <c r="T144" s="54" t="str">
        <f aca="false">IF(A144="","",IF(AND(L144="Insufficient",N144="Ineffective"),"CHECK: evidence gap rated Ineffective - not permitted; record as Evidence insufficient",IF(AND(N144="Ineffective",M144&lt;&gt;"Confirmed weakness",M144&lt;&gt;"Exception identified"),"CHECK: Ineffective without a confirmed weakness or exception","OK")))</f>
        <v/>
      </c>
      <c r="U144" s="54" t="str">
        <f aca="false">IF(A144="","",IF(COUNTIF(CA_ID,A144)&gt;1,"CHECK: duplicate ID",IF(B144="","CHECK: Supplier ID missing",IF(COUNTIF(INV_ID,B144)=0,"CHECK: Supplier ID not in inventory",IF(AND(E144&lt;&gt;"",COUNTIF(RSK_ID,E144)=0),"CHECK: Risk ID not found",IF(AND(E144&lt;&gt;"",COUNTIF(RSK_ID,E144)&gt;0,IFERROR(INDEX(RSK_SUP,MATCH(E144,RSK_ID,0)),"")&lt;&gt;B144),"CHECK: Risk belongs to a different supplier",IF(AND(O144&lt;&gt;"",COUNTIF(FND_ID,O144)=0),"CHECK: Finding ID not found",IF(AND(J144&lt;&gt;"",K144&lt;LEN(SUBSTITUTE(J144," ",""))-LEN(SUBSTITUTE(SUBSTITUTE(J144," ",""),",",""))+1),"CHECK: some Evidence IDs not found","OK"))))))))</f>
        <v/>
      </c>
    </row>
    <row r="145" customFormat="false" ht="15" hidden="false" customHeight="false" outlineLevel="0" collapsed="false">
      <c r="A145" s="50"/>
      <c r="B145" s="50"/>
      <c r="C145" s="59" t="str">
        <f aca="false">IF(B145="","",IFERROR(INDEX(INV_NAME,MATCH(B145,INV_ID,0)),"CHECK: Supplier ID not found"))</f>
        <v/>
      </c>
      <c r="D145" s="34"/>
      <c r="E145" s="50"/>
      <c r="F145" s="34"/>
      <c r="G145" s="34"/>
      <c r="H145" s="34"/>
      <c r="I145" s="34"/>
      <c r="J145" s="34"/>
      <c r="K145" s="62" t="str">
        <f aca="false">IF(J145="","",SUMPRODUCT(ISNUMBER(SEARCH(","&amp;EV_ID&amp;",",","&amp;SUBSTITUTE(J145," ","")&amp;","))*(EV_ID&lt;&gt;"")))</f>
        <v/>
      </c>
      <c r="L145" s="34"/>
      <c r="M145" s="34"/>
      <c r="N145" s="34"/>
      <c r="O145" s="50"/>
      <c r="P145" s="50"/>
      <c r="Q145" s="51"/>
      <c r="R145" s="34"/>
      <c r="S145" s="54" t="str">
        <f aca="false">IF(A145="","",IF(M145="Confirmed weakness","Confirmed weakness",IF(OR(M145="Evidence insufficient",L145="Insufficient"),"Assurance limitation (evidence insufficient)",IF(AND(G145="Adequate",H145="Implemented",I145="Operating",L145="Sufficient"),"Design, implementation and operation evidenced",IF(AND(G145="Adequate",H145="Implemented"),"Designed and implemented; operation not evidenced",IF(G145="Adequate","Designed; implementation not evidenced","Not yet determined"))))))</f>
        <v/>
      </c>
      <c r="T145" s="54" t="str">
        <f aca="false">IF(A145="","",IF(AND(L145="Insufficient",N145="Ineffective"),"CHECK: evidence gap rated Ineffective - not permitted; record as Evidence insufficient",IF(AND(N145="Ineffective",M145&lt;&gt;"Confirmed weakness",M145&lt;&gt;"Exception identified"),"CHECK: Ineffective without a confirmed weakness or exception","OK")))</f>
        <v/>
      </c>
      <c r="U145" s="54" t="str">
        <f aca="false">IF(A145="","",IF(COUNTIF(CA_ID,A145)&gt;1,"CHECK: duplicate ID",IF(B145="","CHECK: Supplier ID missing",IF(COUNTIF(INV_ID,B145)=0,"CHECK: Supplier ID not in inventory",IF(AND(E145&lt;&gt;"",COUNTIF(RSK_ID,E145)=0),"CHECK: Risk ID not found",IF(AND(E145&lt;&gt;"",COUNTIF(RSK_ID,E145)&gt;0,IFERROR(INDEX(RSK_SUP,MATCH(E145,RSK_ID,0)),"")&lt;&gt;B145),"CHECK: Risk belongs to a different supplier",IF(AND(O145&lt;&gt;"",COUNTIF(FND_ID,O145)=0),"CHECK: Finding ID not found",IF(AND(J145&lt;&gt;"",K145&lt;LEN(SUBSTITUTE(J145," ",""))-LEN(SUBSTITUTE(SUBSTITUTE(J145," ",""),",",""))+1),"CHECK: some Evidence IDs not found","OK"))))))))</f>
        <v/>
      </c>
    </row>
    <row r="146" customFormat="false" ht="15" hidden="false" customHeight="false" outlineLevel="0" collapsed="false">
      <c r="A146" s="50"/>
      <c r="B146" s="50"/>
      <c r="C146" s="59" t="str">
        <f aca="false">IF(B146="","",IFERROR(INDEX(INV_NAME,MATCH(B146,INV_ID,0)),"CHECK: Supplier ID not found"))</f>
        <v/>
      </c>
      <c r="D146" s="34"/>
      <c r="E146" s="50"/>
      <c r="F146" s="34"/>
      <c r="G146" s="34"/>
      <c r="H146" s="34"/>
      <c r="I146" s="34"/>
      <c r="J146" s="34"/>
      <c r="K146" s="62" t="str">
        <f aca="false">IF(J146="","",SUMPRODUCT(ISNUMBER(SEARCH(","&amp;EV_ID&amp;",",","&amp;SUBSTITUTE(J146," ","")&amp;","))*(EV_ID&lt;&gt;"")))</f>
        <v/>
      </c>
      <c r="L146" s="34"/>
      <c r="M146" s="34"/>
      <c r="N146" s="34"/>
      <c r="O146" s="50"/>
      <c r="P146" s="50"/>
      <c r="Q146" s="51"/>
      <c r="R146" s="34"/>
      <c r="S146" s="54" t="str">
        <f aca="false">IF(A146="","",IF(M146="Confirmed weakness","Confirmed weakness",IF(OR(M146="Evidence insufficient",L146="Insufficient"),"Assurance limitation (evidence insufficient)",IF(AND(G146="Adequate",H146="Implemented",I146="Operating",L146="Sufficient"),"Design, implementation and operation evidenced",IF(AND(G146="Adequate",H146="Implemented"),"Designed and implemented; operation not evidenced",IF(G146="Adequate","Designed; implementation not evidenced","Not yet determined"))))))</f>
        <v/>
      </c>
      <c r="T146" s="54" t="str">
        <f aca="false">IF(A146="","",IF(AND(L146="Insufficient",N146="Ineffective"),"CHECK: evidence gap rated Ineffective - not permitted; record as Evidence insufficient",IF(AND(N146="Ineffective",M146&lt;&gt;"Confirmed weakness",M146&lt;&gt;"Exception identified"),"CHECK: Ineffective without a confirmed weakness or exception","OK")))</f>
        <v/>
      </c>
      <c r="U146" s="54" t="str">
        <f aca="false">IF(A146="","",IF(COUNTIF(CA_ID,A146)&gt;1,"CHECK: duplicate ID",IF(B146="","CHECK: Supplier ID missing",IF(COUNTIF(INV_ID,B146)=0,"CHECK: Supplier ID not in inventory",IF(AND(E146&lt;&gt;"",COUNTIF(RSK_ID,E146)=0),"CHECK: Risk ID not found",IF(AND(E146&lt;&gt;"",COUNTIF(RSK_ID,E146)&gt;0,IFERROR(INDEX(RSK_SUP,MATCH(E146,RSK_ID,0)),"")&lt;&gt;B146),"CHECK: Risk belongs to a different supplier",IF(AND(O146&lt;&gt;"",COUNTIF(FND_ID,O146)=0),"CHECK: Finding ID not found",IF(AND(J146&lt;&gt;"",K146&lt;LEN(SUBSTITUTE(J146," ",""))-LEN(SUBSTITUTE(SUBSTITUTE(J146," ",""),",",""))+1),"CHECK: some Evidence IDs not found","OK"))))))))</f>
        <v/>
      </c>
    </row>
    <row r="147" customFormat="false" ht="15" hidden="false" customHeight="false" outlineLevel="0" collapsed="false">
      <c r="A147" s="50"/>
      <c r="B147" s="50"/>
      <c r="C147" s="59" t="str">
        <f aca="false">IF(B147="","",IFERROR(INDEX(INV_NAME,MATCH(B147,INV_ID,0)),"CHECK: Supplier ID not found"))</f>
        <v/>
      </c>
      <c r="D147" s="34"/>
      <c r="E147" s="50"/>
      <c r="F147" s="34"/>
      <c r="G147" s="34"/>
      <c r="H147" s="34"/>
      <c r="I147" s="34"/>
      <c r="J147" s="34"/>
      <c r="K147" s="62" t="str">
        <f aca="false">IF(J147="","",SUMPRODUCT(ISNUMBER(SEARCH(","&amp;EV_ID&amp;",",","&amp;SUBSTITUTE(J147," ","")&amp;","))*(EV_ID&lt;&gt;"")))</f>
        <v/>
      </c>
      <c r="L147" s="34"/>
      <c r="M147" s="34"/>
      <c r="N147" s="34"/>
      <c r="O147" s="50"/>
      <c r="P147" s="50"/>
      <c r="Q147" s="51"/>
      <c r="R147" s="34"/>
      <c r="S147" s="54" t="str">
        <f aca="false">IF(A147="","",IF(M147="Confirmed weakness","Confirmed weakness",IF(OR(M147="Evidence insufficient",L147="Insufficient"),"Assurance limitation (evidence insufficient)",IF(AND(G147="Adequate",H147="Implemented",I147="Operating",L147="Sufficient"),"Design, implementation and operation evidenced",IF(AND(G147="Adequate",H147="Implemented"),"Designed and implemented; operation not evidenced",IF(G147="Adequate","Designed; implementation not evidenced","Not yet determined"))))))</f>
        <v/>
      </c>
      <c r="T147" s="54" t="str">
        <f aca="false">IF(A147="","",IF(AND(L147="Insufficient",N147="Ineffective"),"CHECK: evidence gap rated Ineffective - not permitted; record as Evidence insufficient",IF(AND(N147="Ineffective",M147&lt;&gt;"Confirmed weakness",M147&lt;&gt;"Exception identified"),"CHECK: Ineffective without a confirmed weakness or exception","OK")))</f>
        <v/>
      </c>
      <c r="U147" s="54" t="str">
        <f aca="false">IF(A147="","",IF(COUNTIF(CA_ID,A147)&gt;1,"CHECK: duplicate ID",IF(B147="","CHECK: Supplier ID missing",IF(COUNTIF(INV_ID,B147)=0,"CHECK: Supplier ID not in inventory",IF(AND(E147&lt;&gt;"",COUNTIF(RSK_ID,E147)=0),"CHECK: Risk ID not found",IF(AND(E147&lt;&gt;"",COUNTIF(RSK_ID,E147)&gt;0,IFERROR(INDEX(RSK_SUP,MATCH(E147,RSK_ID,0)),"")&lt;&gt;B147),"CHECK: Risk belongs to a different supplier",IF(AND(O147&lt;&gt;"",COUNTIF(FND_ID,O147)=0),"CHECK: Finding ID not found",IF(AND(J147&lt;&gt;"",K147&lt;LEN(SUBSTITUTE(J147," ",""))-LEN(SUBSTITUTE(SUBSTITUTE(J147," ",""),",",""))+1),"CHECK: some Evidence IDs not found","OK"))))))))</f>
        <v/>
      </c>
    </row>
    <row r="148" customFormat="false" ht="15" hidden="false" customHeight="false" outlineLevel="0" collapsed="false">
      <c r="A148" s="50"/>
      <c r="B148" s="50"/>
      <c r="C148" s="59" t="str">
        <f aca="false">IF(B148="","",IFERROR(INDEX(INV_NAME,MATCH(B148,INV_ID,0)),"CHECK: Supplier ID not found"))</f>
        <v/>
      </c>
      <c r="D148" s="34"/>
      <c r="E148" s="50"/>
      <c r="F148" s="34"/>
      <c r="G148" s="34"/>
      <c r="H148" s="34"/>
      <c r="I148" s="34"/>
      <c r="J148" s="34"/>
      <c r="K148" s="62" t="str">
        <f aca="false">IF(J148="","",SUMPRODUCT(ISNUMBER(SEARCH(","&amp;EV_ID&amp;",",","&amp;SUBSTITUTE(J148," ","")&amp;","))*(EV_ID&lt;&gt;"")))</f>
        <v/>
      </c>
      <c r="L148" s="34"/>
      <c r="M148" s="34"/>
      <c r="N148" s="34"/>
      <c r="O148" s="50"/>
      <c r="P148" s="50"/>
      <c r="Q148" s="51"/>
      <c r="R148" s="34"/>
      <c r="S148" s="54" t="str">
        <f aca="false">IF(A148="","",IF(M148="Confirmed weakness","Confirmed weakness",IF(OR(M148="Evidence insufficient",L148="Insufficient"),"Assurance limitation (evidence insufficient)",IF(AND(G148="Adequate",H148="Implemented",I148="Operating",L148="Sufficient"),"Design, implementation and operation evidenced",IF(AND(G148="Adequate",H148="Implemented"),"Designed and implemented; operation not evidenced",IF(G148="Adequate","Designed; implementation not evidenced","Not yet determined"))))))</f>
        <v/>
      </c>
      <c r="T148" s="54" t="str">
        <f aca="false">IF(A148="","",IF(AND(L148="Insufficient",N148="Ineffective"),"CHECK: evidence gap rated Ineffective - not permitted; record as Evidence insufficient",IF(AND(N148="Ineffective",M148&lt;&gt;"Confirmed weakness",M148&lt;&gt;"Exception identified"),"CHECK: Ineffective without a confirmed weakness or exception","OK")))</f>
        <v/>
      </c>
      <c r="U148" s="54" t="str">
        <f aca="false">IF(A148="","",IF(COUNTIF(CA_ID,A148)&gt;1,"CHECK: duplicate ID",IF(B148="","CHECK: Supplier ID missing",IF(COUNTIF(INV_ID,B148)=0,"CHECK: Supplier ID not in inventory",IF(AND(E148&lt;&gt;"",COUNTIF(RSK_ID,E148)=0),"CHECK: Risk ID not found",IF(AND(E148&lt;&gt;"",COUNTIF(RSK_ID,E148)&gt;0,IFERROR(INDEX(RSK_SUP,MATCH(E148,RSK_ID,0)),"")&lt;&gt;B148),"CHECK: Risk belongs to a different supplier",IF(AND(O148&lt;&gt;"",COUNTIF(FND_ID,O148)=0),"CHECK: Finding ID not found",IF(AND(J148&lt;&gt;"",K148&lt;LEN(SUBSTITUTE(J148," ",""))-LEN(SUBSTITUTE(SUBSTITUTE(J148," ",""),",",""))+1),"CHECK: some Evidence IDs not found","OK"))))))))</f>
        <v/>
      </c>
    </row>
    <row r="149" customFormat="false" ht="15" hidden="false" customHeight="false" outlineLevel="0" collapsed="false">
      <c r="A149" s="50"/>
      <c r="B149" s="50"/>
      <c r="C149" s="59" t="str">
        <f aca="false">IF(B149="","",IFERROR(INDEX(INV_NAME,MATCH(B149,INV_ID,0)),"CHECK: Supplier ID not found"))</f>
        <v/>
      </c>
      <c r="D149" s="34"/>
      <c r="E149" s="50"/>
      <c r="F149" s="34"/>
      <c r="G149" s="34"/>
      <c r="H149" s="34"/>
      <c r="I149" s="34"/>
      <c r="J149" s="34"/>
      <c r="K149" s="62" t="str">
        <f aca="false">IF(J149="","",SUMPRODUCT(ISNUMBER(SEARCH(","&amp;EV_ID&amp;",",","&amp;SUBSTITUTE(J149," ","")&amp;","))*(EV_ID&lt;&gt;"")))</f>
        <v/>
      </c>
      <c r="L149" s="34"/>
      <c r="M149" s="34"/>
      <c r="N149" s="34"/>
      <c r="O149" s="50"/>
      <c r="P149" s="50"/>
      <c r="Q149" s="51"/>
      <c r="R149" s="34"/>
      <c r="S149" s="54" t="str">
        <f aca="false">IF(A149="","",IF(M149="Confirmed weakness","Confirmed weakness",IF(OR(M149="Evidence insufficient",L149="Insufficient"),"Assurance limitation (evidence insufficient)",IF(AND(G149="Adequate",H149="Implemented",I149="Operating",L149="Sufficient"),"Design, implementation and operation evidenced",IF(AND(G149="Adequate",H149="Implemented"),"Designed and implemented; operation not evidenced",IF(G149="Adequate","Designed; implementation not evidenced","Not yet determined"))))))</f>
        <v/>
      </c>
      <c r="T149" s="54" t="str">
        <f aca="false">IF(A149="","",IF(AND(L149="Insufficient",N149="Ineffective"),"CHECK: evidence gap rated Ineffective - not permitted; record as Evidence insufficient",IF(AND(N149="Ineffective",M149&lt;&gt;"Confirmed weakness",M149&lt;&gt;"Exception identified"),"CHECK: Ineffective without a confirmed weakness or exception","OK")))</f>
        <v/>
      </c>
      <c r="U149" s="54" t="str">
        <f aca="false">IF(A149="","",IF(COUNTIF(CA_ID,A149)&gt;1,"CHECK: duplicate ID",IF(B149="","CHECK: Supplier ID missing",IF(COUNTIF(INV_ID,B149)=0,"CHECK: Supplier ID not in inventory",IF(AND(E149&lt;&gt;"",COUNTIF(RSK_ID,E149)=0),"CHECK: Risk ID not found",IF(AND(E149&lt;&gt;"",COUNTIF(RSK_ID,E149)&gt;0,IFERROR(INDEX(RSK_SUP,MATCH(E149,RSK_ID,0)),"")&lt;&gt;B149),"CHECK: Risk belongs to a different supplier",IF(AND(O149&lt;&gt;"",COUNTIF(FND_ID,O149)=0),"CHECK: Finding ID not found",IF(AND(J149&lt;&gt;"",K149&lt;LEN(SUBSTITUTE(J149," ",""))-LEN(SUBSTITUTE(SUBSTITUTE(J149," ",""),",",""))+1),"CHECK: some Evidence IDs not found","OK"))))))))</f>
        <v/>
      </c>
    </row>
    <row r="150" customFormat="false" ht="15" hidden="false" customHeight="false" outlineLevel="0" collapsed="false">
      <c r="A150" s="50"/>
      <c r="B150" s="50"/>
      <c r="C150" s="59" t="str">
        <f aca="false">IF(B150="","",IFERROR(INDEX(INV_NAME,MATCH(B150,INV_ID,0)),"CHECK: Supplier ID not found"))</f>
        <v/>
      </c>
      <c r="D150" s="34"/>
      <c r="E150" s="50"/>
      <c r="F150" s="34"/>
      <c r="G150" s="34"/>
      <c r="H150" s="34"/>
      <c r="I150" s="34"/>
      <c r="J150" s="34"/>
      <c r="K150" s="62" t="str">
        <f aca="false">IF(J150="","",SUMPRODUCT(ISNUMBER(SEARCH(","&amp;EV_ID&amp;",",","&amp;SUBSTITUTE(J150," ","")&amp;","))*(EV_ID&lt;&gt;"")))</f>
        <v/>
      </c>
      <c r="L150" s="34"/>
      <c r="M150" s="34"/>
      <c r="N150" s="34"/>
      <c r="O150" s="50"/>
      <c r="P150" s="50"/>
      <c r="Q150" s="51"/>
      <c r="R150" s="34"/>
      <c r="S150" s="54" t="str">
        <f aca="false">IF(A150="","",IF(M150="Confirmed weakness","Confirmed weakness",IF(OR(M150="Evidence insufficient",L150="Insufficient"),"Assurance limitation (evidence insufficient)",IF(AND(G150="Adequate",H150="Implemented",I150="Operating",L150="Sufficient"),"Design, implementation and operation evidenced",IF(AND(G150="Adequate",H150="Implemented"),"Designed and implemented; operation not evidenced",IF(G150="Adequate","Designed; implementation not evidenced","Not yet determined"))))))</f>
        <v/>
      </c>
      <c r="T150" s="54" t="str">
        <f aca="false">IF(A150="","",IF(AND(L150="Insufficient",N150="Ineffective"),"CHECK: evidence gap rated Ineffective - not permitted; record as Evidence insufficient",IF(AND(N150="Ineffective",M150&lt;&gt;"Confirmed weakness",M150&lt;&gt;"Exception identified"),"CHECK: Ineffective without a confirmed weakness or exception","OK")))</f>
        <v/>
      </c>
      <c r="U150" s="54" t="str">
        <f aca="false">IF(A150="","",IF(COUNTIF(CA_ID,A150)&gt;1,"CHECK: duplicate ID",IF(B150="","CHECK: Supplier ID missing",IF(COUNTIF(INV_ID,B150)=0,"CHECK: Supplier ID not in inventory",IF(AND(E150&lt;&gt;"",COUNTIF(RSK_ID,E150)=0),"CHECK: Risk ID not found",IF(AND(E150&lt;&gt;"",COUNTIF(RSK_ID,E150)&gt;0,IFERROR(INDEX(RSK_SUP,MATCH(E150,RSK_ID,0)),"")&lt;&gt;B150),"CHECK: Risk belongs to a different supplier",IF(AND(O150&lt;&gt;"",COUNTIF(FND_ID,O150)=0),"CHECK: Finding ID not found",IF(AND(J150&lt;&gt;"",K150&lt;LEN(SUBSTITUTE(J150," ",""))-LEN(SUBSTITUTE(SUBSTITUTE(J150," ",""),",",""))+1),"CHECK: some Evidence IDs not found","OK"))))))))</f>
        <v/>
      </c>
    </row>
    <row r="151" customFormat="false" ht="15" hidden="false" customHeight="false" outlineLevel="0" collapsed="false">
      <c r="A151" s="50"/>
      <c r="B151" s="50"/>
      <c r="C151" s="59" t="str">
        <f aca="false">IF(B151="","",IFERROR(INDEX(INV_NAME,MATCH(B151,INV_ID,0)),"CHECK: Supplier ID not found"))</f>
        <v/>
      </c>
      <c r="D151" s="34"/>
      <c r="E151" s="50"/>
      <c r="F151" s="34"/>
      <c r="G151" s="34"/>
      <c r="H151" s="34"/>
      <c r="I151" s="34"/>
      <c r="J151" s="34"/>
      <c r="K151" s="62" t="str">
        <f aca="false">IF(J151="","",SUMPRODUCT(ISNUMBER(SEARCH(","&amp;EV_ID&amp;",",","&amp;SUBSTITUTE(J151," ","")&amp;","))*(EV_ID&lt;&gt;"")))</f>
        <v/>
      </c>
      <c r="L151" s="34"/>
      <c r="M151" s="34"/>
      <c r="N151" s="34"/>
      <c r="O151" s="50"/>
      <c r="P151" s="50"/>
      <c r="Q151" s="51"/>
      <c r="R151" s="34"/>
      <c r="S151" s="54" t="str">
        <f aca="false">IF(A151="","",IF(M151="Confirmed weakness","Confirmed weakness",IF(OR(M151="Evidence insufficient",L151="Insufficient"),"Assurance limitation (evidence insufficient)",IF(AND(G151="Adequate",H151="Implemented",I151="Operating",L151="Sufficient"),"Design, implementation and operation evidenced",IF(AND(G151="Adequate",H151="Implemented"),"Designed and implemented; operation not evidenced",IF(G151="Adequate","Designed; implementation not evidenced","Not yet determined"))))))</f>
        <v/>
      </c>
      <c r="T151" s="54" t="str">
        <f aca="false">IF(A151="","",IF(AND(L151="Insufficient",N151="Ineffective"),"CHECK: evidence gap rated Ineffective - not permitted; record as Evidence insufficient",IF(AND(N151="Ineffective",M151&lt;&gt;"Confirmed weakness",M151&lt;&gt;"Exception identified"),"CHECK: Ineffective without a confirmed weakness or exception","OK")))</f>
        <v/>
      </c>
      <c r="U151" s="54" t="str">
        <f aca="false">IF(A151="","",IF(COUNTIF(CA_ID,A151)&gt;1,"CHECK: duplicate ID",IF(B151="","CHECK: Supplier ID missing",IF(COUNTIF(INV_ID,B151)=0,"CHECK: Supplier ID not in inventory",IF(AND(E151&lt;&gt;"",COUNTIF(RSK_ID,E151)=0),"CHECK: Risk ID not found",IF(AND(E151&lt;&gt;"",COUNTIF(RSK_ID,E151)&gt;0,IFERROR(INDEX(RSK_SUP,MATCH(E151,RSK_ID,0)),"")&lt;&gt;B151),"CHECK: Risk belongs to a different supplier",IF(AND(O151&lt;&gt;"",COUNTIF(FND_ID,O151)=0),"CHECK: Finding ID not found",IF(AND(J151&lt;&gt;"",K151&lt;LEN(SUBSTITUTE(J151," ",""))-LEN(SUBSTITUTE(SUBSTITUTE(J151," ",""),",",""))+1),"CHECK: some Evidence IDs not found","OK"))))))))</f>
        <v/>
      </c>
    </row>
    <row r="152" customFormat="false" ht="15" hidden="false" customHeight="false" outlineLevel="0" collapsed="false">
      <c r="A152" s="50"/>
      <c r="B152" s="50"/>
      <c r="C152" s="59" t="str">
        <f aca="false">IF(B152="","",IFERROR(INDEX(INV_NAME,MATCH(B152,INV_ID,0)),"CHECK: Supplier ID not found"))</f>
        <v/>
      </c>
      <c r="D152" s="34"/>
      <c r="E152" s="50"/>
      <c r="F152" s="34"/>
      <c r="G152" s="34"/>
      <c r="H152" s="34"/>
      <c r="I152" s="34"/>
      <c r="J152" s="34"/>
      <c r="K152" s="62" t="str">
        <f aca="false">IF(J152="","",SUMPRODUCT(ISNUMBER(SEARCH(","&amp;EV_ID&amp;",",","&amp;SUBSTITUTE(J152," ","")&amp;","))*(EV_ID&lt;&gt;"")))</f>
        <v/>
      </c>
      <c r="L152" s="34"/>
      <c r="M152" s="34"/>
      <c r="N152" s="34"/>
      <c r="O152" s="50"/>
      <c r="P152" s="50"/>
      <c r="Q152" s="51"/>
      <c r="R152" s="34"/>
      <c r="S152" s="54" t="str">
        <f aca="false">IF(A152="","",IF(M152="Confirmed weakness","Confirmed weakness",IF(OR(M152="Evidence insufficient",L152="Insufficient"),"Assurance limitation (evidence insufficient)",IF(AND(G152="Adequate",H152="Implemented",I152="Operating",L152="Sufficient"),"Design, implementation and operation evidenced",IF(AND(G152="Adequate",H152="Implemented"),"Designed and implemented; operation not evidenced",IF(G152="Adequate","Designed; implementation not evidenced","Not yet determined"))))))</f>
        <v/>
      </c>
      <c r="T152" s="54" t="str">
        <f aca="false">IF(A152="","",IF(AND(L152="Insufficient",N152="Ineffective"),"CHECK: evidence gap rated Ineffective - not permitted; record as Evidence insufficient",IF(AND(N152="Ineffective",M152&lt;&gt;"Confirmed weakness",M152&lt;&gt;"Exception identified"),"CHECK: Ineffective without a confirmed weakness or exception","OK")))</f>
        <v/>
      </c>
      <c r="U152" s="54" t="str">
        <f aca="false">IF(A152="","",IF(COUNTIF(CA_ID,A152)&gt;1,"CHECK: duplicate ID",IF(B152="","CHECK: Supplier ID missing",IF(COUNTIF(INV_ID,B152)=0,"CHECK: Supplier ID not in inventory",IF(AND(E152&lt;&gt;"",COUNTIF(RSK_ID,E152)=0),"CHECK: Risk ID not found",IF(AND(E152&lt;&gt;"",COUNTIF(RSK_ID,E152)&gt;0,IFERROR(INDEX(RSK_SUP,MATCH(E152,RSK_ID,0)),"")&lt;&gt;B152),"CHECK: Risk belongs to a different supplier",IF(AND(O152&lt;&gt;"",COUNTIF(FND_ID,O152)=0),"CHECK: Finding ID not found",IF(AND(J152&lt;&gt;"",K152&lt;LEN(SUBSTITUTE(J152," ",""))-LEN(SUBSTITUTE(SUBSTITUTE(J152," ",""),",",""))+1),"CHECK: some Evidence IDs not found","OK"))))))))</f>
        <v/>
      </c>
    </row>
    <row r="153" customFormat="false" ht="15" hidden="false" customHeight="false" outlineLevel="0" collapsed="false">
      <c r="A153" s="50"/>
      <c r="B153" s="50"/>
      <c r="C153" s="59" t="str">
        <f aca="false">IF(B153="","",IFERROR(INDEX(INV_NAME,MATCH(B153,INV_ID,0)),"CHECK: Supplier ID not found"))</f>
        <v/>
      </c>
      <c r="D153" s="34"/>
      <c r="E153" s="50"/>
      <c r="F153" s="34"/>
      <c r="G153" s="34"/>
      <c r="H153" s="34"/>
      <c r="I153" s="34"/>
      <c r="J153" s="34"/>
      <c r="K153" s="62" t="str">
        <f aca="false">IF(J153="","",SUMPRODUCT(ISNUMBER(SEARCH(","&amp;EV_ID&amp;",",","&amp;SUBSTITUTE(J153," ","")&amp;","))*(EV_ID&lt;&gt;"")))</f>
        <v/>
      </c>
      <c r="L153" s="34"/>
      <c r="M153" s="34"/>
      <c r="N153" s="34"/>
      <c r="O153" s="50"/>
      <c r="P153" s="50"/>
      <c r="Q153" s="51"/>
      <c r="R153" s="34"/>
      <c r="S153" s="54" t="str">
        <f aca="false">IF(A153="","",IF(M153="Confirmed weakness","Confirmed weakness",IF(OR(M153="Evidence insufficient",L153="Insufficient"),"Assurance limitation (evidence insufficient)",IF(AND(G153="Adequate",H153="Implemented",I153="Operating",L153="Sufficient"),"Design, implementation and operation evidenced",IF(AND(G153="Adequate",H153="Implemented"),"Designed and implemented; operation not evidenced",IF(G153="Adequate","Designed; implementation not evidenced","Not yet determined"))))))</f>
        <v/>
      </c>
      <c r="T153" s="54" t="str">
        <f aca="false">IF(A153="","",IF(AND(L153="Insufficient",N153="Ineffective"),"CHECK: evidence gap rated Ineffective - not permitted; record as Evidence insufficient",IF(AND(N153="Ineffective",M153&lt;&gt;"Confirmed weakness",M153&lt;&gt;"Exception identified"),"CHECK: Ineffective without a confirmed weakness or exception","OK")))</f>
        <v/>
      </c>
      <c r="U153" s="54" t="str">
        <f aca="false">IF(A153="","",IF(COUNTIF(CA_ID,A153)&gt;1,"CHECK: duplicate ID",IF(B153="","CHECK: Supplier ID missing",IF(COUNTIF(INV_ID,B153)=0,"CHECK: Supplier ID not in inventory",IF(AND(E153&lt;&gt;"",COUNTIF(RSK_ID,E153)=0),"CHECK: Risk ID not found",IF(AND(E153&lt;&gt;"",COUNTIF(RSK_ID,E153)&gt;0,IFERROR(INDEX(RSK_SUP,MATCH(E153,RSK_ID,0)),"")&lt;&gt;B153),"CHECK: Risk belongs to a different supplier",IF(AND(O153&lt;&gt;"",COUNTIF(FND_ID,O153)=0),"CHECK: Finding ID not found",IF(AND(J153&lt;&gt;"",K153&lt;LEN(SUBSTITUTE(J153," ",""))-LEN(SUBSTITUTE(SUBSTITUTE(J153," ",""),",",""))+1),"CHECK: some Evidence IDs not found","OK"))))))))</f>
        <v/>
      </c>
    </row>
    <row r="154" customFormat="false" ht="15" hidden="false" customHeight="false" outlineLevel="0" collapsed="false">
      <c r="A154" s="50"/>
      <c r="B154" s="50"/>
      <c r="C154" s="59" t="str">
        <f aca="false">IF(B154="","",IFERROR(INDEX(INV_NAME,MATCH(B154,INV_ID,0)),"CHECK: Supplier ID not found"))</f>
        <v/>
      </c>
      <c r="D154" s="34"/>
      <c r="E154" s="50"/>
      <c r="F154" s="34"/>
      <c r="G154" s="34"/>
      <c r="H154" s="34"/>
      <c r="I154" s="34"/>
      <c r="J154" s="34"/>
      <c r="K154" s="62" t="str">
        <f aca="false">IF(J154="","",SUMPRODUCT(ISNUMBER(SEARCH(","&amp;EV_ID&amp;",",","&amp;SUBSTITUTE(J154," ","")&amp;","))*(EV_ID&lt;&gt;"")))</f>
        <v/>
      </c>
      <c r="L154" s="34"/>
      <c r="M154" s="34"/>
      <c r="N154" s="34"/>
      <c r="O154" s="50"/>
      <c r="P154" s="50"/>
      <c r="Q154" s="51"/>
      <c r="R154" s="34"/>
      <c r="S154" s="54" t="str">
        <f aca="false">IF(A154="","",IF(M154="Confirmed weakness","Confirmed weakness",IF(OR(M154="Evidence insufficient",L154="Insufficient"),"Assurance limitation (evidence insufficient)",IF(AND(G154="Adequate",H154="Implemented",I154="Operating",L154="Sufficient"),"Design, implementation and operation evidenced",IF(AND(G154="Adequate",H154="Implemented"),"Designed and implemented; operation not evidenced",IF(G154="Adequate","Designed; implementation not evidenced","Not yet determined"))))))</f>
        <v/>
      </c>
      <c r="T154" s="54" t="str">
        <f aca="false">IF(A154="","",IF(AND(L154="Insufficient",N154="Ineffective"),"CHECK: evidence gap rated Ineffective - not permitted; record as Evidence insufficient",IF(AND(N154="Ineffective",M154&lt;&gt;"Confirmed weakness",M154&lt;&gt;"Exception identified"),"CHECK: Ineffective without a confirmed weakness or exception","OK")))</f>
        <v/>
      </c>
      <c r="U154" s="54" t="str">
        <f aca="false">IF(A154="","",IF(COUNTIF(CA_ID,A154)&gt;1,"CHECK: duplicate ID",IF(B154="","CHECK: Supplier ID missing",IF(COUNTIF(INV_ID,B154)=0,"CHECK: Supplier ID not in inventory",IF(AND(E154&lt;&gt;"",COUNTIF(RSK_ID,E154)=0),"CHECK: Risk ID not found",IF(AND(E154&lt;&gt;"",COUNTIF(RSK_ID,E154)&gt;0,IFERROR(INDEX(RSK_SUP,MATCH(E154,RSK_ID,0)),"")&lt;&gt;B154),"CHECK: Risk belongs to a different supplier",IF(AND(O154&lt;&gt;"",COUNTIF(FND_ID,O154)=0),"CHECK: Finding ID not found",IF(AND(J154&lt;&gt;"",K154&lt;LEN(SUBSTITUTE(J154," ",""))-LEN(SUBSTITUTE(SUBSTITUTE(J154," ",""),",",""))+1),"CHECK: some Evidence IDs not found","OK"))))))))</f>
        <v/>
      </c>
    </row>
    <row r="155" customFormat="false" ht="15" hidden="false" customHeight="false" outlineLevel="0" collapsed="false">
      <c r="A155" s="50"/>
      <c r="B155" s="50"/>
      <c r="C155" s="59" t="str">
        <f aca="false">IF(B155="","",IFERROR(INDEX(INV_NAME,MATCH(B155,INV_ID,0)),"CHECK: Supplier ID not found"))</f>
        <v/>
      </c>
      <c r="D155" s="34"/>
      <c r="E155" s="50"/>
      <c r="F155" s="34"/>
      <c r="G155" s="34"/>
      <c r="H155" s="34"/>
      <c r="I155" s="34"/>
      <c r="J155" s="34"/>
      <c r="K155" s="62" t="str">
        <f aca="false">IF(J155="","",SUMPRODUCT(ISNUMBER(SEARCH(","&amp;EV_ID&amp;",",","&amp;SUBSTITUTE(J155," ","")&amp;","))*(EV_ID&lt;&gt;"")))</f>
        <v/>
      </c>
      <c r="L155" s="34"/>
      <c r="M155" s="34"/>
      <c r="N155" s="34"/>
      <c r="O155" s="50"/>
      <c r="P155" s="50"/>
      <c r="Q155" s="51"/>
      <c r="R155" s="34"/>
      <c r="S155" s="54" t="str">
        <f aca="false">IF(A155="","",IF(M155="Confirmed weakness","Confirmed weakness",IF(OR(M155="Evidence insufficient",L155="Insufficient"),"Assurance limitation (evidence insufficient)",IF(AND(G155="Adequate",H155="Implemented",I155="Operating",L155="Sufficient"),"Design, implementation and operation evidenced",IF(AND(G155="Adequate",H155="Implemented"),"Designed and implemented; operation not evidenced",IF(G155="Adequate","Designed; implementation not evidenced","Not yet determined"))))))</f>
        <v/>
      </c>
      <c r="T155" s="54" t="str">
        <f aca="false">IF(A155="","",IF(AND(L155="Insufficient",N155="Ineffective"),"CHECK: evidence gap rated Ineffective - not permitted; record as Evidence insufficient",IF(AND(N155="Ineffective",M155&lt;&gt;"Confirmed weakness",M155&lt;&gt;"Exception identified"),"CHECK: Ineffective without a confirmed weakness or exception","OK")))</f>
        <v/>
      </c>
      <c r="U155" s="54" t="str">
        <f aca="false">IF(A155="","",IF(COUNTIF(CA_ID,A155)&gt;1,"CHECK: duplicate ID",IF(B155="","CHECK: Supplier ID missing",IF(COUNTIF(INV_ID,B155)=0,"CHECK: Supplier ID not in inventory",IF(AND(E155&lt;&gt;"",COUNTIF(RSK_ID,E155)=0),"CHECK: Risk ID not found",IF(AND(E155&lt;&gt;"",COUNTIF(RSK_ID,E155)&gt;0,IFERROR(INDEX(RSK_SUP,MATCH(E155,RSK_ID,0)),"")&lt;&gt;B155),"CHECK: Risk belongs to a different supplier",IF(AND(O155&lt;&gt;"",COUNTIF(FND_ID,O155)=0),"CHECK: Finding ID not found",IF(AND(J155&lt;&gt;"",K155&lt;LEN(SUBSTITUTE(J155," ",""))-LEN(SUBSTITUTE(SUBSTITUTE(J155," ",""),",",""))+1),"CHECK: some Evidence IDs not found","OK"))))))))</f>
        <v/>
      </c>
    </row>
    <row r="156" customFormat="false" ht="15" hidden="false" customHeight="false" outlineLevel="0" collapsed="false">
      <c r="A156" s="50"/>
      <c r="B156" s="50"/>
      <c r="C156" s="59" t="str">
        <f aca="false">IF(B156="","",IFERROR(INDEX(INV_NAME,MATCH(B156,INV_ID,0)),"CHECK: Supplier ID not found"))</f>
        <v/>
      </c>
      <c r="D156" s="34"/>
      <c r="E156" s="50"/>
      <c r="F156" s="34"/>
      <c r="G156" s="34"/>
      <c r="H156" s="34"/>
      <c r="I156" s="34"/>
      <c r="J156" s="34"/>
      <c r="K156" s="62" t="str">
        <f aca="false">IF(J156="","",SUMPRODUCT(ISNUMBER(SEARCH(","&amp;EV_ID&amp;",",","&amp;SUBSTITUTE(J156," ","")&amp;","))*(EV_ID&lt;&gt;"")))</f>
        <v/>
      </c>
      <c r="L156" s="34"/>
      <c r="M156" s="34"/>
      <c r="N156" s="34"/>
      <c r="O156" s="50"/>
      <c r="P156" s="50"/>
      <c r="Q156" s="51"/>
      <c r="R156" s="34"/>
      <c r="S156" s="54" t="str">
        <f aca="false">IF(A156="","",IF(M156="Confirmed weakness","Confirmed weakness",IF(OR(M156="Evidence insufficient",L156="Insufficient"),"Assurance limitation (evidence insufficient)",IF(AND(G156="Adequate",H156="Implemented",I156="Operating",L156="Sufficient"),"Design, implementation and operation evidenced",IF(AND(G156="Adequate",H156="Implemented"),"Designed and implemented; operation not evidenced",IF(G156="Adequate","Designed; implementation not evidenced","Not yet determined"))))))</f>
        <v/>
      </c>
      <c r="T156" s="54" t="str">
        <f aca="false">IF(A156="","",IF(AND(L156="Insufficient",N156="Ineffective"),"CHECK: evidence gap rated Ineffective - not permitted; record as Evidence insufficient",IF(AND(N156="Ineffective",M156&lt;&gt;"Confirmed weakness",M156&lt;&gt;"Exception identified"),"CHECK: Ineffective without a confirmed weakness or exception","OK")))</f>
        <v/>
      </c>
      <c r="U156" s="54" t="str">
        <f aca="false">IF(A156="","",IF(COUNTIF(CA_ID,A156)&gt;1,"CHECK: duplicate ID",IF(B156="","CHECK: Supplier ID missing",IF(COUNTIF(INV_ID,B156)=0,"CHECK: Supplier ID not in inventory",IF(AND(E156&lt;&gt;"",COUNTIF(RSK_ID,E156)=0),"CHECK: Risk ID not found",IF(AND(E156&lt;&gt;"",COUNTIF(RSK_ID,E156)&gt;0,IFERROR(INDEX(RSK_SUP,MATCH(E156,RSK_ID,0)),"")&lt;&gt;B156),"CHECK: Risk belongs to a different supplier",IF(AND(O156&lt;&gt;"",COUNTIF(FND_ID,O156)=0),"CHECK: Finding ID not found",IF(AND(J156&lt;&gt;"",K156&lt;LEN(SUBSTITUTE(J156," ",""))-LEN(SUBSTITUTE(SUBSTITUTE(J156," ",""),",",""))+1),"CHECK: some Evidence IDs not found","OK"))))))))</f>
        <v/>
      </c>
    </row>
    <row r="157" customFormat="false" ht="15" hidden="false" customHeight="false" outlineLevel="0" collapsed="false">
      <c r="A157" s="50"/>
      <c r="B157" s="50"/>
      <c r="C157" s="59" t="str">
        <f aca="false">IF(B157="","",IFERROR(INDEX(INV_NAME,MATCH(B157,INV_ID,0)),"CHECK: Supplier ID not found"))</f>
        <v/>
      </c>
      <c r="D157" s="34"/>
      <c r="E157" s="50"/>
      <c r="F157" s="34"/>
      <c r="G157" s="34"/>
      <c r="H157" s="34"/>
      <c r="I157" s="34"/>
      <c r="J157" s="34"/>
      <c r="K157" s="62" t="str">
        <f aca="false">IF(J157="","",SUMPRODUCT(ISNUMBER(SEARCH(","&amp;EV_ID&amp;",",","&amp;SUBSTITUTE(J157," ","")&amp;","))*(EV_ID&lt;&gt;"")))</f>
        <v/>
      </c>
      <c r="L157" s="34"/>
      <c r="M157" s="34"/>
      <c r="N157" s="34"/>
      <c r="O157" s="50"/>
      <c r="P157" s="50"/>
      <c r="Q157" s="51"/>
      <c r="R157" s="34"/>
      <c r="S157" s="54" t="str">
        <f aca="false">IF(A157="","",IF(M157="Confirmed weakness","Confirmed weakness",IF(OR(M157="Evidence insufficient",L157="Insufficient"),"Assurance limitation (evidence insufficient)",IF(AND(G157="Adequate",H157="Implemented",I157="Operating",L157="Sufficient"),"Design, implementation and operation evidenced",IF(AND(G157="Adequate",H157="Implemented"),"Designed and implemented; operation not evidenced",IF(G157="Adequate","Designed; implementation not evidenced","Not yet determined"))))))</f>
        <v/>
      </c>
      <c r="T157" s="54" t="str">
        <f aca="false">IF(A157="","",IF(AND(L157="Insufficient",N157="Ineffective"),"CHECK: evidence gap rated Ineffective - not permitted; record as Evidence insufficient",IF(AND(N157="Ineffective",M157&lt;&gt;"Confirmed weakness",M157&lt;&gt;"Exception identified"),"CHECK: Ineffective without a confirmed weakness or exception","OK")))</f>
        <v/>
      </c>
      <c r="U157" s="54" t="str">
        <f aca="false">IF(A157="","",IF(COUNTIF(CA_ID,A157)&gt;1,"CHECK: duplicate ID",IF(B157="","CHECK: Supplier ID missing",IF(COUNTIF(INV_ID,B157)=0,"CHECK: Supplier ID not in inventory",IF(AND(E157&lt;&gt;"",COUNTIF(RSK_ID,E157)=0),"CHECK: Risk ID not found",IF(AND(E157&lt;&gt;"",COUNTIF(RSK_ID,E157)&gt;0,IFERROR(INDEX(RSK_SUP,MATCH(E157,RSK_ID,0)),"")&lt;&gt;B157),"CHECK: Risk belongs to a different supplier",IF(AND(O157&lt;&gt;"",COUNTIF(FND_ID,O157)=0),"CHECK: Finding ID not found",IF(AND(J157&lt;&gt;"",K157&lt;LEN(SUBSTITUTE(J157," ",""))-LEN(SUBSTITUTE(SUBSTITUTE(J157," ",""),",",""))+1),"CHECK: some Evidence IDs not found","OK"))))))))</f>
        <v/>
      </c>
    </row>
    <row r="158" customFormat="false" ht="15" hidden="false" customHeight="false" outlineLevel="0" collapsed="false">
      <c r="A158" s="50"/>
      <c r="B158" s="50"/>
      <c r="C158" s="59" t="str">
        <f aca="false">IF(B158="","",IFERROR(INDEX(INV_NAME,MATCH(B158,INV_ID,0)),"CHECK: Supplier ID not found"))</f>
        <v/>
      </c>
      <c r="D158" s="34"/>
      <c r="E158" s="50"/>
      <c r="F158" s="34"/>
      <c r="G158" s="34"/>
      <c r="H158" s="34"/>
      <c r="I158" s="34"/>
      <c r="J158" s="34"/>
      <c r="K158" s="62" t="str">
        <f aca="false">IF(J158="","",SUMPRODUCT(ISNUMBER(SEARCH(","&amp;EV_ID&amp;",",","&amp;SUBSTITUTE(J158," ","")&amp;","))*(EV_ID&lt;&gt;"")))</f>
        <v/>
      </c>
      <c r="L158" s="34"/>
      <c r="M158" s="34"/>
      <c r="N158" s="34"/>
      <c r="O158" s="50"/>
      <c r="P158" s="50"/>
      <c r="Q158" s="51"/>
      <c r="R158" s="34"/>
      <c r="S158" s="54" t="str">
        <f aca="false">IF(A158="","",IF(M158="Confirmed weakness","Confirmed weakness",IF(OR(M158="Evidence insufficient",L158="Insufficient"),"Assurance limitation (evidence insufficient)",IF(AND(G158="Adequate",H158="Implemented",I158="Operating",L158="Sufficient"),"Design, implementation and operation evidenced",IF(AND(G158="Adequate",H158="Implemented"),"Designed and implemented; operation not evidenced",IF(G158="Adequate","Designed; implementation not evidenced","Not yet determined"))))))</f>
        <v/>
      </c>
      <c r="T158" s="54" t="str">
        <f aca="false">IF(A158="","",IF(AND(L158="Insufficient",N158="Ineffective"),"CHECK: evidence gap rated Ineffective - not permitted; record as Evidence insufficient",IF(AND(N158="Ineffective",M158&lt;&gt;"Confirmed weakness",M158&lt;&gt;"Exception identified"),"CHECK: Ineffective without a confirmed weakness or exception","OK")))</f>
        <v/>
      </c>
      <c r="U158" s="54" t="str">
        <f aca="false">IF(A158="","",IF(COUNTIF(CA_ID,A158)&gt;1,"CHECK: duplicate ID",IF(B158="","CHECK: Supplier ID missing",IF(COUNTIF(INV_ID,B158)=0,"CHECK: Supplier ID not in inventory",IF(AND(E158&lt;&gt;"",COUNTIF(RSK_ID,E158)=0),"CHECK: Risk ID not found",IF(AND(E158&lt;&gt;"",COUNTIF(RSK_ID,E158)&gt;0,IFERROR(INDEX(RSK_SUP,MATCH(E158,RSK_ID,0)),"")&lt;&gt;B158),"CHECK: Risk belongs to a different supplier",IF(AND(O158&lt;&gt;"",COUNTIF(FND_ID,O158)=0),"CHECK: Finding ID not found",IF(AND(J158&lt;&gt;"",K158&lt;LEN(SUBSTITUTE(J158," ",""))-LEN(SUBSTITUTE(SUBSTITUTE(J158," ",""),",",""))+1),"CHECK: some Evidence IDs not found","OK"))))))))</f>
        <v/>
      </c>
    </row>
    <row r="159" customFormat="false" ht="15" hidden="false" customHeight="false" outlineLevel="0" collapsed="false">
      <c r="A159" s="50"/>
      <c r="B159" s="50"/>
      <c r="C159" s="59" t="str">
        <f aca="false">IF(B159="","",IFERROR(INDEX(INV_NAME,MATCH(B159,INV_ID,0)),"CHECK: Supplier ID not found"))</f>
        <v/>
      </c>
      <c r="D159" s="34"/>
      <c r="E159" s="50"/>
      <c r="F159" s="34"/>
      <c r="G159" s="34"/>
      <c r="H159" s="34"/>
      <c r="I159" s="34"/>
      <c r="J159" s="34"/>
      <c r="K159" s="62" t="str">
        <f aca="false">IF(J159="","",SUMPRODUCT(ISNUMBER(SEARCH(","&amp;EV_ID&amp;",",","&amp;SUBSTITUTE(J159," ","")&amp;","))*(EV_ID&lt;&gt;"")))</f>
        <v/>
      </c>
      <c r="L159" s="34"/>
      <c r="M159" s="34"/>
      <c r="N159" s="34"/>
      <c r="O159" s="50"/>
      <c r="P159" s="50"/>
      <c r="Q159" s="51"/>
      <c r="R159" s="34"/>
      <c r="S159" s="54" t="str">
        <f aca="false">IF(A159="","",IF(M159="Confirmed weakness","Confirmed weakness",IF(OR(M159="Evidence insufficient",L159="Insufficient"),"Assurance limitation (evidence insufficient)",IF(AND(G159="Adequate",H159="Implemented",I159="Operating",L159="Sufficient"),"Design, implementation and operation evidenced",IF(AND(G159="Adequate",H159="Implemented"),"Designed and implemented; operation not evidenced",IF(G159="Adequate","Designed; implementation not evidenced","Not yet determined"))))))</f>
        <v/>
      </c>
      <c r="T159" s="54" t="str">
        <f aca="false">IF(A159="","",IF(AND(L159="Insufficient",N159="Ineffective"),"CHECK: evidence gap rated Ineffective - not permitted; record as Evidence insufficient",IF(AND(N159="Ineffective",M159&lt;&gt;"Confirmed weakness",M159&lt;&gt;"Exception identified"),"CHECK: Ineffective without a confirmed weakness or exception","OK")))</f>
        <v/>
      </c>
      <c r="U159" s="54" t="str">
        <f aca="false">IF(A159="","",IF(COUNTIF(CA_ID,A159)&gt;1,"CHECK: duplicate ID",IF(B159="","CHECK: Supplier ID missing",IF(COUNTIF(INV_ID,B159)=0,"CHECK: Supplier ID not in inventory",IF(AND(E159&lt;&gt;"",COUNTIF(RSK_ID,E159)=0),"CHECK: Risk ID not found",IF(AND(E159&lt;&gt;"",COUNTIF(RSK_ID,E159)&gt;0,IFERROR(INDEX(RSK_SUP,MATCH(E159,RSK_ID,0)),"")&lt;&gt;B159),"CHECK: Risk belongs to a different supplier",IF(AND(O159&lt;&gt;"",COUNTIF(FND_ID,O159)=0),"CHECK: Finding ID not found",IF(AND(J159&lt;&gt;"",K159&lt;LEN(SUBSTITUTE(J159," ",""))-LEN(SUBSTITUTE(SUBSTITUTE(J159," ",""),",",""))+1),"CHECK: some Evidence IDs not found","OK"))))))))</f>
        <v/>
      </c>
    </row>
    <row r="160" customFormat="false" ht="15" hidden="false" customHeight="false" outlineLevel="0" collapsed="false">
      <c r="A160" s="50"/>
      <c r="B160" s="50"/>
      <c r="C160" s="59" t="str">
        <f aca="false">IF(B160="","",IFERROR(INDEX(INV_NAME,MATCH(B160,INV_ID,0)),"CHECK: Supplier ID not found"))</f>
        <v/>
      </c>
      <c r="D160" s="34"/>
      <c r="E160" s="50"/>
      <c r="F160" s="34"/>
      <c r="G160" s="34"/>
      <c r="H160" s="34"/>
      <c r="I160" s="34"/>
      <c r="J160" s="34"/>
      <c r="K160" s="62" t="str">
        <f aca="false">IF(J160="","",SUMPRODUCT(ISNUMBER(SEARCH(","&amp;EV_ID&amp;",",","&amp;SUBSTITUTE(J160," ","")&amp;","))*(EV_ID&lt;&gt;"")))</f>
        <v/>
      </c>
      <c r="L160" s="34"/>
      <c r="M160" s="34"/>
      <c r="N160" s="34"/>
      <c r="O160" s="50"/>
      <c r="P160" s="50"/>
      <c r="Q160" s="51"/>
      <c r="R160" s="34"/>
      <c r="S160" s="54" t="str">
        <f aca="false">IF(A160="","",IF(M160="Confirmed weakness","Confirmed weakness",IF(OR(M160="Evidence insufficient",L160="Insufficient"),"Assurance limitation (evidence insufficient)",IF(AND(G160="Adequate",H160="Implemented",I160="Operating",L160="Sufficient"),"Design, implementation and operation evidenced",IF(AND(G160="Adequate",H160="Implemented"),"Designed and implemented; operation not evidenced",IF(G160="Adequate","Designed; implementation not evidenced","Not yet determined"))))))</f>
        <v/>
      </c>
      <c r="T160" s="54" t="str">
        <f aca="false">IF(A160="","",IF(AND(L160="Insufficient",N160="Ineffective"),"CHECK: evidence gap rated Ineffective - not permitted; record as Evidence insufficient",IF(AND(N160="Ineffective",M160&lt;&gt;"Confirmed weakness",M160&lt;&gt;"Exception identified"),"CHECK: Ineffective without a confirmed weakness or exception","OK")))</f>
        <v/>
      </c>
      <c r="U160" s="54" t="str">
        <f aca="false">IF(A160="","",IF(COUNTIF(CA_ID,A160)&gt;1,"CHECK: duplicate ID",IF(B160="","CHECK: Supplier ID missing",IF(COUNTIF(INV_ID,B160)=0,"CHECK: Supplier ID not in inventory",IF(AND(E160&lt;&gt;"",COUNTIF(RSK_ID,E160)=0),"CHECK: Risk ID not found",IF(AND(E160&lt;&gt;"",COUNTIF(RSK_ID,E160)&gt;0,IFERROR(INDEX(RSK_SUP,MATCH(E160,RSK_ID,0)),"")&lt;&gt;B160),"CHECK: Risk belongs to a different supplier",IF(AND(O160&lt;&gt;"",COUNTIF(FND_ID,O160)=0),"CHECK: Finding ID not found",IF(AND(J160&lt;&gt;"",K160&lt;LEN(SUBSTITUTE(J160," ",""))-LEN(SUBSTITUTE(SUBSTITUTE(J160," ",""),",",""))+1),"CHECK: some Evidence IDs not found","OK"))))))))</f>
        <v/>
      </c>
    </row>
    <row r="161" customFormat="false" ht="15" hidden="false" customHeight="false" outlineLevel="0" collapsed="false">
      <c r="A161" s="50"/>
      <c r="B161" s="50"/>
      <c r="C161" s="59" t="str">
        <f aca="false">IF(B161="","",IFERROR(INDEX(INV_NAME,MATCH(B161,INV_ID,0)),"CHECK: Supplier ID not found"))</f>
        <v/>
      </c>
      <c r="D161" s="34"/>
      <c r="E161" s="50"/>
      <c r="F161" s="34"/>
      <c r="G161" s="34"/>
      <c r="H161" s="34"/>
      <c r="I161" s="34"/>
      <c r="J161" s="34"/>
      <c r="K161" s="62" t="str">
        <f aca="false">IF(J161="","",SUMPRODUCT(ISNUMBER(SEARCH(","&amp;EV_ID&amp;",",","&amp;SUBSTITUTE(J161," ","")&amp;","))*(EV_ID&lt;&gt;"")))</f>
        <v/>
      </c>
      <c r="L161" s="34"/>
      <c r="M161" s="34"/>
      <c r="N161" s="34"/>
      <c r="O161" s="50"/>
      <c r="P161" s="50"/>
      <c r="Q161" s="51"/>
      <c r="R161" s="34"/>
      <c r="S161" s="54" t="str">
        <f aca="false">IF(A161="","",IF(M161="Confirmed weakness","Confirmed weakness",IF(OR(M161="Evidence insufficient",L161="Insufficient"),"Assurance limitation (evidence insufficient)",IF(AND(G161="Adequate",H161="Implemented",I161="Operating",L161="Sufficient"),"Design, implementation and operation evidenced",IF(AND(G161="Adequate",H161="Implemented"),"Designed and implemented; operation not evidenced",IF(G161="Adequate","Designed; implementation not evidenced","Not yet determined"))))))</f>
        <v/>
      </c>
      <c r="T161" s="54" t="str">
        <f aca="false">IF(A161="","",IF(AND(L161="Insufficient",N161="Ineffective"),"CHECK: evidence gap rated Ineffective - not permitted; record as Evidence insufficient",IF(AND(N161="Ineffective",M161&lt;&gt;"Confirmed weakness",M161&lt;&gt;"Exception identified"),"CHECK: Ineffective without a confirmed weakness or exception","OK")))</f>
        <v/>
      </c>
      <c r="U161" s="54" t="str">
        <f aca="false">IF(A161="","",IF(COUNTIF(CA_ID,A161)&gt;1,"CHECK: duplicate ID",IF(B161="","CHECK: Supplier ID missing",IF(COUNTIF(INV_ID,B161)=0,"CHECK: Supplier ID not in inventory",IF(AND(E161&lt;&gt;"",COUNTIF(RSK_ID,E161)=0),"CHECK: Risk ID not found",IF(AND(E161&lt;&gt;"",COUNTIF(RSK_ID,E161)&gt;0,IFERROR(INDEX(RSK_SUP,MATCH(E161,RSK_ID,0)),"")&lt;&gt;B161),"CHECK: Risk belongs to a different supplier",IF(AND(O161&lt;&gt;"",COUNTIF(FND_ID,O161)=0),"CHECK: Finding ID not found",IF(AND(J161&lt;&gt;"",K161&lt;LEN(SUBSTITUTE(J161," ",""))-LEN(SUBSTITUTE(SUBSTITUTE(J161," ",""),",",""))+1),"CHECK: some Evidence IDs not found","OK"))))))))</f>
        <v/>
      </c>
    </row>
    <row r="162" customFormat="false" ht="15" hidden="false" customHeight="false" outlineLevel="0" collapsed="false">
      <c r="A162" s="50"/>
      <c r="B162" s="50"/>
      <c r="C162" s="59" t="str">
        <f aca="false">IF(B162="","",IFERROR(INDEX(INV_NAME,MATCH(B162,INV_ID,0)),"CHECK: Supplier ID not found"))</f>
        <v/>
      </c>
      <c r="D162" s="34"/>
      <c r="E162" s="50"/>
      <c r="F162" s="34"/>
      <c r="G162" s="34"/>
      <c r="H162" s="34"/>
      <c r="I162" s="34"/>
      <c r="J162" s="34"/>
      <c r="K162" s="62" t="str">
        <f aca="false">IF(J162="","",SUMPRODUCT(ISNUMBER(SEARCH(","&amp;EV_ID&amp;",",","&amp;SUBSTITUTE(J162," ","")&amp;","))*(EV_ID&lt;&gt;"")))</f>
        <v/>
      </c>
      <c r="L162" s="34"/>
      <c r="M162" s="34"/>
      <c r="N162" s="34"/>
      <c r="O162" s="50"/>
      <c r="P162" s="50"/>
      <c r="Q162" s="51"/>
      <c r="R162" s="34"/>
      <c r="S162" s="54" t="str">
        <f aca="false">IF(A162="","",IF(M162="Confirmed weakness","Confirmed weakness",IF(OR(M162="Evidence insufficient",L162="Insufficient"),"Assurance limitation (evidence insufficient)",IF(AND(G162="Adequate",H162="Implemented",I162="Operating",L162="Sufficient"),"Design, implementation and operation evidenced",IF(AND(G162="Adequate",H162="Implemented"),"Designed and implemented; operation not evidenced",IF(G162="Adequate","Designed; implementation not evidenced","Not yet determined"))))))</f>
        <v/>
      </c>
      <c r="T162" s="54" t="str">
        <f aca="false">IF(A162="","",IF(AND(L162="Insufficient",N162="Ineffective"),"CHECK: evidence gap rated Ineffective - not permitted; record as Evidence insufficient",IF(AND(N162="Ineffective",M162&lt;&gt;"Confirmed weakness",M162&lt;&gt;"Exception identified"),"CHECK: Ineffective without a confirmed weakness or exception","OK")))</f>
        <v/>
      </c>
      <c r="U162" s="54" t="str">
        <f aca="false">IF(A162="","",IF(COUNTIF(CA_ID,A162)&gt;1,"CHECK: duplicate ID",IF(B162="","CHECK: Supplier ID missing",IF(COUNTIF(INV_ID,B162)=0,"CHECK: Supplier ID not in inventory",IF(AND(E162&lt;&gt;"",COUNTIF(RSK_ID,E162)=0),"CHECK: Risk ID not found",IF(AND(E162&lt;&gt;"",COUNTIF(RSK_ID,E162)&gt;0,IFERROR(INDEX(RSK_SUP,MATCH(E162,RSK_ID,0)),"")&lt;&gt;B162),"CHECK: Risk belongs to a different supplier",IF(AND(O162&lt;&gt;"",COUNTIF(FND_ID,O162)=0),"CHECK: Finding ID not found",IF(AND(J162&lt;&gt;"",K162&lt;LEN(SUBSTITUTE(J162," ",""))-LEN(SUBSTITUTE(SUBSTITUTE(J162," ",""),",",""))+1),"CHECK: some Evidence IDs not found","OK"))))))))</f>
        <v/>
      </c>
    </row>
    <row r="163" customFormat="false" ht="15" hidden="false" customHeight="false" outlineLevel="0" collapsed="false">
      <c r="A163" s="50"/>
      <c r="B163" s="50"/>
      <c r="C163" s="59" t="str">
        <f aca="false">IF(B163="","",IFERROR(INDEX(INV_NAME,MATCH(B163,INV_ID,0)),"CHECK: Supplier ID not found"))</f>
        <v/>
      </c>
      <c r="D163" s="34"/>
      <c r="E163" s="50"/>
      <c r="F163" s="34"/>
      <c r="G163" s="34"/>
      <c r="H163" s="34"/>
      <c r="I163" s="34"/>
      <c r="J163" s="34"/>
      <c r="K163" s="62" t="str">
        <f aca="false">IF(J163="","",SUMPRODUCT(ISNUMBER(SEARCH(","&amp;EV_ID&amp;",",","&amp;SUBSTITUTE(J163," ","")&amp;","))*(EV_ID&lt;&gt;"")))</f>
        <v/>
      </c>
      <c r="L163" s="34"/>
      <c r="M163" s="34"/>
      <c r="N163" s="34"/>
      <c r="O163" s="50"/>
      <c r="P163" s="50"/>
      <c r="Q163" s="51"/>
      <c r="R163" s="34"/>
      <c r="S163" s="54" t="str">
        <f aca="false">IF(A163="","",IF(M163="Confirmed weakness","Confirmed weakness",IF(OR(M163="Evidence insufficient",L163="Insufficient"),"Assurance limitation (evidence insufficient)",IF(AND(G163="Adequate",H163="Implemented",I163="Operating",L163="Sufficient"),"Design, implementation and operation evidenced",IF(AND(G163="Adequate",H163="Implemented"),"Designed and implemented; operation not evidenced",IF(G163="Adequate","Designed; implementation not evidenced","Not yet determined"))))))</f>
        <v/>
      </c>
      <c r="T163" s="54" t="str">
        <f aca="false">IF(A163="","",IF(AND(L163="Insufficient",N163="Ineffective"),"CHECK: evidence gap rated Ineffective - not permitted; record as Evidence insufficient",IF(AND(N163="Ineffective",M163&lt;&gt;"Confirmed weakness",M163&lt;&gt;"Exception identified"),"CHECK: Ineffective without a confirmed weakness or exception","OK")))</f>
        <v/>
      </c>
      <c r="U163" s="54" t="str">
        <f aca="false">IF(A163="","",IF(COUNTIF(CA_ID,A163)&gt;1,"CHECK: duplicate ID",IF(B163="","CHECK: Supplier ID missing",IF(COUNTIF(INV_ID,B163)=0,"CHECK: Supplier ID not in inventory",IF(AND(E163&lt;&gt;"",COUNTIF(RSK_ID,E163)=0),"CHECK: Risk ID not found",IF(AND(E163&lt;&gt;"",COUNTIF(RSK_ID,E163)&gt;0,IFERROR(INDEX(RSK_SUP,MATCH(E163,RSK_ID,0)),"")&lt;&gt;B163),"CHECK: Risk belongs to a different supplier",IF(AND(O163&lt;&gt;"",COUNTIF(FND_ID,O163)=0),"CHECK: Finding ID not found",IF(AND(J163&lt;&gt;"",K163&lt;LEN(SUBSTITUTE(J163," ",""))-LEN(SUBSTITUTE(SUBSTITUTE(J163," ",""),",",""))+1),"CHECK: some Evidence IDs not found","OK"))))))))</f>
        <v/>
      </c>
    </row>
    <row r="164" customFormat="false" ht="15" hidden="false" customHeight="false" outlineLevel="0" collapsed="false">
      <c r="A164" s="50"/>
      <c r="B164" s="50"/>
      <c r="C164" s="59" t="str">
        <f aca="false">IF(B164="","",IFERROR(INDEX(INV_NAME,MATCH(B164,INV_ID,0)),"CHECK: Supplier ID not found"))</f>
        <v/>
      </c>
      <c r="D164" s="34"/>
      <c r="E164" s="50"/>
      <c r="F164" s="34"/>
      <c r="G164" s="34"/>
      <c r="H164" s="34"/>
      <c r="I164" s="34"/>
      <c r="J164" s="34"/>
      <c r="K164" s="62" t="str">
        <f aca="false">IF(J164="","",SUMPRODUCT(ISNUMBER(SEARCH(","&amp;EV_ID&amp;",",","&amp;SUBSTITUTE(J164," ","")&amp;","))*(EV_ID&lt;&gt;"")))</f>
        <v/>
      </c>
      <c r="L164" s="34"/>
      <c r="M164" s="34"/>
      <c r="N164" s="34"/>
      <c r="O164" s="50"/>
      <c r="P164" s="50"/>
      <c r="Q164" s="51"/>
      <c r="R164" s="34"/>
      <c r="S164" s="54" t="str">
        <f aca="false">IF(A164="","",IF(M164="Confirmed weakness","Confirmed weakness",IF(OR(M164="Evidence insufficient",L164="Insufficient"),"Assurance limitation (evidence insufficient)",IF(AND(G164="Adequate",H164="Implemented",I164="Operating",L164="Sufficient"),"Design, implementation and operation evidenced",IF(AND(G164="Adequate",H164="Implemented"),"Designed and implemented; operation not evidenced",IF(G164="Adequate","Designed; implementation not evidenced","Not yet determined"))))))</f>
        <v/>
      </c>
      <c r="T164" s="54" t="str">
        <f aca="false">IF(A164="","",IF(AND(L164="Insufficient",N164="Ineffective"),"CHECK: evidence gap rated Ineffective - not permitted; record as Evidence insufficient",IF(AND(N164="Ineffective",M164&lt;&gt;"Confirmed weakness",M164&lt;&gt;"Exception identified"),"CHECK: Ineffective without a confirmed weakness or exception","OK")))</f>
        <v/>
      </c>
      <c r="U164" s="54" t="str">
        <f aca="false">IF(A164="","",IF(COUNTIF(CA_ID,A164)&gt;1,"CHECK: duplicate ID",IF(B164="","CHECK: Supplier ID missing",IF(COUNTIF(INV_ID,B164)=0,"CHECK: Supplier ID not in inventory",IF(AND(E164&lt;&gt;"",COUNTIF(RSK_ID,E164)=0),"CHECK: Risk ID not found",IF(AND(E164&lt;&gt;"",COUNTIF(RSK_ID,E164)&gt;0,IFERROR(INDEX(RSK_SUP,MATCH(E164,RSK_ID,0)),"")&lt;&gt;B164),"CHECK: Risk belongs to a different supplier",IF(AND(O164&lt;&gt;"",COUNTIF(FND_ID,O164)=0),"CHECK: Finding ID not found",IF(AND(J164&lt;&gt;"",K164&lt;LEN(SUBSTITUTE(J164," ",""))-LEN(SUBSTITUTE(SUBSTITUTE(J164," ",""),",",""))+1),"CHECK: some Evidence IDs not found","OK"))))))))</f>
        <v/>
      </c>
    </row>
    <row r="165" customFormat="false" ht="15" hidden="false" customHeight="false" outlineLevel="0" collapsed="false">
      <c r="A165" s="50"/>
      <c r="B165" s="50"/>
      <c r="C165" s="59" t="str">
        <f aca="false">IF(B165="","",IFERROR(INDEX(INV_NAME,MATCH(B165,INV_ID,0)),"CHECK: Supplier ID not found"))</f>
        <v/>
      </c>
      <c r="D165" s="34"/>
      <c r="E165" s="50"/>
      <c r="F165" s="34"/>
      <c r="G165" s="34"/>
      <c r="H165" s="34"/>
      <c r="I165" s="34"/>
      <c r="J165" s="34"/>
      <c r="K165" s="62" t="str">
        <f aca="false">IF(J165="","",SUMPRODUCT(ISNUMBER(SEARCH(","&amp;EV_ID&amp;",",","&amp;SUBSTITUTE(J165," ","")&amp;","))*(EV_ID&lt;&gt;"")))</f>
        <v/>
      </c>
      <c r="L165" s="34"/>
      <c r="M165" s="34"/>
      <c r="N165" s="34"/>
      <c r="O165" s="50"/>
      <c r="P165" s="50"/>
      <c r="Q165" s="51"/>
      <c r="R165" s="34"/>
      <c r="S165" s="54" t="str">
        <f aca="false">IF(A165="","",IF(M165="Confirmed weakness","Confirmed weakness",IF(OR(M165="Evidence insufficient",L165="Insufficient"),"Assurance limitation (evidence insufficient)",IF(AND(G165="Adequate",H165="Implemented",I165="Operating",L165="Sufficient"),"Design, implementation and operation evidenced",IF(AND(G165="Adequate",H165="Implemented"),"Designed and implemented; operation not evidenced",IF(G165="Adequate","Designed; implementation not evidenced","Not yet determined"))))))</f>
        <v/>
      </c>
      <c r="T165" s="54" t="str">
        <f aca="false">IF(A165="","",IF(AND(L165="Insufficient",N165="Ineffective"),"CHECK: evidence gap rated Ineffective - not permitted; record as Evidence insufficient",IF(AND(N165="Ineffective",M165&lt;&gt;"Confirmed weakness",M165&lt;&gt;"Exception identified"),"CHECK: Ineffective without a confirmed weakness or exception","OK")))</f>
        <v/>
      </c>
      <c r="U165" s="54" t="str">
        <f aca="false">IF(A165="","",IF(COUNTIF(CA_ID,A165)&gt;1,"CHECK: duplicate ID",IF(B165="","CHECK: Supplier ID missing",IF(COUNTIF(INV_ID,B165)=0,"CHECK: Supplier ID not in inventory",IF(AND(E165&lt;&gt;"",COUNTIF(RSK_ID,E165)=0),"CHECK: Risk ID not found",IF(AND(E165&lt;&gt;"",COUNTIF(RSK_ID,E165)&gt;0,IFERROR(INDEX(RSK_SUP,MATCH(E165,RSK_ID,0)),"")&lt;&gt;B165),"CHECK: Risk belongs to a different supplier",IF(AND(O165&lt;&gt;"",COUNTIF(FND_ID,O165)=0),"CHECK: Finding ID not found",IF(AND(J165&lt;&gt;"",K165&lt;LEN(SUBSTITUTE(J165," ",""))-LEN(SUBSTITUTE(SUBSTITUTE(J165," ",""),",",""))+1),"CHECK: some Evidence IDs not found","OK"))))))))</f>
        <v/>
      </c>
    </row>
    <row r="166" customFormat="false" ht="15" hidden="false" customHeight="false" outlineLevel="0" collapsed="false">
      <c r="A166" s="50"/>
      <c r="B166" s="50"/>
      <c r="C166" s="59" t="str">
        <f aca="false">IF(B166="","",IFERROR(INDEX(INV_NAME,MATCH(B166,INV_ID,0)),"CHECK: Supplier ID not found"))</f>
        <v/>
      </c>
      <c r="D166" s="34"/>
      <c r="E166" s="50"/>
      <c r="F166" s="34"/>
      <c r="G166" s="34"/>
      <c r="H166" s="34"/>
      <c r="I166" s="34"/>
      <c r="J166" s="34"/>
      <c r="K166" s="62" t="str">
        <f aca="false">IF(J166="","",SUMPRODUCT(ISNUMBER(SEARCH(","&amp;EV_ID&amp;",",","&amp;SUBSTITUTE(J166," ","")&amp;","))*(EV_ID&lt;&gt;"")))</f>
        <v/>
      </c>
      <c r="L166" s="34"/>
      <c r="M166" s="34"/>
      <c r="N166" s="34"/>
      <c r="O166" s="50"/>
      <c r="P166" s="50"/>
      <c r="Q166" s="51"/>
      <c r="R166" s="34"/>
      <c r="S166" s="54" t="str">
        <f aca="false">IF(A166="","",IF(M166="Confirmed weakness","Confirmed weakness",IF(OR(M166="Evidence insufficient",L166="Insufficient"),"Assurance limitation (evidence insufficient)",IF(AND(G166="Adequate",H166="Implemented",I166="Operating",L166="Sufficient"),"Design, implementation and operation evidenced",IF(AND(G166="Adequate",H166="Implemented"),"Designed and implemented; operation not evidenced",IF(G166="Adequate","Designed; implementation not evidenced","Not yet determined"))))))</f>
        <v/>
      </c>
      <c r="T166" s="54" t="str">
        <f aca="false">IF(A166="","",IF(AND(L166="Insufficient",N166="Ineffective"),"CHECK: evidence gap rated Ineffective - not permitted; record as Evidence insufficient",IF(AND(N166="Ineffective",M166&lt;&gt;"Confirmed weakness",M166&lt;&gt;"Exception identified"),"CHECK: Ineffective without a confirmed weakness or exception","OK")))</f>
        <v/>
      </c>
      <c r="U166" s="54" t="str">
        <f aca="false">IF(A166="","",IF(COUNTIF(CA_ID,A166)&gt;1,"CHECK: duplicate ID",IF(B166="","CHECK: Supplier ID missing",IF(COUNTIF(INV_ID,B166)=0,"CHECK: Supplier ID not in inventory",IF(AND(E166&lt;&gt;"",COUNTIF(RSK_ID,E166)=0),"CHECK: Risk ID not found",IF(AND(E166&lt;&gt;"",COUNTIF(RSK_ID,E166)&gt;0,IFERROR(INDEX(RSK_SUP,MATCH(E166,RSK_ID,0)),"")&lt;&gt;B166),"CHECK: Risk belongs to a different supplier",IF(AND(O166&lt;&gt;"",COUNTIF(FND_ID,O166)=0),"CHECK: Finding ID not found",IF(AND(J166&lt;&gt;"",K166&lt;LEN(SUBSTITUTE(J166," ",""))-LEN(SUBSTITUTE(SUBSTITUTE(J166," ",""),",",""))+1),"CHECK: some Evidence IDs not found","OK"))))))))</f>
        <v/>
      </c>
    </row>
    <row r="167" customFormat="false" ht="15" hidden="false" customHeight="false" outlineLevel="0" collapsed="false">
      <c r="A167" s="50"/>
      <c r="B167" s="50"/>
      <c r="C167" s="59" t="str">
        <f aca="false">IF(B167="","",IFERROR(INDEX(INV_NAME,MATCH(B167,INV_ID,0)),"CHECK: Supplier ID not found"))</f>
        <v/>
      </c>
      <c r="D167" s="34"/>
      <c r="E167" s="50"/>
      <c r="F167" s="34"/>
      <c r="G167" s="34"/>
      <c r="H167" s="34"/>
      <c r="I167" s="34"/>
      <c r="J167" s="34"/>
      <c r="K167" s="62" t="str">
        <f aca="false">IF(J167="","",SUMPRODUCT(ISNUMBER(SEARCH(","&amp;EV_ID&amp;",",","&amp;SUBSTITUTE(J167," ","")&amp;","))*(EV_ID&lt;&gt;"")))</f>
        <v/>
      </c>
      <c r="L167" s="34"/>
      <c r="M167" s="34"/>
      <c r="N167" s="34"/>
      <c r="O167" s="50"/>
      <c r="P167" s="50"/>
      <c r="Q167" s="51"/>
      <c r="R167" s="34"/>
      <c r="S167" s="54" t="str">
        <f aca="false">IF(A167="","",IF(M167="Confirmed weakness","Confirmed weakness",IF(OR(M167="Evidence insufficient",L167="Insufficient"),"Assurance limitation (evidence insufficient)",IF(AND(G167="Adequate",H167="Implemented",I167="Operating",L167="Sufficient"),"Design, implementation and operation evidenced",IF(AND(G167="Adequate",H167="Implemented"),"Designed and implemented; operation not evidenced",IF(G167="Adequate","Designed; implementation not evidenced","Not yet determined"))))))</f>
        <v/>
      </c>
      <c r="T167" s="54" t="str">
        <f aca="false">IF(A167="","",IF(AND(L167="Insufficient",N167="Ineffective"),"CHECK: evidence gap rated Ineffective - not permitted; record as Evidence insufficient",IF(AND(N167="Ineffective",M167&lt;&gt;"Confirmed weakness",M167&lt;&gt;"Exception identified"),"CHECK: Ineffective without a confirmed weakness or exception","OK")))</f>
        <v/>
      </c>
      <c r="U167" s="54" t="str">
        <f aca="false">IF(A167="","",IF(COUNTIF(CA_ID,A167)&gt;1,"CHECK: duplicate ID",IF(B167="","CHECK: Supplier ID missing",IF(COUNTIF(INV_ID,B167)=0,"CHECK: Supplier ID not in inventory",IF(AND(E167&lt;&gt;"",COUNTIF(RSK_ID,E167)=0),"CHECK: Risk ID not found",IF(AND(E167&lt;&gt;"",COUNTIF(RSK_ID,E167)&gt;0,IFERROR(INDEX(RSK_SUP,MATCH(E167,RSK_ID,0)),"")&lt;&gt;B167),"CHECK: Risk belongs to a different supplier",IF(AND(O167&lt;&gt;"",COUNTIF(FND_ID,O167)=0),"CHECK: Finding ID not found",IF(AND(J167&lt;&gt;"",K167&lt;LEN(SUBSTITUTE(J167," ",""))-LEN(SUBSTITUTE(SUBSTITUTE(J167," ",""),",",""))+1),"CHECK: some Evidence IDs not found","OK"))))))))</f>
        <v/>
      </c>
    </row>
    <row r="168" customFormat="false" ht="15" hidden="false" customHeight="false" outlineLevel="0" collapsed="false">
      <c r="A168" s="50"/>
      <c r="B168" s="50"/>
      <c r="C168" s="59" t="str">
        <f aca="false">IF(B168="","",IFERROR(INDEX(INV_NAME,MATCH(B168,INV_ID,0)),"CHECK: Supplier ID not found"))</f>
        <v/>
      </c>
      <c r="D168" s="34"/>
      <c r="E168" s="50"/>
      <c r="F168" s="34"/>
      <c r="G168" s="34"/>
      <c r="H168" s="34"/>
      <c r="I168" s="34"/>
      <c r="J168" s="34"/>
      <c r="K168" s="62" t="str">
        <f aca="false">IF(J168="","",SUMPRODUCT(ISNUMBER(SEARCH(","&amp;EV_ID&amp;",",","&amp;SUBSTITUTE(J168," ","")&amp;","))*(EV_ID&lt;&gt;"")))</f>
        <v/>
      </c>
      <c r="L168" s="34"/>
      <c r="M168" s="34"/>
      <c r="N168" s="34"/>
      <c r="O168" s="50"/>
      <c r="P168" s="50"/>
      <c r="Q168" s="51"/>
      <c r="R168" s="34"/>
      <c r="S168" s="54" t="str">
        <f aca="false">IF(A168="","",IF(M168="Confirmed weakness","Confirmed weakness",IF(OR(M168="Evidence insufficient",L168="Insufficient"),"Assurance limitation (evidence insufficient)",IF(AND(G168="Adequate",H168="Implemented",I168="Operating",L168="Sufficient"),"Design, implementation and operation evidenced",IF(AND(G168="Adequate",H168="Implemented"),"Designed and implemented; operation not evidenced",IF(G168="Adequate","Designed; implementation not evidenced","Not yet determined"))))))</f>
        <v/>
      </c>
      <c r="T168" s="54" t="str">
        <f aca="false">IF(A168="","",IF(AND(L168="Insufficient",N168="Ineffective"),"CHECK: evidence gap rated Ineffective - not permitted; record as Evidence insufficient",IF(AND(N168="Ineffective",M168&lt;&gt;"Confirmed weakness",M168&lt;&gt;"Exception identified"),"CHECK: Ineffective without a confirmed weakness or exception","OK")))</f>
        <v/>
      </c>
      <c r="U168" s="54" t="str">
        <f aca="false">IF(A168="","",IF(COUNTIF(CA_ID,A168)&gt;1,"CHECK: duplicate ID",IF(B168="","CHECK: Supplier ID missing",IF(COUNTIF(INV_ID,B168)=0,"CHECK: Supplier ID not in inventory",IF(AND(E168&lt;&gt;"",COUNTIF(RSK_ID,E168)=0),"CHECK: Risk ID not found",IF(AND(E168&lt;&gt;"",COUNTIF(RSK_ID,E168)&gt;0,IFERROR(INDEX(RSK_SUP,MATCH(E168,RSK_ID,0)),"")&lt;&gt;B168),"CHECK: Risk belongs to a different supplier",IF(AND(O168&lt;&gt;"",COUNTIF(FND_ID,O168)=0),"CHECK: Finding ID not found",IF(AND(J168&lt;&gt;"",K168&lt;LEN(SUBSTITUTE(J168," ",""))-LEN(SUBSTITUTE(SUBSTITUTE(J168," ",""),",",""))+1),"CHECK: some Evidence IDs not found","OK"))))))))</f>
        <v/>
      </c>
    </row>
    <row r="169" customFormat="false" ht="15" hidden="false" customHeight="false" outlineLevel="0" collapsed="false">
      <c r="A169" s="50"/>
      <c r="B169" s="50"/>
      <c r="C169" s="59" t="str">
        <f aca="false">IF(B169="","",IFERROR(INDEX(INV_NAME,MATCH(B169,INV_ID,0)),"CHECK: Supplier ID not found"))</f>
        <v/>
      </c>
      <c r="D169" s="34"/>
      <c r="E169" s="50"/>
      <c r="F169" s="34"/>
      <c r="G169" s="34"/>
      <c r="H169" s="34"/>
      <c r="I169" s="34"/>
      <c r="J169" s="34"/>
      <c r="K169" s="62" t="str">
        <f aca="false">IF(J169="","",SUMPRODUCT(ISNUMBER(SEARCH(","&amp;EV_ID&amp;",",","&amp;SUBSTITUTE(J169," ","")&amp;","))*(EV_ID&lt;&gt;"")))</f>
        <v/>
      </c>
      <c r="L169" s="34"/>
      <c r="M169" s="34"/>
      <c r="N169" s="34"/>
      <c r="O169" s="50"/>
      <c r="P169" s="50"/>
      <c r="Q169" s="51"/>
      <c r="R169" s="34"/>
      <c r="S169" s="54" t="str">
        <f aca="false">IF(A169="","",IF(M169="Confirmed weakness","Confirmed weakness",IF(OR(M169="Evidence insufficient",L169="Insufficient"),"Assurance limitation (evidence insufficient)",IF(AND(G169="Adequate",H169="Implemented",I169="Operating",L169="Sufficient"),"Design, implementation and operation evidenced",IF(AND(G169="Adequate",H169="Implemented"),"Designed and implemented; operation not evidenced",IF(G169="Adequate","Designed; implementation not evidenced","Not yet determined"))))))</f>
        <v/>
      </c>
      <c r="T169" s="54" t="str">
        <f aca="false">IF(A169="","",IF(AND(L169="Insufficient",N169="Ineffective"),"CHECK: evidence gap rated Ineffective - not permitted; record as Evidence insufficient",IF(AND(N169="Ineffective",M169&lt;&gt;"Confirmed weakness",M169&lt;&gt;"Exception identified"),"CHECK: Ineffective without a confirmed weakness or exception","OK")))</f>
        <v/>
      </c>
      <c r="U169" s="54" t="str">
        <f aca="false">IF(A169="","",IF(COUNTIF(CA_ID,A169)&gt;1,"CHECK: duplicate ID",IF(B169="","CHECK: Supplier ID missing",IF(COUNTIF(INV_ID,B169)=0,"CHECK: Supplier ID not in inventory",IF(AND(E169&lt;&gt;"",COUNTIF(RSK_ID,E169)=0),"CHECK: Risk ID not found",IF(AND(E169&lt;&gt;"",COUNTIF(RSK_ID,E169)&gt;0,IFERROR(INDEX(RSK_SUP,MATCH(E169,RSK_ID,0)),"")&lt;&gt;B169),"CHECK: Risk belongs to a different supplier",IF(AND(O169&lt;&gt;"",COUNTIF(FND_ID,O169)=0),"CHECK: Finding ID not found",IF(AND(J169&lt;&gt;"",K169&lt;LEN(SUBSTITUTE(J169," ",""))-LEN(SUBSTITUTE(SUBSTITUTE(J169," ",""),",",""))+1),"CHECK: some Evidence IDs not found","OK"))))))))</f>
        <v/>
      </c>
    </row>
    <row r="170" customFormat="false" ht="15" hidden="false" customHeight="false" outlineLevel="0" collapsed="false">
      <c r="A170" s="50"/>
      <c r="B170" s="50"/>
      <c r="C170" s="59" t="str">
        <f aca="false">IF(B170="","",IFERROR(INDEX(INV_NAME,MATCH(B170,INV_ID,0)),"CHECK: Supplier ID not found"))</f>
        <v/>
      </c>
      <c r="D170" s="34"/>
      <c r="E170" s="50"/>
      <c r="F170" s="34"/>
      <c r="G170" s="34"/>
      <c r="H170" s="34"/>
      <c r="I170" s="34"/>
      <c r="J170" s="34"/>
      <c r="K170" s="62" t="str">
        <f aca="false">IF(J170="","",SUMPRODUCT(ISNUMBER(SEARCH(","&amp;EV_ID&amp;",",","&amp;SUBSTITUTE(J170," ","")&amp;","))*(EV_ID&lt;&gt;"")))</f>
        <v/>
      </c>
      <c r="L170" s="34"/>
      <c r="M170" s="34"/>
      <c r="N170" s="34"/>
      <c r="O170" s="50"/>
      <c r="P170" s="50"/>
      <c r="Q170" s="51"/>
      <c r="R170" s="34"/>
      <c r="S170" s="54" t="str">
        <f aca="false">IF(A170="","",IF(M170="Confirmed weakness","Confirmed weakness",IF(OR(M170="Evidence insufficient",L170="Insufficient"),"Assurance limitation (evidence insufficient)",IF(AND(G170="Adequate",H170="Implemented",I170="Operating",L170="Sufficient"),"Design, implementation and operation evidenced",IF(AND(G170="Adequate",H170="Implemented"),"Designed and implemented; operation not evidenced",IF(G170="Adequate","Designed; implementation not evidenced","Not yet determined"))))))</f>
        <v/>
      </c>
      <c r="T170" s="54" t="str">
        <f aca="false">IF(A170="","",IF(AND(L170="Insufficient",N170="Ineffective"),"CHECK: evidence gap rated Ineffective - not permitted; record as Evidence insufficient",IF(AND(N170="Ineffective",M170&lt;&gt;"Confirmed weakness",M170&lt;&gt;"Exception identified"),"CHECK: Ineffective without a confirmed weakness or exception","OK")))</f>
        <v/>
      </c>
      <c r="U170" s="54" t="str">
        <f aca="false">IF(A170="","",IF(COUNTIF(CA_ID,A170)&gt;1,"CHECK: duplicate ID",IF(B170="","CHECK: Supplier ID missing",IF(COUNTIF(INV_ID,B170)=0,"CHECK: Supplier ID not in inventory",IF(AND(E170&lt;&gt;"",COUNTIF(RSK_ID,E170)=0),"CHECK: Risk ID not found",IF(AND(E170&lt;&gt;"",COUNTIF(RSK_ID,E170)&gt;0,IFERROR(INDEX(RSK_SUP,MATCH(E170,RSK_ID,0)),"")&lt;&gt;B170),"CHECK: Risk belongs to a different supplier",IF(AND(O170&lt;&gt;"",COUNTIF(FND_ID,O170)=0),"CHECK: Finding ID not found",IF(AND(J170&lt;&gt;"",K170&lt;LEN(SUBSTITUTE(J170," ",""))-LEN(SUBSTITUTE(SUBSTITUTE(J170," ",""),",",""))+1),"CHECK: some Evidence IDs not found","OK"))))))))</f>
        <v/>
      </c>
    </row>
    <row r="171" customFormat="false" ht="15" hidden="false" customHeight="false" outlineLevel="0" collapsed="false">
      <c r="A171" s="50"/>
      <c r="B171" s="50"/>
      <c r="C171" s="59" t="str">
        <f aca="false">IF(B171="","",IFERROR(INDEX(INV_NAME,MATCH(B171,INV_ID,0)),"CHECK: Supplier ID not found"))</f>
        <v/>
      </c>
      <c r="D171" s="34"/>
      <c r="E171" s="50"/>
      <c r="F171" s="34"/>
      <c r="G171" s="34"/>
      <c r="H171" s="34"/>
      <c r="I171" s="34"/>
      <c r="J171" s="34"/>
      <c r="K171" s="62" t="str">
        <f aca="false">IF(J171="","",SUMPRODUCT(ISNUMBER(SEARCH(","&amp;EV_ID&amp;",",","&amp;SUBSTITUTE(J171," ","")&amp;","))*(EV_ID&lt;&gt;"")))</f>
        <v/>
      </c>
      <c r="L171" s="34"/>
      <c r="M171" s="34"/>
      <c r="N171" s="34"/>
      <c r="O171" s="50"/>
      <c r="P171" s="50"/>
      <c r="Q171" s="51"/>
      <c r="R171" s="34"/>
      <c r="S171" s="54" t="str">
        <f aca="false">IF(A171="","",IF(M171="Confirmed weakness","Confirmed weakness",IF(OR(M171="Evidence insufficient",L171="Insufficient"),"Assurance limitation (evidence insufficient)",IF(AND(G171="Adequate",H171="Implemented",I171="Operating",L171="Sufficient"),"Design, implementation and operation evidenced",IF(AND(G171="Adequate",H171="Implemented"),"Designed and implemented; operation not evidenced",IF(G171="Adequate","Designed; implementation not evidenced","Not yet determined"))))))</f>
        <v/>
      </c>
      <c r="T171" s="54" t="str">
        <f aca="false">IF(A171="","",IF(AND(L171="Insufficient",N171="Ineffective"),"CHECK: evidence gap rated Ineffective - not permitted; record as Evidence insufficient",IF(AND(N171="Ineffective",M171&lt;&gt;"Confirmed weakness",M171&lt;&gt;"Exception identified"),"CHECK: Ineffective without a confirmed weakness or exception","OK")))</f>
        <v/>
      </c>
      <c r="U171" s="54" t="str">
        <f aca="false">IF(A171="","",IF(COUNTIF(CA_ID,A171)&gt;1,"CHECK: duplicate ID",IF(B171="","CHECK: Supplier ID missing",IF(COUNTIF(INV_ID,B171)=0,"CHECK: Supplier ID not in inventory",IF(AND(E171&lt;&gt;"",COUNTIF(RSK_ID,E171)=0),"CHECK: Risk ID not found",IF(AND(E171&lt;&gt;"",COUNTIF(RSK_ID,E171)&gt;0,IFERROR(INDEX(RSK_SUP,MATCH(E171,RSK_ID,0)),"")&lt;&gt;B171),"CHECK: Risk belongs to a different supplier",IF(AND(O171&lt;&gt;"",COUNTIF(FND_ID,O171)=0),"CHECK: Finding ID not found",IF(AND(J171&lt;&gt;"",K171&lt;LEN(SUBSTITUTE(J171," ",""))-LEN(SUBSTITUTE(SUBSTITUTE(J171," ",""),",",""))+1),"CHECK: some Evidence IDs not found","OK"))))))))</f>
        <v/>
      </c>
    </row>
    <row r="172" customFormat="false" ht="15" hidden="false" customHeight="false" outlineLevel="0" collapsed="false">
      <c r="A172" s="50"/>
      <c r="B172" s="50"/>
      <c r="C172" s="59" t="str">
        <f aca="false">IF(B172="","",IFERROR(INDEX(INV_NAME,MATCH(B172,INV_ID,0)),"CHECK: Supplier ID not found"))</f>
        <v/>
      </c>
      <c r="D172" s="34"/>
      <c r="E172" s="50"/>
      <c r="F172" s="34"/>
      <c r="G172" s="34"/>
      <c r="H172" s="34"/>
      <c r="I172" s="34"/>
      <c r="J172" s="34"/>
      <c r="K172" s="62" t="str">
        <f aca="false">IF(J172="","",SUMPRODUCT(ISNUMBER(SEARCH(","&amp;EV_ID&amp;",",","&amp;SUBSTITUTE(J172," ","")&amp;","))*(EV_ID&lt;&gt;"")))</f>
        <v/>
      </c>
      <c r="L172" s="34"/>
      <c r="M172" s="34"/>
      <c r="N172" s="34"/>
      <c r="O172" s="50"/>
      <c r="P172" s="50"/>
      <c r="Q172" s="51"/>
      <c r="R172" s="34"/>
      <c r="S172" s="54" t="str">
        <f aca="false">IF(A172="","",IF(M172="Confirmed weakness","Confirmed weakness",IF(OR(M172="Evidence insufficient",L172="Insufficient"),"Assurance limitation (evidence insufficient)",IF(AND(G172="Adequate",H172="Implemented",I172="Operating",L172="Sufficient"),"Design, implementation and operation evidenced",IF(AND(G172="Adequate",H172="Implemented"),"Designed and implemented; operation not evidenced",IF(G172="Adequate","Designed; implementation not evidenced","Not yet determined"))))))</f>
        <v/>
      </c>
      <c r="T172" s="54" t="str">
        <f aca="false">IF(A172="","",IF(AND(L172="Insufficient",N172="Ineffective"),"CHECK: evidence gap rated Ineffective - not permitted; record as Evidence insufficient",IF(AND(N172="Ineffective",M172&lt;&gt;"Confirmed weakness",M172&lt;&gt;"Exception identified"),"CHECK: Ineffective without a confirmed weakness or exception","OK")))</f>
        <v/>
      </c>
      <c r="U172" s="54" t="str">
        <f aca="false">IF(A172="","",IF(COUNTIF(CA_ID,A172)&gt;1,"CHECK: duplicate ID",IF(B172="","CHECK: Supplier ID missing",IF(COUNTIF(INV_ID,B172)=0,"CHECK: Supplier ID not in inventory",IF(AND(E172&lt;&gt;"",COUNTIF(RSK_ID,E172)=0),"CHECK: Risk ID not found",IF(AND(E172&lt;&gt;"",COUNTIF(RSK_ID,E172)&gt;0,IFERROR(INDEX(RSK_SUP,MATCH(E172,RSK_ID,0)),"")&lt;&gt;B172),"CHECK: Risk belongs to a different supplier",IF(AND(O172&lt;&gt;"",COUNTIF(FND_ID,O172)=0),"CHECK: Finding ID not found",IF(AND(J172&lt;&gt;"",K172&lt;LEN(SUBSTITUTE(J172," ",""))-LEN(SUBSTITUTE(SUBSTITUTE(J172," ",""),",",""))+1),"CHECK: some Evidence IDs not found","OK"))))))))</f>
        <v/>
      </c>
    </row>
    <row r="173" customFormat="false" ht="15" hidden="false" customHeight="false" outlineLevel="0" collapsed="false">
      <c r="A173" s="50"/>
      <c r="B173" s="50"/>
      <c r="C173" s="59" t="str">
        <f aca="false">IF(B173="","",IFERROR(INDEX(INV_NAME,MATCH(B173,INV_ID,0)),"CHECK: Supplier ID not found"))</f>
        <v/>
      </c>
      <c r="D173" s="34"/>
      <c r="E173" s="50"/>
      <c r="F173" s="34"/>
      <c r="G173" s="34"/>
      <c r="H173" s="34"/>
      <c r="I173" s="34"/>
      <c r="J173" s="34"/>
      <c r="K173" s="62" t="str">
        <f aca="false">IF(J173="","",SUMPRODUCT(ISNUMBER(SEARCH(","&amp;EV_ID&amp;",",","&amp;SUBSTITUTE(J173," ","")&amp;","))*(EV_ID&lt;&gt;"")))</f>
        <v/>
      </c>
      <c r="L173" s="34"/>
      <c r="M173" s="34"/>
      <c r="N173" s="34"/>
      <c r="O173" s="50"/>
      <c r="P173" s="50"/>
      <c r="Q173" s="51"/>
      <c r="R173" s="34"/>
      <c r="S173" s="54" t="str">
        <f aca="false">IF(A173="","",IF(M173="Confirmed weakness","Confirmed weakness",IF(OR(M173="Evidence insufficient",L173="Insufficient"),"Assurance limitation (evidence insufficient)",IF(AND(G173="Adequate",H173="Implemented",I173="Operating",L173="Sufficient"),"Design, implementation and operation evidenced",IF(AND(G173="Adequate",H173="Implemented"),"Designed and implemented; operation not evidenced",IF(G173="Adequate","Designed; implementation not evidenced","Not yet determined"))))))</f>
        <v/>
      </c>
      <c r="T173" s="54" t="str">
        <f aca="false">IF(A173="","",IF(AND(L173="Insufficient",N173="Ineffective"),"CHECK: evidence gap rated Ineffective - not permitted; record as Evidence insufficient",IF(AND(N173="Ineffective",M173&lt;&gt;"Confirmed weakness",M173&lt;&gt;"Exception identified"),"CHECK: Ineffective without a confirmed weakness or exception","OK")))</f>
        <v/>
      </c>
      <c r="U173" s="54" t="str">
        <f aca="false">IF(A173="","",IF(COUNTIF(CA_ID,A173)&gt;1,"CHECK: duplicate ID",IF(B173="","CHECK: Supplier ID missing",IF(COUNTIF(INV_ID,B173)=0,"CHECK: Supplier ID not in inventory",IF(AND(E173&lt;&gt;"",COUNTIF(RSK_ID,E173)=0),"CHECK: Risk ID not found",IF(AND(E173&lt;&gt;"",COUNTIF(RSK_ID,E173)&gt;0,IFERROR(INDEX(RSK_SUP,MATCH(E173,RSK_ID,0)),"")&lt;&gt;B173),"CHECK: Risk belongs to a different supplier",IF(AND(O173&lt;&gt;"",COUNTIF(FND_ID,O173)=0),"CHECK: Finding ID not found",IF(AND(J173&lt;&gt;"",K173&lt;LEN(SUBSTITUTE(J173," ",""))-LEN(SUBSTITUTE(SUBSTITUTE(J173," ",""),",",""))+1),"CHECK: some Evidence IDs not found","OK"))))))))</f>
        <v/>
      </c>
    </row>
    <row r="174" customFormat="false" ht="15" hidden="false" customHeight="false" outlineLevel="0" collapsed="false">
      <c r="A174" s="50"/>
      <c r="B174" s="50"/>
      <c r="C174" s="59" t="str">
        <f aca="false">IF(B174="","",IFERROR(INDEX(INV_NAME,MATCH(B174,INV_ID,0)),"CHECK: Supplier ID not found"))</f>
        <v/>
      </c>
      <c r="D174" s="34"/>
      <c r="E174" s="50"/>
      <c r="F174" s="34"/>
      <c r="G174" s="34"/>
      <c r="H174" s="34"/>
      <c r="I174" s="34"/>
      <c r="J174" s="34"/>
      <c r="K174" s="62" t="str">
        <f aca="false">IF(J174="","",SUMPRODUCT(ISNUMBER(SEARCH(","&amp;EV_ID&amp;",",","&amp;SUBSTITUTE(J174," ","")&amp;","))*(EV_ID&lt;&gt;"")))</f>
        <v/>
      </c>
      <c r="L174" s="34"/>
      <c r="M174" s="34"/>
      <c r="N174" s="34"/>
      <c r="O174" s="50"/>
      <c r="P174" s="50"/>
      <c r="Q174" s="51"/>
      <c r="R174" s="34"/>
      <c r="S174" s="54" t="str">
        <f aca="false">IF(A174="","",IF(M174="Confirmed weakness","Confirmed weakness",IF(OR(M174="Evidence insufficient",L174="Insufficient"),"Assurance limitation (evidence insufficient)",IF(AND(G174="Adequate",H174="Implemented",I174="Operating",L174="Sufficient"),"Design, implementation and operation evidenced",IF(AND(G174="Adequate",H174="Implemented"),"Designed and implemented; operation not evidenced",IF(G174="Adequate","Designed; implementation not evidenced","Not yet determined"))))))</f>
        <v/>
      </c>
      <c r="T174" s="54" t="str">
        <f aca="false">IF(A174="","",IF(AND(L174="Insufficient",N174="Ineffective"),"CHECK: evidence gap rated Ineffective - not permitted; record as Evidence insufficient",IF(AND(N174="Ineffective",M174&lt;&gt;"Confirmed weakness",M174&lt;&gt;"Exception identified"),"CHECK: Ineffective without a confirmed weakness or exception","OK")))</f>
        <v/>
      </c>
      <c r="U174" s="54" t="str">
        <f aca="false">IF(A174="","",IF(COUNTIF(CA_ID,A174)&gt;1,"CHECK: duplicate ID",IF(B174="","CHECK: Supplier ID missing",IF(COUNTIF(INV_ID,B174)=0,"CHECK: Supplier ID not in inventory",IF(AND(E174&lt;&gt;"",COUNTIF(RSK_ID,E174)=0),"CHECK: Risk ID not found",IF(AND(E174&lt;&gt;"",COUNTIF(RSK_ID,E174)&gt;0,IFERROR(INDEX(RSK_SUP,MATCH(E174,RSK_ID,0)),"")&lt;&gt;B174),"CHECK: Risk belongs to a different supplier",IF(AND(O174&lt;&gt;"",COUNTIF(FND_ID,O174)=0),"CHECK: Finding ID not found",IF(AND(J174&lt;&gt;"",K174&lt;LEN(SUBSTITUTE(J174," ",""))-LEN(SUBSTITUTE(SUBSTITUTE(J174," ",""),",",""))+1),"CHECK: some Evidence IDs not found","OK"))))))))</f>
        <v/>
      </c>
    </row>
    <row r="175" customFormat="false" ht="15" hidden="false" customHeight="false" outlineLevel="0" collapsed="false">
      <c r="A175" s="50"/>
      <c r="B175" s="50"/>
      <c r="C175" s="59" t="str">
        <f aca="false">IF(B175="","",IFERROR(INDEX(INV_NAME,MATCH(B175,INV_ID,0)),"CHECK: Supplier ID not found"))</f>
        <v/>
      </c>
      <c r="D175" s="34"/>
      <c r="E175" s="50"/>
      <c r="F175" s="34"/>
      <c r="G175" s="34"/>
      <c r="H175" s="34"/>
      <c r="I175" s="34"/>
      <c r="J175" s="34"/>
      <c r="K175" s="62" t="str">
        <f aca="false">IF(J175="","",SUMPRODUCT(ISNUMBER(SEARCH(","&amp;EV_ID&amp;",",","&amp;SUBSTITUTE(J175," ","")&amp;","))*(EV_ID&lt;&gt;"")))</f>
        <v/>
      </c>
      <c r="L175" s="34"/>
      <c r="M175" s="34"/>
      <c r="N175" s="34"/>
      <c r="O175" s="50"/>
      <c r="P175" s="50"/>
      <c r="Q175" s="51"/>
      <c r="R175" s="34"/>
      <c r="S175" s="54" t="str">
        <f aca="false">IF(A175="","",IF(M175="Confirmed weakness","Confirmed weakness",IF(OR(M175="Evidence insufficient",L175="Insufficient"),"Assurance limitation (evidence insufficient)",IF(AND(G175="Adequate",H175="Implemented",I175="Operating",L175="Sufficient"),"Design, implementation and operation evidenced",IF(AND(G175="Adequate",H175="Implemented"),"Designed and implemented; operation not evidenced",IF(G175="Adequate","Designed; implementation not evidenced","Not yet determined"))))))</f>
        <v/>
      </c>
      <c r="T175" s="54" t="str">
        <f aca="false">IF(A175="","",IF(AND(L175="Insufficient",N175="Ineffective"),"CHECK: evidence gap rated Ineffective - not permitted; record as Evidence insufficient",IF(AND(N175="Ineffective",M175&lt;&gt;"Confirmed weakness",M175&lt;&gt;"Exception identified"),"CHECK: Ineffective without a confirmed weakness or exception","OK")))</f>
        <v/>
      </c>
      <c r="U175" s="54" t="str">
        <f aca="false">IF(A175="","",IF(COUNTIF(CA_ID,A175)&gt;1,"CHECK: duplicate ID",IF(B175="","CHECK: Supplier ID missing",IF(COUNTIF(INV_ID,B175)=0,"CHECK: Supplier ID not in inventory",IF(AND(E175&lt;&gt;"",COUNTIF(RSK_ID,E175)=0),"CHECK: Risk ID not found",IF(AND(E175&lt;&gt;"",COUNTIF(RSK_ID,E175)&gt;0,IFERROR(INDEX(RSK_SUP,MATCH(E175,RSK_ID,0)),"")&lt;&gt;B175),"CHECK: Risk belongs to a different supplier",IF(AND(O175&lt;&gt;"",COUNTIF(FND_ID,O175)=0),"CHECK: Finding ID not found",IF(AND(J175&lt;&gt;"",K175&lt;LEN(SUBSTITUTE(J175," ",""))-LEN(SUBSTITUTE(SUBSTITUTE(J175," ",""),",",""))+1),"CHECK: some Evidence IDs not found","OK"))))))))</f>
        <v/>
      </c>
    </row>
    <row r="176" customFormat="false" ht="15" hidden="false" customHeight="false" outlineLevel="0" collapsed="false">
      <c r="A176" s="50"/>
      <c r="B176" s="50"/>
      <c r="C176" s="59" t="str">
        <f aca="false">IF(B176="","",IFERROR(INDEX(INV_NAME,MATCH(B176,INV_ID,0)),"CHECK: Supplier ID not found"))</f>
        <v/>
      </c>
      <c r="D176" s="34"/>
      <c r="E176" s="50"/>
      <c r="F176" s="34"/>
      <c r="G176" s="34"/>
      <c r="H176" s="34"/>
      <c r="I176" s="34"/>
      <c r="J176" s="34"/>
      <c r="K176" s="62" t="str">
        <f aca="false">IF(J176="","",SUMPRODUCT(ISNUMBER(SEARCH(","&amp;EV_ID&amp;",",","&amp;SUBSTITUTE(J176," ","")&amp;","))*(EV_ID&lt;&gt;"")))</f>
        <v/>
      </c>
      <c r="L176" s="34"/>
      <c r="M176" s="34"/>
      <c r="N176" s="34"/>
      <c r="O176" s="50"/>
      <c r="P176" s="50"/>
      <c r="Q176" s="51"/>
      <c r="R176" s="34"/>
      <c r="S176" s="54" t="str">
        <f aca="false">IF(A176="","",IF(M176="Confirmed weakness","Confirmed weakness",IF(OR(M176="Evidence insufficient",L176="Insufficient"),"Assurance limitation (evidence insufficient)",IF(AND(G176="Adequate",H176="Implemented",I176="Operating",L176="Sufficient"),"Design, implementation and operation evidenced",IF(AND(G176="Adequate",H176="Implemented"),"Designed and implemented; operation not evidenced",IF(G176="Adequate","Designed; implementation not evidenced","Not yet determined"))))))</f>
        <v/>
      </c>
      <c r="T176" s="54" t="str">
        <f aca="false">IF(A176="","",IF(AND(L176="Insufficient",N176="Ineffective"),"CHECK: evidence gap rated Ineffective - not permitted; record as Evidence insufficient",IF(AND(N176="Ineffective",M176&lt;&gt;"Confirmed weakness",M176&lt;&gt;"Exception identified"),"CHECK: Ineffective without a confirmed weakness or exception","OK")))</f>
        <v/>
      </c>
      <c r="U176" s="54" t="str">
        <f aca="false">IF(A176="","",IF(COUNTIF(CA_ID,A176)&gt;1,"CHECK: duplicate ID",IF(B176="","CHECK: Supplier ID missing",IF(COUNTIF(INV_ID,B176)=0,"CHECK: Supplier ID not in inventory",IF(AND(E176&lt;&gt;"",COUNTIF(RSK_ID,E176)=0),"CHECK: Risk ID not found",IF(AND(E176&lt;&gt;"",COUNTIF(RSK_ID,E176)&gt;0,IFERROR(INDEX(RSK_SUP,MATCH(E176,RSK_ID,0)),"")&lt;&gt;B176),"CHECK: Risk belongs to a different supplier",IF(AND(O176&lt;&gt;"",COUNTIF(FND_ID,O176)=0),"CHECK: Finding ID not found",IF(AND(J176&lt;&gt;"",K176&lt;LEN(SUBSTITUTE(J176," ",""))-LEN(SUBSTITUTE(SUBSTITUTE(J176," ",""),",",""))+1),"CHECK: some Evidence IDs not found","OK"))))))))</f>
        <v/>
      </c>
    </row>
    <row r="177" customFormat="false" ht="15" hidden="false" customHeight="false" outlineLevel="0" collapsed="false">
      <c r="A177" s="50"/>
      <c r="B177" s="50"/>
      <c r="C177" s="59" t="str">
        <f aca="false">IF(B177="","",IFERROR(INDEX(INV_NAME,MATCH(B177,INV_ID,0)),"CHECK: Supplier ID not found"))</f>
        <v/>
      </c>
      <c r="D177" s="34"/>
      <c r="E177" s="50"/>
      <c r="F177" s="34"/>
      <c r="G177" s="34"/>
      <c r="H177" s="34"/>
      <c r="I177" s="34"/>
      <c r="J177" s="34"/>
      <c r="K177" s="62" t="str">
        <f aca="false">IF(J177="","",SUMPRODUCT(ISNUMBER(SEARCH(","&amp;EV_ID&amp;",",","&amp;SUBSTITUTE(J177," ","")&amp;","))*(EV_ID&lt;&gt;"")))</f>
        <v/>
      </c>
      <c r="L177" s="34"/>
      <c r="M177" s="34"/>
      <c r="N177" s="34"/>
      <c r="O177" s="50"/>
      <c r="P177" s="50"/>
      <c r="Q177" s="51"/>
      <c r="R177" s="34"/>
      <c r="S177" s="54" t="str">
        <f aca="false">IF(A177="","",IF(M177="Confirmed weakness","Confirmed weakness",IF(OR(M177="Evidence insufficient",L177="Insufficient"),"Assurance limitation (evidence insufficient)",IF(AND(G177="Adequate",H177="Implemented",I177="Operating",L177="Sufficient"),"Design, implementation and operation evidenced",IF(AND(G177="Adequate",H177="Implemented"),"Designed and implemented; operation not evidenced",IF(G177="Adequate","Designed; implementation not evidenced","Not yet determined"))))))</f>
        <v/>
      </c>
      <c r="T177" s="54" t="str">
        <f aca="false">IF(A177="","",IF(AND(L177="Insufficient",N177="Ineffective"),"CHECK: evidence gap rated Ineffective - not permitted; record as Evidence insufficient",IF(AND(N177="Ineffective",M177&lt;&gt;"Confirmed weakness",M177&lt;&gt;"Exception identified"),"CHECK: Ineffective without a confirmed weakness or exception","OK")))</f>
        <v/>
      </c>
      <c r="U177" s="54" t="str">
        <f aca="false">IF(A177="","",IF(COUNTIF(CA_ID,A177)&gt;1,"CHECK: duplicate ID",IF(B177="","CHECK: Supplier ID missing",IF(COUNTIF(INV_ID,B177)=0,"CHECK: Supplier ID not in inventory",IF(AND(E177&lt;&gt;"",COUNTIF(RSK_ID,E177)=0),"CHECK: Risk ID not found",IF(AND(E177&lt;&gt;"",COUNTIF(RSK_ID,E177)&gt;0,IFERROR(INDEX(RSK_SUP,MATCH(E177,RSK_ID,0)),"")&lt;&gt;B177),"CHECK: Risk belongs to a different supplier",IF(AND(O177&lt;&gt;"",COUNTIF(FND_ID,O177)=0),"CHECK: Finding ID not found",IF(AND(J177&lt;&gt;"",K177&lt;LEN(SUBSTITUTE(J177," ",""))-LEN(SUBSTITUTE(SUBSTITUTE(J177," ",""),",",""))+1),"CHECK: some Evidence IDs not found","OK"))))))))</f>
        <v/>
      </c>
    </row>
    <row r="178" customFormat="false" ht="15" hidden="false" customHeight="false" outlineLevel="0" collapsed="false">
      <c r="A178" s="50"/>
      <c r="B178" s="50"/>
      <c r="C178" s="59" t="str">
        <f aca="false">IF(B178="","",IFERROR(INDEX(INV_NAME,MATCH(B178,INV_ID,0)),"CHECK: Supplier ID not found"))</f>
        <v/>
      </c>
      <c r="D178" s="34"/>
      <c r="E178" s="50"/>
      <c r="F178" s="34"/>
      <c r="G178" s="34"/>
      <c r="H178" s="34"/>
      <c r="I178" s="34"/>
      <c r="J178" s="34"/>
      <c r="K178" s="62" t="str">
        <f aca="false">IF(J178="","",SUMPRODUCT(ISNUMBER(SEARCH(","&amp;EV_ID&amp;",",","&amp;SUBSTITUTE(J178," ","")&amp;","))*(EV_ID&lt;&gt;"")))</f>
        <v/>
      </c>
      <c r="L178" s="34"/>
      <c r="M178" s="34"/>
      <c r="N178" s="34"/>
      <c r="O178" s="50"/>
      <c r="P178" s="50"/>
      <c r="Q178" s="51"/>
      <c r="R178" s="34"/>
      <c r="S178" s="54" t="str">
        <f aca="false">IF(A178="","",IF(M178="Confirmed weakness","Confirmed weakness",IF(OR(M178="Evidence insufficient",L178="Insufficient"),"Assurance limitation (evidence insufficient)",IF(AND(G178="Adequate",H178="Implemented",I178="Operating",L178="Sufficient"),"Design, implementation and operation evidenced",IF(AND(G178="Adequate",H178="Implemented"),"Designed and implemented; operation not evidenced",IF(G178="Adequate","Designed; implementation not evidenced","Not yet determined"))))))</f>
        <v/>
      </c>
      <c r="T178" s="54" t="str">
        <f aca="false">IF(A178="","",IF(AND(L178="Insufficient",N178="Ineffective"),"CHECK: evidence gap rated Ineffective - not permitted; record as Evidence insufficient",IF(AND(N178="Ineffective",M178&lt;&gt;"Confirmed weakness",M178&lt;&gt;"Exception identified"),"CHECK: Ineffective without a confirmed weakness or exception","OK")))</f>
        <v/>
      </c>
      <c r="U178" s="54" t="str">
        <f aca="false">IF(A178="","",IF(COUNTIF(CA_ID,A178)&gt;1,"CHECK: duplicate ID",IF(B178="","CHECK: Supplier ID missing",IF(COUNTIF(INV_ID,B178)=0,"CHECK: Supplier ID not in inventory",IF(AND(E178&lt;&gt;"",COUNTIF(RSK_ID,E178)=0),"CHECK: Risk ID not found",IF(AND(E178&lt;&gt;"",COUNTIF(RSK_ID,E178)&gt;0,IFERROR(INDEX(RSK_SUP,MATCH(E178,RSK_ID,0)),"")&lt;&gt;B178),"CHECK: Risk belongs to a different supplier",IF(AND(O178&lt;&gt;"",COUNTIF(FND_ID,O178)=0),"CHECK: Finding ID not found",IF(AND(J178&lt;&gt;"",K178&lt;LEN(SUBSTITUTE(J178," ",""))-LEN(SUBSTITUTE(SUBSTITUTE(J178," ",""),",",""))+1),"CHECK: some Evidence IDs not found","OK"))))))))</f>
        <v/>
      </c>
    </row>
    <row r="179" customFormat="false" ht="15" hidden="false" customHeight="false" outlineLevel="0" collapsed="false">
      <c r="A179" s="50"/>
      <c r="B179" s="50"/>
      <c r="C179" s="59" t="str">
        <f aca="false">IF(B179="","",IFERROR(INDEX(INV_NAME,MATCH(B179,INV_ID,0)),"CHECK: Supplier ID not found"))</f>
        <v/>
      </c>
      <c r="D179" s="34"/>
      <c r="E179" s="50"/>
      <c r="F179" s="34"/>
      <c r="G179" s="34"/>
      <c r="H179" s="34"/>
      <c r="I179" s="34"/>
      <c r="J179" s="34"/>
      <c r="K179" s="62" t="str">
        <f aca="false">IF(J179="","",SUMPRODUCT(ISNUMBER(SEARCH(","&amp;EV_ID&amp;",",","&amp;SUBSTITUTE(J179," ","")&amp;","))*(EV_ID&lt;&gt;"")))</f>
        <v/>
      </c>
      <c r="L179" s="34"/>
      <c r="M179" s="34"/>
      <c r="N179" s="34"/>
      <c r="O179" s="50"/>
      <c r="P179" s="50"/>
      <c r="Q179" s="51"/>
      <c r="R179" s="34"/>
      <c r="S179" s="54" t="str">
        <f aca="false">IF(A179="","",IF(M179="Confirmed weakness","Confirmed weakness",IF(OR(M179="Evidence insufficient",L179="Insufficient"),"Assurance limitation (evidence insufficient)",IF(AND(G179="Adequate",H179="Implemented",I179="Operating",L179="Sufficient"),"Design, implementation and operation evidenced",IF(AND(G179="Adequate",H179="Implemented"),"Designed and implemented; operation not evidenced",IF(G179="Adequate","Designed; implementation not evidenced","Not yet determined"))))))</f>
        <v/>
      </c>
      <c r="T179" s="54" t="str">
        <f aca="false">IF(A179="","",IF(AND(L179="Insufficient",N179="Ineffective"),"CHECK: evidence gap rated Ineffective - not permitted; record as Evidence insufficient",IF(AND(N179="Ineffective",M179&lt;&gt;"Confirmed weakness",M179&lt;&gt;"Exception identified"),"CHECK: Ineffective without a confirmed weakness or exception","OK")))</f>
        <v/>
      </c>
      <c r="U179" s="54" t="str">
        <f aca="false">IF(A179="","",IF(COUNTIF(CA_ID,A179)&gt;1,"CHECK: duplicate ID",IF(B179="","CHECK: Supplier ID missing",IF(COUNTIF(INV_ID,B179)=0,"CHECK: Supplier ID not in inventory",IF(AND(E179&lt;&gt;"",COUNTIF(RSK_ID,E179)=0),"CHECK: Risk ID not found",IF(AND(E179&lt;&gt;"",COUNTIF(RSK_ID,E179)&gt;0,IFERROR(INDEX(RSK_SUP,MATCH(E179,RSK_ID,0)),"")&lt;&gt;B179),"CHECK: Risk belongs to a different supplier",IF(AND(O179&lt;&gt;"",COUNTIF(FND_ID,O179)=0),"CHECK: Finding ID not found",IF(AND(J179&lt;&gt;"",K179&lt;LEN(SUBSTITUTE(J179," ",""))-LEN(SUBSTITUTE(SUBSTITUTE(J179," ",""),",",""))+1),"CHECK: some Evidence IDs not found","OK"))))))))</f>
        <v/>
      </c>
    </row>
    <row r="180" customFormat="false" ht="15" hidden="false" customHeight="false" outlineLevel="0" collapsed="false">
      <c r="A180" s="50"/>
      <c r="B180" s="50"/>
      <c r="C180" s="59" t="str">
        <f aca="false">IF(B180="","",IFERROR(INDEX(INV_NAME,MATCH(B180,INV_ID,0)),"CHECK: Supplier ID not found"))</f>
        <v/>
      </c>
      <c r="D180" s="34"/>
      <c r="E180" s="50"/>
      <c r="F180" s="34"/>
      <c r="G180" s="34"/>
      <c r="H180" s="34"/>
      <c r="I180" s="34"/>
      <c r="J180" s="34"/>
      <c r="K180" s="62" t="str">
        <f aca="false">IF(J180="","",SUMPRODUCT(ISNUMBER(SEARCH(","&amp;EV_ID&amp;",",","&amp;SUBSTITUTE(J180," ","")&amp;","))*(EV_ID&lt;&gt;"")))</f>
        <v/>
      </c>
      <c r="L180" s="34"/>
      <c r="M180" s="34"/>
      <c r="N180" s="34"/>
      <c r="O180" s="50"/>
      <c r="P180" s="50"/>
      <c r="Q180" s="51"/>
      <c r="R180" s="34"/>
      <c r="S180" s="54" t="str">
        <f aca="false">IF(A180="","",IF(M180="Confirmed weakness","Confirmed weakness",IF(OR(M180="Evidence insufficient",L180="Insufficient"),"Assurance limitation (evidence insufficient)",IF(AND(G180="Adequate",H180="Implemented",I180="Operating",L180="Sufficient"),"Design, implementation and operation evidenced",IF(AND(G180="Adequate",H180="Implemented"),"Designed and implemented; operation not evidenced",IF(G180="Adequate","Designed; implementation not evidenced","Not yet determined"))))))</f>
        <v/>
      </c>
      <c r="T180" s="54" t="str">
        <f aca="false">IF(A180="","",IF(AND(L180="Insufficient",N180="Ineffective"),"CHECK: evidence gap rated Ineffective - not permitted; record as Evidence insufficient",IF(AND(N180="Ineffective",M180&lt;&gt;"Confirmed weakness",M180&lt;&gt;"Exception identified"),"CHECK: Ineffective without a confirmed weakness or exception","OK")))</f>
        <v/>
      </c>
      <c r="U180" s="54" t="str">
        <f aca="false">IF(A180="","",IF(COUNTIF(CA_ID,A180)&gt;1,"CHECK: duplicate ID",IF(B180="","CHECK: Supplier ID missing",IF(COUNTIF(INV_ID,B180)=0,"CHECK: Supplier ID not in inventory",IF(AND(E180&lt;&gt;"",COUNTIF(RSK_ID,E180)=0),"CHECK: Risk ID not found",IF(AND(E180&lt;&gt;"",COUNTIF(RSK_ID,E180)&gt;0,IFERROR(INDEX(RSK_SUP,MATCH(E180,RSK_ID,0)),"")&lt;&gt;B180),"CHECK: Risk belongs to a different supplier",IF(AND(O180&lt;&gt;"",COUNTIF(FND_ID,O180)=0),"CHECK: Finding ID not found",IF(AND(J180&lt;&gt;"",K180&lt;LEN(SUBSTITUTE(J180," ",""))-LEN(SUBSTITUTE(SUBSTITUTE(J180," ",""),",",""))+1),"CHECK: some Evidence IDs not found","OK"))))))))</f>
        <v/>
      </c>
    </row>
    <row r="181" customFormat="false" ht="15" hidden="false" customHeight="false" outlineLevel="0" collapsed="false">
      <c r="A181" s="50"/>
      <c r="B181" s="50"/>
      <c r="C181" s="59" t="str">
        <f aca="false">IF(B181="","",IFERROR(INDEX(INV_NAME,MATCH(B181,INV_ID,0)),"CHECK: Supplier ID not found"))</f>
        <v/>
      </c>
      <c r="D181" s="34"/>
      <c r="E181" s="50"/>
      <c r="F181" s="34"/>
      <c r="G181" s="34"/>
      <c r="H181" s="34"/>
      <c r="I181" s="34"/>
      <c r="J181" s="34"/>
      <c r="K181" s="62" t="str">
        <f aca="false">IF(J181="","",SUMPRODUCT(ISNUMBER(SEARCH(","&amp;EV_ID&amp;",",","&amp;SUBSTITUTE(J181," ","")&amp;","))*(EV_ID&lt;&gt;"")))</f>
        <v/>
      </c>
      <c r="L181" s="34"/>
      <c r="M181" s="34"/>
      <c r="N181" s="34"/>
      <c r="O181" s="50"/>
      <c r="P181" s="50"/>
      <c r="Q181" s="51"/>
      <c r="R181" s="34"/>
      <c r="S181" s="54" t="str">
        <f aca="false">IF(A181="","",IF(M181="Confirmed weakness","Confirmed weakness",IF(OR(M181="Evidence insufficient",L181="Insufficient"),"Assurance limitation (evidence insufficient)",IF(AND(G181="Adequate",H181="Implemented",I181="Operating",L181="Sufficient"),"Design, implementation and operation evidenced",IF(AND(G181="Adequate",H181="Implemented"),"Designed and implemented; operation not evidenced",IF(G181="Adequate","Designed; implementation not evidenced","Not yet determined"))))))</f>
        <v/>
      </c>
      <c r="T181" s="54" t="str">
        <f aca="false">IF(A181="","",IF(AND(L181="Insufficient",N181="Ineffective"),"CHECK: evidence gap rated Ineffective - not permitted; record as Evidence insufficient",IF(AND(N181="Ineffective",M181&lt;&gt;"Confirmed weakness",M181&lt;&gt;"Exception identified"),"CHECK: Ineffective without a confirmed weakness or exception","OK")))</f>
        <v/>
      </c>
      <c r="U181" s="54" t="str">
        <f aca="false">IF(A181="","",IF(COUNTIF(CA_ID,A181)&gt;1,"CHECK: duplicate ID",IF(B181="","CHECK: Supplier ID missing",IF(COUNTIF(INV_ID,B181)=0,"CHECK: Supplier ID not in inventory",IF(AND(E181&lt;&gt;"",COUNTIF(RSK_ID,E181)=0),"CHECK: Risk ID not found",IF(AND(E181&lt;&gt;"",COUNTIF(RSK_ID,E181)&gt;0,IFERROR(INDEX(RSK_SUP,MATCH(E181,RSK_ID,0)),"")&lt;&gt;B181),"CHECK: Risk belongs to a different supplier",IF(AND(O181&lt;&gt;"",COUNTIF(FND_ID,O181)=0),"CHECK: Finding ID not found",IF(AND(J181&lt;&gt;"",K181&lt;LEN(SUBSTITUTE(J181," ",""))-LEN(SUBSTITUTE(SUBSTITUTE(J181," ",""),",",""))+1),"CHECK: some Evidence IDs not found","OK"))))))))</f>
        <v/>
      </c>
    </row>
    <row r="182" customFormat="false" ht="15" hidden="false" customHeight="false" outlineLevel="0" collapsed="false">
      <c r="A182" s="50"/>
      <c r="B182" s="50"/>
      <c r="C182" s="59" t="str">
        <f aca="false">IF(B182="","",IFERROR(INDEX(INV_NAME,MATCH(B182,INV_ID,0)),"CHECK: Supplier ID not found"))</f>
        <v/>
      </c>
      <c r="D182" s="34"/>
      <c r="E182" s="50"/>
      <c r="F182" s="34"/>
      <c r="G182" s="34"/>
      <c r="H182" s="34"/>
      <c r="I182" s="34"/>
      <c r="J182" s="34"/>
      <c r="K182" s="62" t="str">
        <f aca="false">IF(J182="","",SUMPRODUCT(ISNUMBER(SEARCH(","&amp;EV_ID&amp;",",","&amp;SUBSTITUTE(J182," ","")&amp;","))*(EV_ID&lt;&gt;"")))</f>
        <v/>
      </c>
      <c r="L182" s="34"/>
      <c r="M182" s="34"/>
      <c r="N182" s="34"/>
      <c r="O182" s="50"/>
      <c r="P182" s="50"/>
      <c r="Q182" s="51"/>
      <c r="R182" s="34"/>
      <c r="S182" s="54" t="str">
        <f aca="false">IF(A182="","",IF(M182="Confirmed weakness","Confirmed weakness",IF(OR(M182="Evidence insufficient",L182="Insufficient"),"Assurance limitation (evidence insufficient)",IF(AND(G182="Adequate",H182="Implemented",I182="Operating",L182="Sufficient"),"Design, implementation and operation evidenced",IF(AND(G182="Adequate",H182="Implemented"),"Designed and implemented; operation not evidenced",IF(G182="Adequate","Designed; implementation not evidenced","Not yet determined"))))))</f>
        <v/>
      </c>
      <c r="T182" s="54" t="str">
        <f aca="false">IF(A182="","",IF(AND(L182="Insufficient",N182="Ineffective"),"CHECK: evidence gap rated Ineffective - not permitted; record as Evidence insufficient",IF(AND(N182="Ineffective",M182&lt;&gt;"Confirmed weakness",M182&lt;&gt;"Exception identified"),"CHECK: Ineffective without a confirmed weakness or exception","OK")))</f>
        <v/>
      </c>
      <c r="U182" s="54" t="str">
        <f aca="false">IF(A182="","",IF(COUNTIF(CA_ID,A182)&gt;1,"CHECK: duplicate ID",IF(B182="","CHECK: Supplier ID missing",IF(COUNTIF(INV_ID,B182)=0,"CHECK: Supplier ID not in inventory",IF(AND(E182&lt;&gt;"",COUNTIF(RSK_ID,E182)=0),"CHECK: Risk ID not found",IF(AND(E182&lt;&gt;"",COUNTIF(RSK_ID,E182)&gt;0,IFERROR(INDEX(RSK_SUP,MATCH(E182,RSK_ID,0)),"")&lt;&gt;B182),"CHECK: Risk belongs to a different supplier",IF(AND(O182&lt;&gt;"",COUNTIF(FND_ID,O182)=0),"CHECK: Finding ID not found",IF(AND(J182&lt;&gt;"",K182&lt;LEN(SUBSTITUTE(J182," ",""))-LEN(SUBSTITUTE(SUBSTITUTE(J182," ",""),",",""))+1),"CHECK: some Evidence IDs not found","OK"))))))))</f>
        <v/>
      </c>
    </row>
    <row r="183" customFormat="false" ht="15" hidden="false" customHeight="false" outlineLevel="0" collapsed="false">
      <c r="A183" s="50"/>
      <c r="B183" s="50"/>
      <c r="C183" s="59" t="str">
        <f aca="false">IF(B183="","",IFERROR(INDEX(INV_NAME,MATCH(B183,INV_ID,0)),"CHECK: Supplier ID not found"))</f>
        <v/>
      </c>
      <c r="D183" s="34"/>
      <c r="E183" s="50"/>
      <c r="F183" s="34"/>
      <c r="G183" s="34"/>
      <c r="H183" s="34"/>
      <c r="I183" s="34"/>
      <c r="J183" s="34"/>
      <c r="K183" s="62" t="str">
        <f aca="false">IF(J183="","",SUMPRODUCT(ISNUMBER(SEARCH(","&amp;EV_ID&amp;",",","&amp;SUBSTITUTE(J183," ","")&amp;","))*(EV_ID&lt;&gt;"")))</f>
        <v/>
      </c>
      <c r="L183" s="34"/>
      <c r="M183" s="34"/>
      <c r="N183" s="34"/>
      <c r="O183" s="50"/>
      <c r="P183" s="50"/>
      <c r="Q183" s="51"/>
      <c r="R183" s="34"/>
      <c r="S183" s="54" t="str">
        <f aca="false">IF(A183="","",IF(M183="Confirmed weakness","Confirmed weakness",IF(OR(M183="Evidence insufficient",L183="Insufficient"),"Assurance limitation (evidence insufficient)",IF(AND(G183="Adequate",H183="Implemented",I183="Operating",L183="Sufficient"),"Design, implementation and operation evidenced",IF(AND(G183="Adequate",H183="Implemented"),"Designed and implemented; operation not evidenced",IF(G183="Adequate","Designed; implementation not evidenced","Not yet determined"))))))</f>
        <v/>
      </c>
      <c r="T183" s="54" t="str">
        <f aca="false">IF(A183="","",IF(AND(L183="Insufficient",N183="Ineffective"),"CHECK: evidence gap rated Ineffective - not permitted; record as Evidence insufficient",IF(AND(N183="Ineffective",M183&lt;&gt;"Confirmed weakness",M183&lt;&gt;"Exception identified"),"CHECK: Ineffective without a confirmed weakness or exception","OK")))</f>
        <v/>
      </c>
      <c r="U183" s="54" t="str">
        <f aca="false">IF(A183="","",IF(COUNTIF(CA_ID,A183)&gt;1,"CHECK: duplicate ID",IF(B183="","CHECK: Supplier ID missing",IF(COUNTIF(INV_ID,B183)=0,"CHECK: Supplier ID not in inventory",IF(AND(E183&lt;&gt;"",COUNTIF(RSK_ID,E183)=0),"CHECK: Risk ID not found",IF(AND(E183&lt;&gt;"",COUNTIF(RSK_ID,E183)&gt;0,IFERROR(INDEX(RSK_SUP,MATCH(E183,RSK_ID,0)),"")&lt;&gt;B183),"CHECK: Risk belongs to a different supplier",IF(AND(O183&lt;&gt;"",COUNTIF(FND_ID,O183)=0),"CHECK: Finding ID not found",IF(AND(J183&lt;&gt;"",K183&lt;LEN(SUBSTITUTE(J183," ",""))-LEN(SUBSTITUTE(SUBSTITUTE(J183," ",""),",",""))+1),"CHECK: some Evidence IDs not found","OK"))))))))</f>
        <v/>
      </c>
    </row>
    <row r="184" customFormat="false" ht="15" hidden="false" customHeight="false" outlineLevel="0" collapsed="false">
      <c r="A184" s="50"/>
      <c r="B184" s="50"/>
      <c r="C184" s="59" t="str">
        <f aca="false">IF(B184="","",IFERROR(INDEX(INV_NAME,MATCH(B184,INV_ID,0)),"CHECK: Supplier ID not found"))</f>
        <v/>
      </c>
      <c r="D184" s="34"/>
      <c r="E184" s="50"/>
      <c r="F184" s="34"/>
      <c r="G184" s="34"/>
      <c r="H184" s="34"/>
      <c r="I184" s="34"/>
      <c r="J184" s="34"/>
      <c r="K184" s="62" t="str">
        <f aca="false">IF(J184="","",SUMPRODUCT(ISNUMBER(SEARCH(","&amp;EV_ID&amp;",",","&amp;SUBSTITUTE(J184," ","")&amp;","))*(EV_ID&lt;&gt;"")))</f>
        <v/>
      </c>
      <c r="L184" s="34"/>
      <c r="M184" s="34"/>
      <c r="N184" s="34"/>
      <c r="O184" s="50"/>
      <c r="P184" s="50"/>
      <c r="Q184" s="51"/>
      <c r="R184" s="34"/>
      <c r="S184" s="54" t="str">
        <f aca="false">IF(A184="","",IF(M184="Confirmed weakness","Confirmed weakness",IF(OR(M184="Evidence insufficient",L184="Insufficient"),"Assurance limitation (evidence insufficient)",IF(AND(G184="Adequate",H184="Implemented",I184="Operating",L184="Sufficient"),"Design, implementation and operation evidenced",IF(AND(G184="Adequate",H184="Implemented"),"Designed and implemented; operation not evidenced",IF(G184="Adequate","Designed; implementation not evidenced","Not yet determined"))))))</f>
        <v/>
      </c>
      <c r="T184" s="54" t="str">
        <f aca="false">IF(A184="","",IF(AND(L184="Insufficient",N184="Ineffective"),"CHECK: evidence gap rated Ineffective - not permitted; record as Evidence insufficient",IF(AND(N184="Ineffective",M184&lt;&gt;"Confirmed weakness",M184&lt;&gt;"Exception identified"),"CHECK: Ineffective without a confirmed weakness or exception","OK")))</f>
        <v/>
      </c>
      <c r="U184" s="54" t="str">
        <f aca="false">IF(A184="","",IF(COUNTIF(CA_ID,A184)&gt;1,"CHECK: duplicate ID",IF(B184="","CHECK: Supplier ID missing",IF(COUNTIF(INV_ID,B184)=0,"CHECK: Supplier ID not in inventory",IF(AND(E184&lt;&gt;"",COUNTIF(RSK_ID,E184)=0),"CHECK: Risk ID not found",IF(AND(E184&lt;&gt;"",COUNTIF(RSK_ID,E184)&gt;0,IFERROR(INDEX(RSK_SUP,MATCH(E184,RSK_ID,0)),"")&lt;&gt;B184),"CHECK: Risk belongs to a different supplier",IF(AND(O184&lt;&gt;"",COUNTIF(FND_ID,O184)=0),"CHECK: Finding ID not found",IF(AND(J184&lt;&gt;"",K184&lt;LEN(SUBSTITUTE(J184," ",""))-LEN(SUBSTITUTE(SUBSTITUTE(J184," ",""),",",""))+1),"CHECK: some Evidence IDs not found","OK"))))))))</f>
        <v/>
      </c>
    </row>
    <row r="185" customFormat="false" ht="15" hidden="false" customHeight="false" outlineLevel="0" collapsed="false">
      <c r="A185" s="50"/>
      <c r="B185" s="50"/>
      <c r="C185" s="59" t="str">
        <f aca="false">IF(B185="","",IFERROR(INDEX(INV_NAME,MATCH(B185,INV_ID,0)),"CHECK: Supplier ID not found"))</f>
        <v/>
      </c>
      <c r="D185" s="34"/>
      <c r="E185" s="50"/>
      <c r="F185" s="34"/>
      <c r="G185" s="34"/>
      <c r="H185" s="34"/>
      <c r="I185" s="34"/>
      <c r="J185" s="34"/>
      <c r="K185" s="62" t="str">
        <f aca="false">IF(J185="","",SUMPRODUCT(ISNUMBER(SEARCH(","&amp;EV_ID&amp;",",","&amp;SUBSTITUTE(J185," ","")&amp;","))*(EV_ID&lt;&gt;"")))</f>
        <v/>
      </c>
      <c r="L185" s="34"/>
      <c r="M185" s="34"/>
      <c r="N185" s="34"/>
      <c r="O185" s="50"/>
      <c r="P185" s="50"/>
      <c r="Q185" s="51"/>
      <c r="R185" s="34"/>
      <c r="S185" s="54" t="str">
        <f aca="false">IF(A185="","",IF(M185="Confirmed weakness","Confirmed weakness",IF(OR(M185="Evidence insufficient",L185="Insufficient"),"Assurance limitation (evidence insufficient)",IF(AND(G185="Adequate",H185="Implemented",I185="Operating",L185="Sufficient"),"Design, implementation and operation evidenced",IF(AND(G185="Adequate",H185="Implemented"),"Designed and implemented; operation not evidenced",IF(G185="Adequate","Designed; implementation not evidenced","Not yet determined"))))))</f>
        <v/>
      </c>
      <c r="T185" s="54" t="str">
        <f aca="false">IF(A185="","",IF(AND(L185="Insufficient",N185="Ineffective"),"CHECK: evidence gap rated Ineffective - not permitted; record as Evidence insufficient",IF(AND(N185="Ineffective",M185&lt;&gt;"Confirmed weakness",M185&lt;&gt;"Exception identified"),"CHECK: Ineffective without a confirmed weakness or exception","OK")))</f>
        <v/>
      </c>
      <c r="U185" s="54" t="str">
        <f aca="false">IF(A185="","",IF(COUNTIF(CA_ID,A185)&gt;1,"CHECK: duplicate ID",IF(B185="","CHECK: Supplier ID missing",IF(COUNTIF(INV_ID,B185)=0,"CHECK: Supplier ID not in inventory",IF(AND(E185&lt;&gt;"",COUNTIF(RSK_ID,E185)=0),"CHECK: Risk ID not found",IF(AND(E185&lt;&gt;"",COUNTIF(RSK_ID,E185)&gt;0,IFERROR(INDEX(RSK_SUP,MATCH(E185,RSK_ID,0)),"")&lt;&gt;B185),"CHECK: Risk belongs to a different supplier",IF(AND(O185&lt;&gt;"",COUNTIF(FND_ID,O185)=0),"CHECK: Finding ID not found",IF(AND(J185&lt;&gt;"",K185&lt;LEN(SUBSTITUTE(J185," ",""))-LEN(SUBSTITUTE(SUBSTITUTE(J185," ",""),",",""))+1),"CHECK: some Evidence IDs not found","OK"))))))))</f>
        <v/>
      </c>
    </row>
    <row r="186" customFormat="false" ht="15" hidden="false" customHeight="false" outlineLevel="0" collapsed="false">
      <c r="A186" s="50"/>
      <c r="B186" s="50"/>
      <c r="C186" s="59" t="str">
        <f aca="false">IF(B186="","",IFERROR(INDEX(INV_NAME,MATCH(B186,INV_ID,0)),"CHECK: Supplier ID not found"))</f>
        <v/>
      </c>
      <c r="D186" s="34"/>
      <c r="E186" s="50"/>
      <c r="F186" s="34"/>
      <c r="G186" s="34"/>
      <c r="H186" s="34"/>
      <c r="I186" s="34"/>
      <c r="J186" s="34"/>
      <c r="K186" s="62" t="str">
        <f aca="false">IF(J186="","",SUMPRODUCT(ISNUMBER(SEARCH(","&amp;EV_ID&amp;",",","&amp;SUBSTITUTE(J186," ","")&amp;","))*(EV_ID&lt;&gt;"")))</f>
        <v/>
      </c>
      <c r="L186" s="34"/>
      <c r="M186" s="34"/>
      <c r="N186" s="34"/>
      <c r="O186" s="50"/>
      <c r="P186" s="50"/>
      <c r="Q186" s="51"/>
      <c r="R186" s="34"/>
      <c r="S186" s="54" t="str">
        <f aca="false">IF(A186="","",IF(M186="Confirmed weakness","Confirmed weakness",IF(OR(M186="Evidence insufficient",L186="Insufficient"),"Assurance limitation (evidence insufficient)",IF(AND(G186="Adequate",H186="Implemented",I186="Operating",L186="Sufficient"),"Design, implementation and operation evidenced",IF(AND(G186="Adequate",H186="Implemented"),"Designed and implemented; operation not evidenced",IF(G186="Adequate","Designed; implementation not evidenced","Not yet determined"))))))</f>
        <v/>
      </c>
      <c r="T186" s="54" t="str">
        <f aca="false">IF(A186="","",IF(AND(L186="Insufficient",N186="Ineffective"),"CHECK: evidence gap rated Ineffective - not permitted; record as Evidence insufficient",IF(AND(N186="Ineffective",M186&lt;&gt;"Confirmed weakness",M186&lt;&gt;"Exception identified"),"CHECK: Ineffective without a confirmed weakness or exception","OK")))</f>
        <v/>
      </c>
      <c r="U186" s="54" t="str">
        <f aca="false">IF(A186="","",IF(COUNTIF(CA_ID,A186)&gt;1,"CHECK: duplicate ID",IF(B186="","CHECK: Supplier ID missing",IF(COUNTIF(INV_ID,B186)=0,"CHECK: Supplier ID not in inventory",IF(AND(E186&lt;&gt;"",COUNTIF(RSK_ID,E186)=0),"CHECK: Risk ID not found",IF(AND(E186&lt;&gt;"",COUNTIF(RSK_ID,E186)&gt;0,IFERROR(INDEX(RSK_SUP,MATCH(E186,RSK_ID,0)),"")&lt;&gt;B186),"CHECK: Risk belongs to a different supplier",IF(AND(O186&lt;&gt;"",COUNTIF(FND_ID,O186)=0),"CHECK: Finding ID not found",IF(AND(J186&lt;&gt;"",K186&lt;LEN(SUBSTITUTE(J186," ",""))-LEN(SUBSTITUTE(SUBSTITUTE(J186," ",""),",",""))+1),"CHECK: some Evidence IDs not found","OK"))))))))</f>
        <v/>
      </c>
    </row>
    <row r="187" customFormat="false" ht="15" hidden="false" customHeight="false" outlineLevel="0" collapsed="false">
      <c r="A187" s="50"/>
      <c r="B187" s="50"/>
      <c r="C187" s="59" t="str">
        <f aca="false">IF(B187="","",IFERROR(INDEX(INV_NAME,MATCH(B187,INV_ID,0)),"CHECK: Supplier ID not found"))</f>
        <v/>
      </c>
      <c r="D187" s="34"/>
      <c r="E187" s="50"/>
      <c r="F187" s="34"/>
      <c r="G187" s="34"/>
      <c r="H187" s="34"/>
      <c r="I187" s="34"/>
      <c r="J187" s="34"/>
      <c r="K187" s="62" t="str">
        <f aca="false">IF(J187="","",SUMPRODUCT(ISNUMBER(SEARCH(","&amp;EV_ID&amp;",",","&amp;SUBSTITUTE(J187," ","")&amp;","))*(EV_ID&lt;&gt;"")))</f>
        <v/>
      </c>
      <c r="L187" s="34"/>
      <c r="M187" s="34"/>
      <c r="N187" s="34"/>
      <c r="O187" s="50"/>
      <c r="P187" s="50"/>
      <c r="Q187" s="51"/>
      <c r="R187" s="34"/>
      <c r="S187" s="54" t="str">
        <f aca="false">IF(A187="","",IF(M187="Confirmed weakness","Confirmed weakness",IF(OR(M187="Evidence insufficient",L187="Insufficient"),"Assurance limitation (evidence insufficient)",IF(AND(G187="Adequate",H187="Implemented",I187="Operating",L187="Sufficient"),"Design, implementation and operation evidenced",IF(AND(G187="Adequate",H187="Implemented"),"Designed and implemented; operation not evidenced",IF(G187="Adequate","Designed; implementation not evidenced","Not yet determined"))))))</f>
        <v/>
      </c>
      <c r="T187" s="54" t="str">
        <f aca="false">IF(A187="","",IF(AND(L187="Insufficient",N187="Ineffective"),"CHECK: evidence gap rated Ineffective - not permitted; record as Evidence insufficient",IF(AND(N187="Ineffective",M187&lt;&gt;"Confirmed weakness",M187&lt;&gt;"Exception identified"),"CHECK: Ineffective without a confirmed weakness or exception","OK")))</f>
        <v/>
      </c>
      <c r="U187" s="54" t="str">
        <f aca="false">IF(A187="","",IF(COUNTIF(CA_ID,A187)&gt;1,"CHECK: duplicate ID",IF(B187="","CHECK: Supplier ID missing",IF(COUNTIF(INV_ID,B187)=0,"CHECK: Supplier ID not in inventory",IF(AND(E187&lt;&gt;"",COUNTIF(RSK_ID,E187)=0),"CHECK: Risk ID not found",IF(AND(E187&lt;&gt;"",COUNTIF(RSK_ID,E187)&gt;0,IFERROR(INDEX(RSK_SUP,MATCH(E187,RSK_ID,0)),"")&lt;&gt;B187),"CHECK: Risk belongs to a different supplier",IF(AND(O187&lt;&gt;"",COUNTIF(FND_ID,O187)=0),"CHECK: Finding ID not found",IF(AND(J187&lt;&gt;"",K187&lt;LEN(SUBSTITUTE(J187," ",""))-LEN(SUBSTITUTE(SUBSTITUTE(J187," ",""),",",""))+1),"CHECK: some Evidence IDs not found","OK"))))))))</f>
        <v/>
      </c>
    </row>
    <row r="188" customFormat="false" ht="15" hidden="false" customHeight="false" outlineLevel="0" collapsed="false">
      <c r="A188" s="50"/>
      <c r="B188" s="50"/>
      <c r="C188" s="59" t="str">
        <f aca="false">IF(B188="","",IFERROR(INDEX(INV_NAME,MATCH(B188,INV_ID,0)),"CHECK: Supplier ID not found"))</f>
        <v/>
      </c>
      <c r="D188" s="34"/>
      <c r="E188" s="50"/>
      <c r="F188" s="34"/>
      <c r="G188" s="34"/>
      <c r="H188" s="34"/>
      <c r="I188" s="34"/>
      <c r="J188" s="34"/>
      <c r="K188" s="62" t="str">
        <f aca="false">IF(J188="","",SUMPRODUCT(ISNUMBER(SEARCH(","&amp;EV_ID&amp;",",","&amp;SUBSTITUTE(J188," ","")&amp;","))*(EV_ID&lt;&gt;"")))</f>
        <v/>
      </c>
      <c r="L188" s="34"/>
      <c r="M188" s="34"/>
      <c r="N188" s="34"/>
      <c r="O188" s="50"/>
      <c r="P188" s="50"/>
      <c r="Q188" s="51"/>
      <c r="R188" s="34"/>
      <c r="S188" s="54" t="str">
        <f aca="false">IF(A188="","",IF(M188="Confirmed weakness","Confirmed weakness",IF(OR(M188="Evidence insufficient",L188="Insufficient"),"Assurance limitation (evidence insufficient)",IF(AND(G188="Adequate",H188="Implemented",I188="Operating",L188="Sufficient"),"Design, implementation and operation evidenced",IF(AND(G188="Adequate",H188="Implemented"),"Designed and implemented; operation not evidenced",IF(G188="Adequate","Designed; implementation not evidenced","Not yet determined"))))))</f>
        <v/>
      </c>
      <c r="T188" s="54" t="str">
        <f aca="false">IF(A188="","",IF(AND(L188="Insufficient",N188="Ineffective"),"CHECK: evidence gap rated Ineffective - not permitted; record as Evidence insufficient",IF(AND(N188="Ineffective",M188&lt;&gt;"Confirmed weakness",M188&lt;&gt;"Exception identified"),"CHECK: Ineffective without a confirmed weakness or exception","OK")))</f>
        <v/>
      </c>
      <c r="U188" s="54" t="str">
        <f aca="false">IF(A188="","",IF(COUNTIF(CA_ID,A188)&gt;1,"CHECK: duplicate ID",IF(B188="","CHECK: Supplier ID missing",IF(COUNTIF(INV_ID,B188)=0,"CHECK: Supplier ID not in inventory",IF(AND(E188&lt;&gt;"",COUNTIF(RSK_ID,E188)=0),"CHECK: Risk ID not found",IF(AND(E188&lt;&gt;"",COUNTIF(RSK_ID,E188)&gt;0,IFERROR(INDEX(RSK_SUP,MATCH(E188,RSK_ID,0)),"")&lt;&gt;B188),"CHECK: Risk belongs to a different supplier",IF(AND(O188&lt;&gt;"",COUNTIF(FND_ID,O188)=0),"CHECK: Finding ID not found",IF(AND(J188&lt;&gt;"",K188&lt;LEN(SUBSTITUTE(J188," ",""))-LEN(SUBSTITUTE(SUBSTITUTE(J188," ",""),",",""))+1),"CHECK: some Evidence IDs not found","OK"))))))))</f>
        <v/>
      </c>
    </row>
    <row r="189" customFormat="false" ht="15" hidden="false" customHeight="false" outlineLevel="0" collapsed="false">
      <c r="A189" s="50"/>
      <c r="B189" s="50"/>
      <c r="C189" s="59" t="str">
        <f aca="false">IF(B189="","",IFERROR(INDEX(INV_NAME,MATCH(B189,INV_ID,0)),"CHECK: Supplier ID not found"))</f>
        <v/>
      </c>
      <c r="D189" s="34"/>
      <c r="E189" s="50"/>
      <c r="F189" s="34"/>
      <c r="G189" s="34"/>
      <c r="H189" s="34"/>
      <c r="I189" s="34"/>
      <c r="J189" s="34"/>
      <c r="K189" s="62" t="str">
        <f aca="false">IF(J189="","",SUMPRODUCT(ISNUMBER(SEARCH(","&amp;EV_ID&amp;",",","&amp;SUBSTITUTE(J189," ","")&amp;","))*(EV_ID&lt;&gt;"")))</f>
        <v/>
      </c>
      <c r="L189" s="34"/>
      <c r="M189" s="34"/>
      <c r="N189" s="34"/>
      <c r="O189" s="50"/>
      <c r="P189" s="50"/>
      <c r="Q189" s="51"/>
      <c r="R189" s="34"/>
      <c r="S189" s="54" t="str">
        <f aca="false">IF(A189="","",IF(M189="Confirmed weakness","Confirmed weakness",IF(OR(M189="Evidence insufficient",L189="Insufficient"),"Assurance limitation (evidence insufficient)",IF(AND(G189="Adequate",H189="Implemented",I189="Operating",L189="Sufficient"),"Design, implementation and operation evidenced",IF(AND(G189="Adequate",H189="Implemented"),"Designed and implemented; operation not evidenced",IF(G189="Adequate","Designed; implementation not evidenced","Not yet determined"))))))</f>
        <v/>
      </c>
      <c r="T189" s="54" t="str">
        <f aca="false">IF(A189="","",IF(AND(L189="Insufficient",N189="Ineffective"),"CHECK: evidence gap rated Ineffective - not permitted; record as Evidence insufficient",IF(AND(N189="Ineffective",M189&lt;&gt;"Confirmed weakness",M189&lt;&gt;"Exception identified"),"CHECK: Ineffective without a confirmed weakness or exception","OK")))</f>
        <v/>
      </c>
      <c r="U189" s="54" t="str">
        <f aca="false">IF(A189="","",IF(COUNTIF(CA_ID,A189)&gt;1,"CHECK: duplicate ID",IF(B189="","CHECK: Supplier ID missing",IF(COUNTIF(INV_ID,B189)=0,"CHECK: Supplier ID not in inventory",IF(AND(E189&lt;&gt;"",COUNTIF(RSK_ID,E189)=0),"CHECK: Risk ID not found",IF(AND(E189&lt;&gt;"",COUNTIF(RSK_ID,E189)&gt;0,IFERROR(INDEX(RSK_SUP,MATCH(E189,RSK_ID,0)),"")&lt;&gt;B189),"CHECK: Risk belongs to a different supplier",IF(AND(O189&lt;&gt;"",COUNTIF(FND_ID,O189)=0),"CHECK: Finding ID not found",IF(AND(J189&lt;&gt;"",K189&lt;LEN(SUBSTITUTE(J189," ",""))-LEN(SUBSTITUTE(SUBSTITUTE(J189," ",""),",",""))+1),"CHECK: some Evidence IDs not found","OK"))))))))</f>
        <v/>
      </c>
    </row>
    <row r="190" customFormat="false" ht="15" hidden="false" customHeight="false" outlineLevel="0" collapsed="false">
      <c r="A190" s="50"/>
      <c r="B190" s="50"/>
      <c r="C190" s="59" t="str">
        <f aca="false">IF(B190="","",IFERROR(INDEX(INV_NAME,MATCH(B190,INV_ID,0)),"CHECK: Supplier ID not found"))</f>
        <v/>
      </c>
      <c r="D190" s="34"/>
      <c r="E190" s="50"/>
      <c r="F190" s="34"/>
      <c r="G190" s="34"/>
      <c r="H190" s="34"/>
      <c r="I190" s="34"/>
      <c r="J190" s="34"/>
      <c r="K190" s="62" t="str">
        <f aca="false">IF(J190="","",SUMPRODUCT(ISNUMBER(SEARCH(","&amp;EV_ID&amp;",",","&amp;SUBSTITUTE(J190," ","")&amp;","))*(EV_ID&lt;&gt;"")))</f>
        <v/>
      </c>
      <c r="L190" s="34"/>
      <c r="M190" s="34"/>
      <c r="N190" s="34"/>
      <c r="O190" s="50"/>
      <c r="P190" s="50"/>
      <c r="Q190" s="51"/>
      <c r="R190" s="34"/>
      <c r="S190" s="54" t="str">
        <f aca="false">IF(A190="","",IF(M190="Confirmed weakness","Confirmed weakness",IF(OR(M190="Evidence insufficient",L190="Insufficient"),"Assurance limitation (evidence insufficient)",IF(AND(G190="Adequate",H190="Implemented",I190="Operating",L190="Sufficient"),"Design, implementation and operation evidenced",IF(AND(G190="Adequate",H190="Implemented"),"Designed and implemented; operation not evidenced",IF(G190="Adequate","Designed; implementation not evidenced","Not yet determined"))))))</f>
        <v/>
      </c>
      <c r="T190" s="54" t="str">
        <f aca="false">IF(A190="","",IF(AND(L190="Insufficient",N190="Ineffective"),"CHECK: evidence gap rated Ineffective - not permitted; record as Evidence insufficient",IF(AND(N190="Ineffective",M190&lt;&gt;"Confirmed weakness",M190&lt;&gt;"Exception identified"),"CHECK: Ineffective without a confirmed weakness or exception","OK")))</f>
        <v/>
      </c>
      <c r="U190" s="54" t="str">
        <f aca="false">IF(A190="","",IF(COUNTIF(CA_ID,A190)&gt;1,"CHECK: duplicate ID",IF(B190="","CHECK: Supplier ID missing",IF(COUNTIF(INV_ID,B190)=0,"CHECK: Supplier ID not in inventory",IF(AND(E190&lt;&gt;"",COUNTIF(RSK_ID,E190)=0),"CHECK: Risk ID not found",IF(AND(E190&lt;&gt;"",COUNTIF(RSK_ID,E190)&gt;0,IFERROR(INDEX(RSK_SUP,MATCH(E190,RSK_ID,0)),"")&lt;&gt;B190),"CHECK: Risk belongs to a different supplier",IF(AND(O190&lt;&gt;"",COUNTIF(FND_ID,O190)=0),"CHECK: Finding ID not found",IF(AND(J190&lt;&gt;"",K190&lt;LEN(SUBSTITUTE(J190," ",""))-LEN(SUBSTITUTE(SUBSTITUTE(J190," ",""),",",""))+1),"CHECK: some Evidence IDs not found","OK"))))))))</f>
        <v/>
      </c>
    </row>
    <row r="191" customFormat="false" ht="15" hidden="false" customHeight="false" outlineLevel="0" collapsed="false">
      <c r="A191" s="50"/>
      <c r="B191" s="50"/>
      <c r="C191" s="59" t="str">
        <f aca="false">IF(B191="","",IFERROR(INDEX(INV_NAME,MATCH(B191,INV_ID,0)),"CHECK: Supplier ID not found"))</f>
        <v/>
      </c>
      <c r="D191" s="34"/>
      <c r="E191" s="50"/>
      <c r="F191" s="34"/>
      <c r="G191" s="34"/>
      <c r="H191" s="34"/>
      <c r="I191" s="34"/>
      <c r="J191" s="34"/>
      <c r="K191" s="62" t="str">
        <f aca="false">IF(J191="","",SUMPRODUCT(ISNUMBER(SEARCH(","&amp;EV_ID&amp;",",","&amp;SUBSTITUTE(J191," ","")&amp;","))*(EV_ID&lt;&gt;"")))</f>
        <v/>
      </c>
      <c r="L191" s="34"/>
      <c r="M191" s="34"/>
      <c r="N191" s="34"/>
      <c r="O191" s="50"/>
      <c r="P191" s="50"/>
      <c r="Q191" s="51"/>
      <c r="R191" s="34"/>
      <c r="S191" s="54" t="str">
        <f aca="false">IF(A191="","",IF(M191="Confirmed weakness","Confirmed weakness",IF(OR(M191="Evidence insufficient",L191="Insufficient"),"Assurance limitation (evidence insufficient)",IF(AND(G191="Adequate",H191="Implemented",I191="Operating",L191="Sufficient"),"Design, implementation and operation evidenced",IF(AND(G191="Adequate",H191="Implemented"),"Designed and implemented; operation not evidenced",IF(G191="Adequate","Designed; implementation not evidenced","Not yet determined"))))))</f>
        <v/>
      </c>
      <c r="T191" s="54" t="str">
        <f aca="false">IF(A191="","",IF(AND(L191="Insufficient",N191="Ineffective"),"CHECK: evidence gap rated Ineffective - not permitted; record as Evidence insufficient",IF(AND(N191="Ineffective",M191&lt;&gt;"Confirmed weakness",M191&lt;&gt;"Exception identified"),"CHECK: Ineffective without a confirmed weakness or exception","OK")))</f>
        <v/>
      </c>
      <c r="U191" s="54" t="str">
        <f aca="false">IF(A191="","",IF(COUNTIF(CA_ID,A191)&gt;1,"CHECK: duplicate ID",IF(B191="","CHECK: Supplier ID missing",IF(COUNTIF(INV_ID,B191)=0,"CHECK: Supplier ID not in inventory",IF(AND(E191&lt;&gt;"",COUNTIF(RSK_ID,E191)=0),"CHECK: Risk ID not found",IF(AND(E191&lt;&gt;"",COUNTIF(RSK_ID,E191)&gt;0,IFERROR(INDEX(RSK_SUP,MATCH(E191,RSK_ID,0)),"")&lt;&gt;B191),"CHECK: Risk belongs to a different supplier",IF(AND(O191&lt;&gt;"",COUNTIF(FND_ID,O191)=0),"CHECK: Finding ID not found",IF(AND(J191&lt;&gt;"",K191&lt;LEN(SUBSTITUTE(J191," ",""))-LEN(SUBSTITUTE(SUBSTITUTE(J191," ",""),",",""))+1),"CHECK: some Evidence IDs not found","OK"))))))))</f>
        <v/>
      </c>
    </row>
    <row r="192" customFormat="false" ht="15" hidden="false" customHeight="false" outlineLevel="0" collapsed="false">
      <c r="A192" s="50"/>
      <c r="B192" s="50"/>
      <c r="C192" s="59" t="str">
        <f aca="false">IF(B192="","",IFERROR(INDEX(INV_NAME,MATCH(B192,INV_ID,0)),"CHECK: Supplier ID not found"))</f>
        <v/>
      </c>
      <c r="D192" s="34"/>
      <c r="E192" s="50"/>
      <c r="F192" s="34"/>
      <c r="G192" s="34"/>
      <c r="H192" s="34"/>
      <c r="I192" s="34"/>
      <c r="J192" s="34"/>
      <c r="K192" s="62" t="str">
        <f aca="false">IF(J192="","",SUMPRODUCT(ISNUMBER(SEARCH(","&amp;EV_ID&amp;",",","&amp;SUBSTITUTE(J192," ","")&amp;","))*(EV_ID&lt;&gt;"")))</f>
        <v/>
      </c>
      <c r="L192" s="34"/>
      <c r="M192" s="34"/>
      <c r="N192" s="34"/>
      <c r="O192" s="50"/>
      <c r="P192" s="50"/>
      <c r="Q192" s="51"/>
      <c r="R192" s="34"/>
      <c r="S192" s="54" t="str">
        <f aca="false">IF(A192="","",IF(M192="Confirmed weakness","Confirmed weakness",IF(OR(M192="Evidence insufficient",L192="Insufficient"),"Assurance limitation (evidence insufficient)",IF(AND(G192="Adequate",H192="Implemented",I192="Operating",L192="Sufficient"),"Design, implementation and operation evidenced",IF(AND(G192="Adequate",H192="Implemented"),"Designed and implemented; operation not evidenced",IF(G192="Adequate","Designed; implementation not evidenced","Not yet determined"))))))</f>
        <v/>
      </c>
      <c r="T192" s="54" t="str">
        <f aca="false">IF(A192="","",IF(AND(L192="Insufficient",N192="Ineffective"),"CHECK: evidence gap rated Ineffective - not permitted; record as Evidence insufficient",IF(AND(N192="Ineffective",M192&lt;&gt;"Confirmed weakness",M192&lt;&gt;"Exception identified"),"CHECK: Ineffective without a confirmed weakness or exception","OK")))</f>
        <v/>
      </c>
      <c r="U192" s="54" t="str">
        <f aca="false">IF(A192="","",IF(COUNTIF(CA_ID,A192)&gt;1,"CHECK: duplicate ID",IF(B192="","CHECK: Supplier ID missing",IF(COUNTIF(INV_ID,B192)=0,"CHECK: Supplier ID not in inventory",IF(AND(E192&lt;&gt;"",COUNTIF(RSK_ID,E192)=0),"CHECK: Risk ID not found",IF(AND(E192&lt;&gt;"",COUNTIF(RSK_ID,E192)&gt;0,IFERROR(INDEX(RSK_SUP,MATCH(E192,RSK_ID,0)),"")&lt;&gt;B192),"CHECK: Risk belongs to a different supplier",IF(AND(O192&lt;&gt;"",COUNTIF(FND_ID,O192)=0),"CHECK: Finding ID not found",IF(AND(J192&lt;&gt;"",K192&lt;LEN(SUBSTITUTE(J192," ",""))-LEN(SUBSTITUTE(SUBSTITUTE(J192," ",""),",",""))+1),"CHECK: some Evidence IDs not found","OK"))))))))</f>
        <v/>
      </c>
    </row>
    <row r="193" customFormat="false" ht="15" hidden="false" customHeight="false" outlineLevel="0" collapsed="false">
      <c r="A193" s="50"/>
      <c r="B193" s="50"/>
      <c r="C193" s="59" t="str">
        <f aca="false">IF(B193="","",IFERROR(INDEX(INV_NAME,MATCH(B193,INV_ID,0)),"CHECK: Supplier ID not found"))</f>
        <v/>
      </c>
      <c r="D193" s="34"/>
      <c r="E193" s="50"/>
      <c r="F193" s="34"/>
      <c r="G193" s="34"/>
      <c r="H193" s="34"/>
      <c r="I193" s="34"/>
      <c r="J193" s="34"/>
      <c r="K193" s="62" t="str">
        <f aca="false">IF(J193="","",SUMPRODUCT(ISNUMBER(SEARCH(","&amp;EV_ID&amp;",",","&amp;SUBSTITUTE(J193," ","")&amp;","))*(EV_ID&lt;&gt;"")))</f>
        <v/>
      </c>
      <c r="L193" s="34"/>
      <c r="M193" s="34"/>
      <c r="N193" s="34"/>
      <c r="O193" s="50"/>
      <c r="P193" s="50"/>
      <c r="Q193" s="51"/>
      <c r="R193" s="34"/>
      <c r="S193" s="54" t="str">
        <f aca="false">IF(A193="","",IF(M193="Confirmed weakness","Confirmed weakness",IF(OR(M193="Evidence insufficient",L193="Insufficient"),"Assurance limitation (evidence insufficient)",IF(AND(G193="Adequate",H193="Implemented",I193="Operating",L193="Sufficient"),"Design, implementation and operation evidenced",IF(AND(G193="Adequate",H193="Implemented"),"Designed and implemented; operation not evidenced",IF(G193="Adequate","Designed; implementation not evidenced","Not yet determined"))))))</f>
        <v/>
      </c>
      <c r="T193" s="54" t="str">
        <f aca="false">IF(A193="","",IF(AND(L193="Insufficient",N193="Ineffective"),"CHECK: evidence gap rated Ineffective - not permitted; record as Evidence insufficient",IF(AND(N193="Ineffective",M193&lt;&gt;"Confirmed weakness",M193&lt;&gt;"Exception identified"),"CHECK: Ineffective without a confirmed weakness or exception","OK")))</f>
        <v/>
      </c>
      <c r="U193" s="54" t="str">
        <f aca="false">IF(A193="","",IF(COUNTIF(CA_ID,A193)&gt;1,"CHECK: duplicate ID",IF(B193="","CHECK: Supplier ID missing",IF(COUNTIF(INV_ID,B193)=0,"CHECK: Supplier ID not in inventory",IF(AND(E193&lt;&gt;"",COUNTIF(RSK_ID,E193)=0),"CHECK: Risk ID not found",IF(AND(E193&lt;&gt;"",COUNTIF(RSK_ID,E193)&gt;0,IFERROR(INDEX(RSK_SUP,MATCH(E193,RSK_ID,0)),"")&lt;&gt;B193),"CHECK: Risk belongs to a different supplier",IF(AND(O193&lt;&gt;"",COUNTIF(FND_ID,O193)=0),"CHECK: Finding ID not found",IF(AND(J193&lt;&gt;"",K193&lt;LEN(SUBSTITUTE(J193," ",""))-LEN(SUBSTITUTE(SUBSTITUTE(J193," ",""),",",""))+1),"CHECK: some Evidence IDs not found","OK"))))))))</f>
        <v/>
      </c>
    </row>
    <row r="194" customFormat="false" ht="15" hidden="false" customHeight="false" outlineLevel="0" collapsed="false">
      <c r="A194" s="50"/>
      <c r="B194" s="50"/>
      <c r="C194" s="59" t="str">
        <f aca="false">IF(B194="","",IFERROR(INDEX(INV_NAME,MATCH(B194,INV_ID,0)),"CHECK: Supplier ID not found"))</f>
        <v/>
      </c>
      <c r="D194" s="34"/>
      <c r="E194" s="50"/>
      <c r="F194" s="34"/>
      <c r="G194" s="34"/>
      <c r="H194" s="34"/>
      <c r="I194" s="34"/>
      <c r="J194" s="34"/>
      <c r="K194" s="62" t="str">
        <f aca="false">IF(J194="","",SUMPRODUCT(ISNUMBER(SEARCH(","&amp;EV_ID&amp;",",","&amp;SUBSTITUTE(J194," ","")&amp;","))*(EV_ID&lt;&gt;"")))</f>
        <v/>
      </c>
      <c r="L194" s="34"/>
      <c r="M194" s="34"/>
      <c r="N194" s="34"/>
      <c r="O194" s="50"/>
      <c r="P194" s="50"/>
      <c r="Q194" s="51"/>
      <c r="R194" s="34"/>
      <c r="S194" s="54" t="str">
        <f aca="false">IF(A194="","",IF(M194="Confirmed weakness","Confirmed weakness",IF(OR(M194="Evidence insufficient",L194="Insufficient"),"Assurance limitation (evidence insufficient)",IF(AND(G194="Adequate",H194="Implemented",I194="Operating",L194="Sufficient"),"Design, implementation and operation evidenced",IF(AND(G194="Adequate",H194="Implemented"),"Designed and implemented; operation not evidenced",IF(G194="Adequate","Designed; implementation not evidenced","Not yet determined"))))))</f>
        <v/>
      </c>
      <c r="T194" s="54" t="str">
        <f aca="false">IF(A194="","",IF(AND(L194="Insufficient",N194="Ineffective"),"CHECK: evidence gap rated Ineffective - not permitted; record as Evidence insufficient",IF(AND(N194="Ineffective",M194&lt;&gt;"Confirmed weakness",M194&lt;&gt;"Exception identified"),"CHECK: Ineffective without a confirmed weakness or exception","OK")))</f>
        <v/>
      </c>
      <c r="U194" s="54" t="str">
        <f aca="false">IF(A194="","",IF(COUNTIF(CA_ID,A194)&gt;1,"CHECK: duplicate ID",IF(B194="","CHECK: Supplier ID missing",IF(COUNTIF(INV_ID,B194)=0,"CHECK: Supplier ID not in inventory",IF(AND(E194&lt;&gt;"",COUNTIF(RSK_ID,E194)=0),"CHECK: Risk ID not found",IF(AND(E194&lt;&gt;"",COUNTIF(RSK_ID,E194)&gt;0,IFERROR(INDEX(RSK_SUP,MATCH(E194,RSK_ID,0)),"")&lt;&gt;B194),"CHECK: Risk belongs to a different supplier",IF(AND(O194&lt;&gt;"",COUNTIF(FND_ID,O194)=0),"CHECK: Finding ID not found",IF(AND(J194&lt;&gt;"",K194&lt;LEN(SUBSTITUTE(J194," ",""))-LEN(SUBSTITUTE(SUBSTITUTE(J194," ",""),",",""))+1),"CHECK: some Evidence IDs not found","OK"))))))))</f>
        <v/>
      </c>
    </row>
    <row r="195" customFormat="false" ht="15" hidden="false" customHeight="false" outlineLevel="0" collapsed="false">
      <c r="A195" s="50"/>
      <c r="B195" s="50"/>
      <c r="C195" s="59" t="str">
        <f aca="false">IF(B195="","",IFERROR(INDEX(INV_NAME,MATCH(B195,INV_ID,0)),"CHECK: Supplier ID not found"))</f>
        <v/>
      </c>
      <c r="D195" s="34"/>
      <c r="E195" s="50"/>
      <c r="F195" s="34"/>
      <c r="G195" s="34"/>
      <c r="H195" s="34"/>
      <c r="I195" s="34"/>
      <c r="J195" s="34"/>
      <c r="K195" s="62" t="str">
        <f aca="false">IF(J195="","",SUMPRODUCT(ISNUMBER(SEARCH(","&amp;EV_ID&amp;",",","&amp;SUBSTITUTE(J195," ","")&amp;","))*(EV_ID&lt;&gt;"")))</f>
        <v/>
      </c>
      <c r="L195" s="34"/>
      <c r="M195" s="34"/>
      <c r="N195" s="34"/>
      <c r="O195" s="50"/>
      <c r="P195" s="50"/>
      <c r="Q195" s="51"/>
      <c r="R195" s="34"/>
      <c r="S195" s="54" t="str">
        <f aca="false">IF(A195="","",IF(M195="Confirmed weakness","Confirmed weakness",IF(OR(M195="Evidence insufficient",L195="Insufficient"),"Assurance limitation (evidence insufficient)",IF(AND(G195="Adequate",H195="Implemented",I195="Operating",L195="Sufficient"),"Design, implementation and operation evidenced",IF(AND(G195="Adequate",H195="Implemented"),"Designed and implemented; operation not evidenced",IF(G195="Adequate","Designed; implementation not evidenced","Not yet determined"))))))</f>
        <v/>
      </c>
      <c r="T195" s="54" t="str">
        <f aca="false">IF(A195="","",IF(AND(L195="Insufficient",N195="Ineffective"),"CHECK: evidence gap rated Ineffective - not permitted; record as Evidence insufficient",IF(AND(N195="Ineffective",M195&lt;&gt;"Confirmed weakness",M195&lt;&gt;"Exception identified"),"CHECK: Ineffective without a confirmed weakness or exception","OK")))</f>
        <v/>
      </c>
      <c r="U195" s="54" t="str">
        <f aca="false">IF(A195="","",IF(COUNTIF(CA_ID,A195)&gt;1,"CHECK: duplicate ID",IF(B195="","CHECK: Supplier ID missing",IF(COUNTIF(INV_ID,B195)=0,"CHECK: Supplier ID not in inventory",IF(AND(E195&lt;&gt;"",COUNTIF(RSK_ID,E195)=0),"CHECK: Risk ID not found",IF(AND(E195&lt;&gt;"",COUNTIF(RSK_ID,E195)&gt;0,IFERROR(INDEX(RSK_SUP,MATCH(E195,RSK_ID,0)),"")&lt;&gt;B195),"CHECK: Risk belongs to a different supplier",IF(AND(O195&lt;&gt;"",COUNTIF(FND_ID,O195)=0),"CHECK: Finding ID not found",IF(AND(J195&lt;&gt;"",K195&lt;LEN(SUBSTITUTE(J195," ",""))-LEN(SUBSTITUTE(SUBSTITUTE(J195," ",""),",",""))+1),"CHECK: some Evidence IDs not found","OK"))))))))</f>
        <v/>
      </c>
    </row>
    <row r="196" customFormat="false" ht="15" hidden="false" customHeight="false" outlineLevel="0" collapsed="false">
      <c r="A196" s="50"/>
      <c r="B196" s="50"/>
      <c r="C196" s="59" t="str">
        <f aca="false">IF(B196="","",IFERROR(INDEX(INV_NAME,MATCH(B196,INV_ID,0)),"CHECK: Supplier ID not found"))</f>
        <v/>
      </c>
      <c r="D196" s="34"/>
      <c r="E196" s="50"/>
      <c r="F196" s="34"/>
      <c r="G196" s="34"/>
      <c r="H196" s="34"/>
      <c r="I196" s="34"/>
      <c r="J196" s="34"/>
      <c r="K196" s="62" t="str">
        <f aca="false">IF(J196="","",SUMPRODUCT(ISNUMBER(SEARCH(","&amp;EV_ID&amp;",",","&amp;SUBSTITUTE(J196," ","")&amp;","))*(EV_ID&lt;&gt;"")))</f>
        <v/>
      </c>
      <c r="L196" s="34"/>
      <c r="M196" s="34"/>
      <c r="N196" s="34"/>
      <c r="O196" s="50"/>
      <c r="P196" s="50"/>
      <c r="Q196" s="51"/>
      <c r="R196" s="34"/>
      <c r="S196" s="54" t="str">
        <f aca="false">IF(A196="","",IF(M196="Confirmed weakness","Confirmed weakness",IF(OR(M196="Evidence insufficient",L196="Insufficient"),"Assurance limitation (evidence insufficient)",IF(AND(G196="Adequate",H196="Implemented",I196="Operating",L196="Sufficient"),"Design, implementation and operation evidenced",IF(AND(G196="Adequate",H196="Implemented"),"Designed and implemented; operation not evidenced",IF(G196="Adequate","Designed; implementation not evidenced","Not yet determined"))))))</f>
        <v/>
      </c>
      <c r="T196" s="54" t="str">
        <f aca="false">IF(A196="","",IF(AND(L196="Insufficient",N196="Ineffective"),"CHECK: evidence gap rated Ineffective - not permitted; record as Evidence insufficient",IF(AND(N196="Ineffective",M196&lt;&gt;"Confirmed weakness",M196&lt;&gt;"Exception identified"),"CHECK: Ineffective without a confirmed weakness or exception","OK")))</f>
        <v/>
      </c>
      <c r="U196" s="54" t="str">
        <f aca="false">IF(A196="","",IF(COUNTIF(CA_ID,A196)&gt;1,"CHECK: duplicate ID",IF(B196="","CHECK: Supplier ID missing",IF(COUNTIF(INV_ID,B196)=0,"CHECK: Supplier ID not in inventory",IF(AND(E196&lt;&gt;"",COUNTIF(RSK_ID,E196)=0),"CHECK: Risk ID not found",IF(AND(E196&lt;&gt;"",COUNTIF(RSK_ID,E196)&gt;0,IFERROR(INDEX(RSK_SUP,MATCH(E196,RSK_ID,0)),"")&lt;&gt;B196),"CHECK: Risk belongs to a different supplier",IF(AND(O196&lt;&gt;"",COUNTIF(FND_ID,O196)=0),"CHECK: Finding ID not found",IF(AND(J196&lt;&gt;"",K196&lt;LEN(SUBSTITUTE(J196," ",""))-LEN(SUBSTITUTE(SUBSTITUTE(J196," ",""),",",""))+1),"CHECK: some Evidence IDs not found","OK"))))))))</f>
        <v/>
      </c>
    </row>
    <row r="197" customFormat="false" ht="15" hidden="false" customHeight="false" outlineLevel="0" collapsed="false">
      <c r="A197" s="50"/>
      <c r="B197" s="50"/>
      <c r="C197" s="59" t="str">
        <f aca="false">IF(B197="","",IFERROR(INDEX(INV_NAME,MATCH(B197,INV_ID,0)),"CHECK: Supplier ID not found"))</f>
        <v/>
      </c>
      <c r="D197" s="34"/>
      <c r="E197" s="50"/>
      <c r="F197" s="34"/>
      <c r="G197" s="34"/>
      <c r="H197" s="34"/>
      <c r="I197" s="34"/>
      <c r="J197" s="34"/>
      <c r="K197" s="62" t="str">
        <f aca="false">IF(J197="","",SUMPRODUCT(ISNUMBER(SEARCH(","&amp;EV_ID&amp;",",","&amp;SUBSTITUTE(J197," ","")&amp;","))*(EV_ID&lt;&gt;"")))</f>
        <v/>
      </c>
      <c r="L197" s="34"/>
      <c r="M197" s="34"/>
      <c r="N197" s="34"/>
      <c r="O197" s="50"/>
      <c r="P197" s="50"/>
      <c r="Q197" s="51"/>
      <c r="R197" s="34"/>
      <c r="S197" s="54" t="str">
        <f aca="false">IF(A197="","",IF(M197="Confirmed weakness","Confirmed weakness",IF(OR(M197="Evidence insufficient",L197="Insufficient"),"Assurance limitation (evidence insufficient)",IF(AND(G197="Adequate",H197="Implemented",I197="Operating",L197="Sufficient"),"Design, implementation and operation evidenced",IF(AND(G197="Adequate",H197="Implemented"),"Designed and implemented; operation not evidenced",IF(G197="Adequate","Designed; implementation not evidenced","Not yet determined"))))))</f>
        <v/>
      </c>
      <c r="T197" s="54" t="str">
        <f aca="false">IF(A197="","",IF(AND(L197="Insufficient",N197="Ineffective"),"CHECK: evidence gap rated Ineffective - not permitted; record as Evidence insufficient",IF(AND(N197="Ineffective",M197&lt;&gt;"Confirmed weakness",M197&lt;&gt;"Exception identified"),"CHECK: Ineffective without a confirmed weakness or exception","OK")))</f>
        <v/>
      </c>
      <c r="U197" s="54" t="str">
        <f aca="false">IF(A197="","",IF(COUNTIF(CA_ID,A197)&gt;1,"CHECK: duplicate ID",IF(B197="","CHECK: Supplier ID missing",IF(COUNTIF(INV_ID,B197)=0,"CHECK: Supplier ID not in inventory",IF(AND(E197&lt;&gt;"",COUNTIF(RSK_ID,E197)=0),"CHECK: Risk ID not found",IF(AND(E197&lt;&gt;"",COUNTIF(RSK_ID,E197)&gt;0,IFERROR(INDEX(RSK_SUP,MATCH(E197,RSK_ID,0)),"")&lt;&gt;B197),"CHECK: Risk belongs to a different supplier",IF(AND(O197&lt;&gt;"",COUNTIF(FND_ID,O197)=0),"CHECK: Finding ID not found",IF(AND(J197&lt;&gt;"",K197&lt;LEN(SUBSTITUTE(J197," ",""))-LEN(SUBSTITUTE(SUBSTITUTE(J197," ",""),",",""))+1),"CHECK: some Evidence IDs not found","OK"))))))))</f>
        <v/>
      </c>
    </row>
    <row r="198" customFormat="false" ht="15" hidden="false" customHeight="false" outlineLevel="0" collapsed="false">
      <c r="A198" s="50"/>
      <c r="B198" s="50"/>
      <c r="C198" s="59" t="str">
        <f aca="false">IF(B198="","",IFERROR(INDEX(INV_NAME,MATCH(B198,INV_ID,0)),"CHECK: Supplier ID not found"))</f>
        <v/>
      </c>
      <c r="D198" s="34"/>
      <c r="E198" s="50"/>
      <c r="F198" s="34"/>
      <c r="G198" s="34"/>
      <c r="H198" s="34"/>
      <c r="I198" s="34"/>
      <c r="J198" s="34"/>
      <c r="K198" s="62" t="str">
        <f aca="false">IF(J198="","",SUMPRODUCT(ISNUMBER(SEARCH(","&amp;EV_ID&amp;",",","&amp;SUBSTITUTE(J198," ","")&amp;","))*(EV_ID&lt;&gt;"")))</f>
        <v/>
      </c>
      <c r="L198" s="34"/>
      <c r="M198" s="34"/>
      <c r="N198" s="34"/>
      <c r="O198" s="50"/>
      <c r="P198" s="50"/>
      <c r="Q198" s="51"/>
      <c r="R198" s="34"/>
      <c r="S198" s="54" t="str">
        <f aca="false">IF(A198="","",IF(M198="Confirmed weakness","Confirmed weakness",IF(OR(M198="Evidence insufficient",L198="Insufficient"),"Assurance limitation (evidence insufficient)",IF(AND(G198="Adequate",H198="Implemented",I198="Operating",L198="Sufficient"),"Design, implementation and operation evidenced",IF(AND(G198="Adequate",H198="Implemented"),"Designed and implemented; operation not evidenced",IF(G198="Adequate","Designed; implementation not evidenced","Not yet determined"))))))</f>
        <v/>
      </c>
      <c r="T198" s="54" t="str">
        <f aca="false">IF(A198="","",IF(AND(L198="Insufficient",N198="Ineffective"),"CHECK: evidence gap rated Ineffective - not permitted; record as Evidence insufficient",IF(AND(N198="Ineffective",M198&lt;&gt;"Confirmed weakness",M198&lt;&gt;"Exception identified"),"CHECK: Ineffective without a confirmed weakness or exception","OK")))</f>
        <v/>
      </c>
      <c r="U198" s="54" t="str">
        <f aca="false">IF(A198="","",IF(COUNTIF(CA_ID,A198)&gt;1,"CHECK: duplicate ID",IF(B198="","CHECK: Supplier ID missing",IF(COUNTIF(INV_ID,B198)=0,"CHECK: Supplier ID not in inventory",IF(AND(E198&lt;&gt;"",COUNTIF(RSK_ID,E198)=0),"CHECK: Risk ID not found",IF(AND(E198&lt;&gt;"",COUNTIF(RSK_ID,E198)&gt;0,IFERROR(INDEX(RSK_SUP,MATCH(E198,RSK_ID,0)),"")&lt;&gt;B198),"CHECK: Risk belongs to a different supplier",IF(AND(O198&lt;&gt;"",COUNTIF(FND_ID,O198)=0),"CHECK: Finding ID not found",IF(AND(J198&lt;&gt;"",K198&lt;LEN(SUBSTITUTE(J198," ",""))-LEN(SUBSTITUTE(SUBSTITUTE(J198," ",""),",",""))+1),"CHECK: some Evidence IDs not found","OK"))))))))</f>
        <v/>
      </c>
    </row>
    <row r="199" customFormat="false" ht="15" hidden="false" customHeight="false" outlineLevel="0" collapsed="false">
      <c r="A199" s="50"/>
      <c r="B199" s="50"/>
      <c r="C199" s="59" t="str">
        <f aca="false">IF(B199="","",IFERROR(INDEX(INV_NAME,MATCH(B199,INV_ID,0)),"CHECK: Supplier ID not found"))</f>
        <v/>
      </c>
      <c r="D199" s="34"/>
      <c r="E199" s="50"/>
      <c r="F199" s="34"/>
      <c r="G199" s="34"/>
      <c r="H199" s="34"/>
      <c r="I199" s="34"/>
      <c r="J199" s="34"/>
      <c r="K199" s="62" t="str">
        <f aca="false">IF(J199="","",SUMPRODUCT(ISNUMBER(SEARCH(","&amp;EV_ID&amp;",",","&amp;SUBSTITUTE(J199," ","")&amp;","))*(EV_ID&lt;&gt;"")))</f>
        <v/>
      </c>
      <c r="L199" s="34"/>
      <c r="M199" s="34"/>
      <c r="N199" s="34"/>
      <c r="O199" s="50"/>
      <c r="P199" s="50"/>
      <c r="Q199" s="51"/>
      <c r="R199" s="34"/>
      <c r="S199" s="54" t="str">
        <f aca="false">IF(A199="","",IF(M199="Confirmed weakness","Confirmed weakness",IF(OR(M199="Evidence insufficient",L199="Insufficient"),"Assurance limitation (evidence insufficient)",IF(AND(G199="Adequate",H199="Implemented",I199="Operating",L199="Sufficient"),"Design, implementation and operation evidenced",IF(AND(G199="Adequate",H199="Implemented"),"Designed and implemented; operation not evidenced",IF(G199="Adequate","Designed; implementation not evidenced","Not yet determined"))))))</f>
        <v/>
      </c>
      <c r="T199" s="54" t="str">
        <f aca="false">IF(A199="","",IF(AND(L199="Insufficient",N199="Ineffective"),"CHECK: evidence gap rated Ineffective - not permitted; record as Evidence insufficient",IF(AND(N199="Ineffective",M199&lt;&gt;"Confirmed weakness",M199&lt;&gt;"Exception identified"),"CHECK: Ineffective without a confirmed weakness or exception","OK")))</f>
        <v/>
      </c>
      <c r="U199" s="54" t="str">
        <f aca="false">IF(A199="","",IF(COUNTIF(CA_ID,A199)&gt;1,"CHECK: duplicate ID",IF(B199="","CHECK: Supplier ID missing",IF(COUNTIF(INV_ID,B199)=0,"CHECK: Supplier ID not in inventory",IF(AND(E199&lt;&gt;"",COUNTIF(RSK_ID,E199)=0),"CHECK: Risk ID not found",IF(AND(E199&lt;&gt;"",COUNTIF(RSK_ID,E199)&gt;0,IFERROR(INDEX(RSK_SUP,MATCH(E199,RSK_ID,0)),"")&lt;&gt;B199),"CHECK: Risk belongs to a different supplier",IF(AND(O199&lt;&gt;"",COUNTIF(FND_ID,O199)=0),"CHECK: Finding ID not found",IF(AND(J199&lt;&gt;"",K199&lt;LEN(SUBSTITUTE(J199," ",""))-LEN(SUBSTITUTE(SUBSTITUTE(J199," ",""),",",""))+1),"CHECK: some Evidence IDs not found","OK"))))))))</f>
        <v/>
      </c>
    </row>
    <row r="200" customFormat="false" ht="15" hidden="false" customHeight="false" outlineLevel="0" collapsed="false">
      <c r="A200" s="50"/>
      <c r="B200" s="50"/>
      <c r="C200" s="59" t="str">
        <f aca="false">IF(B200="","",IFERROR(INDEX(INV_NAME,MATCH(B200,INV_ID,0)),"CHECK: Supplier ID not found"))</f>
        <v/>
      </c>
      <c r="D200" s="34"/>
      <c r="E200" s="50"/>
      <c r="F200" s="34"/>
      <c r="G200" s="34"/>
      <c r="H200" s="34"/>
      <c r="I200" s="34"/>
      <c r="J200" s="34"/>
      <c r="K200" s="62" t="str">
        <f aca="false">IF(J200="","",SUMPRODUCT(ISNUMBER(SEARCH(","&amp;EV_ID&amp;",",","&amp;SUBSTITUTE(J200," ","")&amp;","))*(EV_ID&lt;&gt;"")))</f>
        <v/>
      </c>
      <c r="L200" s="34"/>
      <c r="M200" s="34"/>
      <c r="N200" s="34"/>
      <c r="O200" s="50"/>
      <c r="P200" s="50"/>
      <c r="Q200" s="51"/>
      <c r="R200" s="34"/>
      <c r="S200" s="54" t="str">
        <f aca="false">IF(A200="","",IF(M200="Confirmed weakness","Confirmed weakness",IF(OR(M200="Evidence insufficient",L200="Insufficient"),"Assurance limitation (evidence insufficient)",IF(AND(G200="Adequate",H200="Implemented",I200="Operating",L200="Sufficient"),"Design, implementation and operation evidenced",IF(AND(G200="Adequate",H200="Implemented"),"Designed and implemented; operation not evidenced",IF(G200="Adequate","Designed; implementation not evidenced","Not yet determined"))))))</f>
        <v/>
      </c>
      <c r="T200" s="54" t="str">
        <f aca="false">IF(A200="","",IF(AND(L200="Insufficient",N200="Ineffective"),"CHECK: evidence gap rated Ineffective - not permitted; record as Evidence insufficient",IF(AND(N200="Ineffective",M200&lt;&gt;"Confirmed weakness",M200&lt;&gt;"Exception identified"),"CHECK: Ineffective without a confirmed weakness or exception","OK")))</f>
        <v/>
      </c>
      <c r="U200" s="54" t="str">
        <f aca="false">IF(A200="","",IF(COUNTIF(CA_ID,A200)&gt;1,"CHECK: duplicate ID",IF(B200="","CHECK: Supplier ID missing",IF(COUNTIF(INV_ID,B200)=0,"CHECK: Supplier ID not in inventory",IF(AND(E200&lt;&gt;"",COUNTIF(RSK_ID,E200)=0),"CHECK: Risk ID not found",IF(AND(E200&lt;&gt;"",COUNTIF(RSK_ID,E200)&gt;0,IFERROR(INDEX(RSK_SUP,MATCH(E200,RSK_ID,0)),"")&lt;&gt;B200),"CHECK: Risk belongs to a different supplier",IF(AND(O200&lt;&gt;"",COUNTIF(FND_ID,O200)=0),"CHECK: Finding ID not found",IF(AND(J200&lt;&gt;"",K200&lt;LEN(SUBSTITUTE(J200," ",""))-LEN(SUBSTITUTE(SUBSTITUTE(J200," ",""),",",""))+1),"CHECK: some Evidence IDs not found","OK"))))))))</f>
        <v/>
      </c>
    </row>
    <row r="201" customFormat="false" ht="15" hidden="false" customHeight="false" outlineLevel="0" collapsed="false">
      <c r="A201" s="50"/>
      <c r="B201" s="50"/>
      <c r="C201" s="59" t="str">
        <f aca="false">IF(B201="","",IFERROR(INDEX(INV_NAME,MATCH(B201,INV_ID,0)),"CHECK: Supplier ID not found"))</f>
        <v/>
      </c>
      <c r="D201" s="34"/>
      <c r="E201" s="50"/>
      <c r="F201" s="34"/>
      <c r="G201" s="34"/>
      <c r="H201" s="34"/>
      <c r="I201" s="34"/>
      <c r="J201" s="34"/>
      <c r="K201" s="62" t="str">
        <f aca="false">IF(J201="","",SUMPRODUCT(ISNUMBER(SEARCH(","&amp;EV_ID&amp;",",","&amp;SUBSTITUTE(J201," ","")&amp;","))*(EV_ID&lt;&gt;"")))</f>
        <v/>
      </c>
      <c r="L201" s="34"/>
      <c r="M201" s="34"/>
      <c r="N201" s="34"/>
      <c r="O201" s="50"/>
      <c r="P201" s="50"/>
      <c r="Q201" s="51"/>
      <c r="R201" s="34"/>
      <c r="S201" s="54" t="str">
        <f aca="false">IF(A201="","",IF(M201="Confirmed weakness","Confirmed weakness",IF(OR(M201="Evidence insufficient",L201="Insufficient"),"Assurance limitation (evidence insufficient)",IF(AND(G201="Adequate",H201="Implemented",I201="Operating",L201="Sufficient"),"Design, implementation and operation evidenced",IF(AND(G201="Adequate",H201="Implemented"),"Designed and implemented; operation not evidenced",IF(G201="Adequate","Designed; implementation not evidenced","Not yet determined"))))))</f>
        <v/>
      </c>
      <c r="T201" s="54" t="str">
        <f aca="false">IF(A201="","",IF(AND(L201="Insufficient",N201="Ineffective"),"CHECK: evidence gap rated Ineffective - not permitted; record as Evidence insufficient",IF(AND(N201="Ineffective",M201&lt;&gt;"Confirmed weakness",M201&lt;&gt;"Exception identified"),"CHECK: Ineffective without a confirmed weakness or exception","OK")))</f>
        <v/>
      </c>
      <c r="U201" s="54" t="str">
        <f aca="false">IF(A201="","",IF(COUNTIF(CA_ID,A201)&gt;1,"CHECK: duplicate ID",IF(B201="","CHECK: Supplier ID missing",IF(COUNTIF(INV_ID,B201)=0,"CHECK: Supplier ID not in inventory",IF(AND(E201&lt;&gt;"",COUNTIF(RSK_ID,E201)=0),"CHECK: Risk ID not found",IF(AND(E201&lt;&gt;"",COUNTIF(RSK_ID,E201)&gt;0,IFERROR(INDEX(RSK_SUP,MATCH(E201,RSK_ID,0)),"")&lt;&gt;B201),"CHECK: Risk belongs to a different supplier",IF(AND(O201&lt;&gt;"",COUNTIF(FND_ID,O201)=0),"CHECK: Finding ID not found",IF(AND(J201&lt;&gt;"",K201&lt;LEN(SUBSTITUTE(J201," ",""))-LEN(SUBSTITUTE(SUBSTITUTE(J201," ",""),",",""))+1),"CHECK: some Evidence IDs not found","OK"))))))))</f>
        <v/>
      </c>
    </row>
    <row r="202" customFormat="false" ht="15" hidden="false" customHeight="false" outlineLevel="0" collapsed="false">
      <c r="A202" s="50"/>
      <c r="B202" s="50"/>
      <c r="C202" s="59" t="str">
        <f aca="false">IF(B202="","",IFERROR(INDEX(INV_NAME,MATCH(B202,INV_ID,0)),"CHECK: Supplier ID not found"))</f>
        <v/>
      </c>
      <c r="D202" s="34"/>
      <c r="E202" s="50"/>
      <c r="F202" s="34"/>
      <c r="G202" s="34"/>
      <c r="H202" s="34"/>
      <c r="I202" s="34"/>
      <c r="J202" s="34"/>
      <c r="K202" s="62" t="str">
        <f aca="false">IF(J202="","",SUMPRODUCT(ISNUMBER(SEARCH(","&amp;EV_ID&amp;",",","&amp;SUBSTITUTE(J202," ","")&amp;","))*(EV_ID&lt;&gt;"")))</f>
        <v/>
      </c>
      <c r="L202" s="34"/>
      <c r="M202" s="34"/>
      <c r="N202" s="34"/>
      <c r="O202" s="50"/>
      <c r="P202" s="50"/>
      <c r="Q202" s="51"/>
      <c r="R202" s="34"/>
      <c r="S202" s="54" t="str">
        <f aca="false">IF(A202="","",IF(M202="Confirmed weakness","Confirmed weakness",IF(OR(M202="Evidence insufficient",L202="Insufficient"),"Assurance limitation (evidence insufficient)",IF(AND(G202="Adequate",H202="Implemented",I202="Operating",L202="Sufficient"),"Design, implementation and operation evidenced",IF(AND(G202="Adequate",H202="Implemented"),"Designed and implemented; operation not evidenced",IF(G202="Adequate","Designed; implementation not evidenced","Not yet determined"))))))</f>
        <v/>
      </c>
      <c r="T202" s="54" t="str">
        <f aca="false">IF(A202="","",IF(AND(L202="Insufficient",N202="Ineffective"),"CHECK: evidence gap rated Ineffective - not permitted; record as Evidence insufficient",IF(AND(N202="Ineffective",M202&lt;&gt;"Confirmed weakness",M202&lt;&gt;"Exception identified"),"CHECK: Ineffective without a confirmed weakness or exception","OK")))</f>
        <v/>
      </c>
      <c r="U202" s="54" t="str">
        <f aca="false">IF(A202="","",IF(COUNTIF(CA_ID,A202)&gt;1,"CHECK: duplicate ID",IF(B202="","CHECK: Supplier ID missing",IF(COUNTIF(INV_ID,B202)=0,"CHECK: Supplier ID not in inventory",IF(AND(E202&lt;&gt;"",COUNTIF(RSK_ID,E202)=0),"CHECK: Risk ID not found",IF(AND(E202&lt;&gt;"",COUNTIF(RSK_ID,E202)&gt;0,IFERROR(INDEX(RSK_SUP,MATCH(E202,RSK_ID,0)),"")&lt;&gt;B202),"CHECK: Risk belongs to a different supplier",IF(AND(O202&lt;&gt;"",COUNTIF(FND_ID,O202)=0),"CHECK: Finding ID not found",IF(AND(J202&lt;&gt;"",K202&lt;LEN(SUBSTITUTE(J202," ",""))-LEN(SUBSTITUTE(SUBSTITUTE(J202," ",""),",",""))+1),"CHECK: some Evidence IDs not found","OK"))))))))</f>
        <v/>
      </c>
    </row>
    <row r="203" customFormat="false" ht="15" hidden="false" customHeight="false" outlineLevel="0" collapsed="false">
      <c r="A203" s="50"/>
      <c r="B203" s="50"/>
      <c r="C203" s="59" t="str">
        <f aca="false">IF(B203="","",IFERROR(INDEX(INV_NAME,MATCH(B203,INV_ID,0)),"CHECK: Supplier ID not found"))</f>
        <v/>
      </c>
      <c r="D203" s="34"/>
      <c r="E203" s="50"/>
      <c r="F203" s="34"/>
      <c r="G203" s="34"/>
      <c r="H203" s="34"/>
      <c r="I203" s="34"/>
      <c r="J203" s="34"/>
      <c r="K203" s="62" t="str">
        <f aca="false">IF(J203="","",SUMPRODUCT(ISNUMBER(SEARCH(","&amp;EV_ID&amp;",",","&amp;SUBSTITUTE(J203," ","")&amp;","))*(EV_ID&lt;&gt;"")))</f>
        <v/>
      </c>
      <c r="L203" s="34"/>
      <c r="M203" s="34"/>
      <c r="N203" s="34"/>
      <c r="O203" s="50"/>
      <c r="P203" s="50"/>
      <c r="Q203" s="51"/>
      <c r="R203" s="34"/>
      <c r="S203" s="54" t="str">
        <f aca="false">IF(A203="","",IF(M203="Confirmed weakness","Confirmed weakness",IF(OR(M203="Evidence insufficient",L203="Insufficient"),"Assurance limitation (evidence insufficient)",IF(AND(G203="Adequate",H203="Implemented",I203="Operating",L203="Sufficient"),"Design, implementation and operation evidenced",IF(AND(G203="Adequate",H203="Implemented"),"Designed and implemented; operation not evidenced",IF(G203="Adequate","Designed; implementation not evidenced","Not yet determined"))))))</f>
        <v/>
      </c>
      <c r="T203" s="54" t="str">
        <f aca="false">IF(A203="","",IF(AND(L203="Insufficient",N203="Ineffective"),"CHECK: evidence gap rated Ineffective - not permitted; record as Evidence insufficient",IF(AND(N203="Ineffective",M203&lt;&gt;"Confirmed weakness",M203&lt;&gt;"Exception identified"),"CHECK: Ineffective without a confirmed weakness or exception","OK")))</f>
        <v/>
      </c>
      <c r="U203" s="54" t="str">
        <f aca="false">IF(A203="","",IF(COUNTIF(CA_ID,A203)&gt;1,"CHECK: duplicate ID",IF(B203="","CHECK: Supplier ID missing",IF(COUNTIF(INV_ID,B203)=0,"CHECK: Supplier ID not in inventory",IF(AND(E203&lt;&gt;"",COUNTIF(RSK_ID,E203)=0),"CHECK: Risk ID not found",IF(AND(E203&lt;&gt;"",COUNTIF(RSK_ID,E203)&gt;0,IFERROR(INDEX(RSK_SUP,MATCH(E203,RSK_ID,0)),"")&lt;&gt;B203),"CHECK: Risk belongs to a different supplier",IF(AND(O203&lt;&gt;"",COUNTIF(FND_ID,O203)=0),"CHECK: Finding ID not found",IF(AND(J203&lt;&gt;"",K203&lt;LEN(SUBSTITUTE(J203," ",""))-LEN(SUBSTITUTE(SUBSTITUTE(J203," ",""),",",""))+1),"CHECK: some Evidence IDs not found","OK"))))))))</f>
        <v/>
      </c>
    </row>
    <row r="204" customFormat="false" ht="15" hidden="false" customHeight="false" outlineLevel="0" collapsed="false">
      <c r="A204" s="50"/>
      <c r="B204" s="50"/>
      <c r="C204" s="59" t="str">
        <f aca="false">IF(B204="","",IFERROR(INDEX(INV_NAME,MATCH(B204,INV_ID,0)),"CHECK: Supplier ID not found"))</f>
        <v/>
      </c>
      <c r="D204" s="34"/>
      <c r="E204" s="50"/>
      <c r="F204" s="34"/>
      <c r="G204" s="34"/>
      <c r="H204" s="34"/>
      <c r="I204" s="34"/>
      <c r="J204" s="34"/>
      <c r="K204" s="62" t="str">
        <f aca="false">IF(J204="","",SUMPRODUCT(ISNUMBER(SEARCH(","&amp;EV_ID&amp;",",","&amp;SUBSTITUTE(J204," ","")&amp;","))*(EV_ID&lt;&gt;"")))</f>
        <v/>
      </c>
      <c r="L204" s="34"/>
      <c r="M204" s="34"/>
      <c r="N204" s="34"/>
      <c r="O204" s="50"/>
      <c r="P204" s="50"/>
      <c r="Q204" s="51"/>
      <c r="R204" s="34"/>
      <c r="S204" s="54" t="str">
        <f aca="false">IF(A204="","",IF(M204="Confirmed weakness","Confirmed weakness",IF(OR(M204="Evidence insufficient",L204="Insufficient"),"Assurance limitation (evidence insufficient)",IF(AND(G204="Adequate",H204="Implemented",I204="Operating",L204="Sufficient"),"Design, implementation and operation evidenced",IF(AND(G204="Adequate",H204="Implemented"),"Designed and implemented; operation not evidenced",IF(G204="Adequate","Designed; implementation not evidenced","Not yet determined"))))))</f>
        <v/>
      </c>
      <c r="T204" s="54" t="str">
        <f aca="false">IF(A204="","",IF(AND(L204="Insufficient",N204="Ineffective"),"CHECK: evidence gap rated Ineffective - not permitted; record as Evidence insufficient",IF(AND(N204="Ineffective",M204&lt;&gt;"Confirmed weakness",M204&lt;&gt;"Exception identified"),"CHECK: Ineffective without a confirmed weakness or exception","OK")))</f>
        <v/>
      </c>
      <c r="U204" s="54" t="str">
        <f aca="false">IF(A204="","",IF(COUNTIF(CA_ID,A204)&gt;1,"CHECK: duplicate ID",IF(B204="","CHECK: Supplier ID missing",IF(COUNTIF(INV_ID,B204)=0,"CHECK: Supplier ID not in inventory",IF(AND(E204&lt;&gt;"",COUNTIF(RSK_ID,E204)=0),"CHECK: Risk ID not found",IF(AND(E204&lt;&gt;"",COUNTIF(RSK_ID,E204)&gt;0,IFERROR(INDEX(RSK_SUP,MATCH(E204,RSK_ID,0)),"")&lt;&gt;B204),"CHECK: Risk belongs to a different supplier",IF(AND(O204&lt;&gt;"",COUNTIF(FND_ID,O204)=0),"CHECK: Finding ID not found",IF(AND(J204&lt;&gt;"",K204&lt;LEN(SUBSTITUTE(J204," ",""))-LEN(SUBSTITUTE(SUBSTITUTE(J204," ",""),",",""))+1),"CHECK: some Evidence IDs not found","OK"))))))))</f>
        <v/>
      </c>
    </row>
    <row r="205" customFormat="false" ht="15" hidden="false" customHeight="false" outlineLevel="0" collapsed="false">
      <c r="A205" s="50"/>
      <c r="B205" s="50"/>
      <c r="C205" s="59" t="str">
        <f aca="false">IF(B205="","",IFERROR(INDEX(INV_NAME,MATCH(B205,INV_ID,0)),"CHECK: Supplier ID not found"))</f>
        <v/>
      </c>
      <c r="D205" s="34"/>
      <c r="E205" s="50"/>
      <c r="F205" s="34"/>
      <c r="G205" s="34"/>
      <c r="H205" s="34"/>
      <c r="I205" s="34"/>
      <c r="J205" s="34"/>
      <c r="K205" s="62" t="str">
        <f aca="false">IF(J205="","",SUMPRODUCT(ISNUMBER(SEARCH(","&amp;EV_ID&amp;",",","&amp;SUBSTITUTE(J205," ","")&amp;","))*(EV_ID&lt;&gt;"")))</f>
        <v/>
      </c>
      <c r="L205" s="34"/>
      <c r="M205" s="34"/>
      <c r="N205" s="34"/>
      <c r="O205" s="50"/>
      <c r="P205" s="50"/>
      <c r="Q205" s="51"/>
      <c r="R205" s="34"/>
      <c r="S205" s="54" t="str">
        <f aca="false">IF(A205="","",IF(M205="Confirmed weakness","Confirmed weakness",IF(OR(M205="Evidence insufficient",L205="Insufficient"),"Assurance limitation (evidence insufficient)",IF(AND(G205="Adequate",H205="Implemented",I205="Operating",L205="Sufficient"),"Design, implementation and operation evidenced",IF(AND(G205="Adequate",H205="Implemented"),"Designed and implemented; operation not evidenced",IF(G205="Adequate","Designed; implementation not evidenced","Not yet determined"))))))</f>
        <v/>
      </c>
      <c r="T205" s="54" t="str">
        <f aca="false">IF(A205="","",IF(AND(L205="Insufficient",N205="Ineffective"),"CHECK: evidence gap rated Ineffective - not permitted; record as Evidence insufficient",IF(AND(N205="Ineffective",M205&lt;&gt;"Confirmed weakness",M205&lt;&gt;"Exception identified"),"CHECK: Ineffective without a confirmed weakness or exception","OK")))</f>
        <v/>
      </c>
      <c r="U205" s="54" t="str">
        <f aca="false">IF(A205="","",IF(COUNTIF(CA_ID,A205)&gt;1,"CHECK: duplicate ID",IF(B205="","CHECK: Supplier ID missing",IF(COUNTIF(INV_ID,B205)=0,"CHECK: Supplier ID not in inventory",IF(AND(E205&lt;&gt;"",COUNTIF(RSK_ID,E205)=0),"CHECK: Risk ID not found",IF(AND(E205&lt;&gt;"",COUNTIF(RSK_ID,E205)&gt;0,IFERROR(INDEX(RSK_SUP,MATCH(E205,RSK_ID,0)),"")&lt;&gt;B205),"CHECK: Risk belongs to a different supplier",IF(AND(O205&lt;&gt;"",COUNTIF(FND_ID,O205)=0),"CHECK: Finding ID not found",IF(AND(J205&lt;&gt;"",K205&lt;LEN(SUBSTITUTE(J205," ",""))-LEN(SUBSTITUTE(SUBSTITUTE(J205," ",""),",",""))+1),"CHECK: some Evidence IDs not found","OK"))))))))</f>
        <v/>
      </c>
    </row>
    <row r="206" customFormat="false" ht="15" hidden="false" customHeight="false" outlineLevel="0" collapsed="false">
      <c r="A206" s="50"/>
      <c r="B206" s="50"/>
      <c r="C206" s="59" t="str">
        <f aca="false">IF(B206="","",IFERROR(INDEX(INV_NAME,MATCH(B206,INV_ID,0)),"CHECK: Supplier ID not found"))</f>
        <v/>
      </c>
      <c r="D206" s="34"/>
      <c r="E206" s="50"/>
      <c r="F206" s="34"/>
      <c r="G206" s="34"/>
      <c r="H206" s="34"/>
      <c r="I206" s="34"/>
      <c r="J206" s="34"/>
      <c r="K206" s="62" t="str">
        <f aca="false">IF(J206="","",SUMPRODUCT(ISNUMBER(SEARCH(","&amp;EV_ID&amp;",",","&amp;SUBSTITUTE(J206," ","")&amp;","))*(EV_ID&lt;&gt;"")))</f>
        <v/>
      </c>
      <c r="L206" s="34"/>
      <c r="M206" s="34"/>
      <c r="N206" s="34"/>
      <c r="O206" s="50"/>
      <c r="P206" s="50"/>
      <c r="Q206" s="51"/>
      <c r="R206" s="34"/>
      <c r="S206" s="54" t="str">
        <f aca="false">IF(A206="","",IF(M206="Confirmed weakness","Confirmed weakness",IF(OR(M206="Evidence insufficient",L206="Insufficient"),"Assurance limitation (evidence insufficient)",IF(AND(G206="Adequate",H206="Implemented",I206="Operating",L206="Sufficient"),"Design, implementation and operation evidenced",IF(AND(G206="Adequate",H206="Implemented"),"Designed and implemented; operation not evidenced",IF(G206="Adequate","Designed; implementation not evidenced","Not yet determined"))))))</f>
        <v/>
      </c>
      <c r="T206" s="54" t="str">
        <f aca="false">IF(A206="","",IF(AND(L206="Insufficient",N206="Ineffective"),"CHECK: evidence gap rated Ineffective - not permitted; record as Evidence insufficient",IF(AND(N206="Ineffective",M206&lt;&gt;"Confirmed weakness",M206&lt;&gt;"Exception identified"),"CHECK: Ineffective without a confirmed weakness or exception","OK")))</f>
        <v/>
      </c>
      <c r="U206" s="54" t="str">
        <f aca="false">IF(A206="","",IF(COUNTIF(CA_ID,A206)&gt;1,"CHECK: duplicate ID",IF(B206="","CHECK: Supplier ID missing",IF(COUNTIF(INV_ID,B206)=0,"CHECK: Supplier ID not in inventory",IF(AND(E206&lt;&gt;"",COUNTIF(RSK_ID,E206)=0),"CHECK: Risk ID not found",IF(AND(E206&lt;&gt;"",COUNTIF(RSK_ID,E206)&gt;0,IFERROR(INDEX(RSK_SUP,MATCH(E206,RSK_ID,0)),"")&lt;&gt;B206),"CHECK: Risk belongs to a different supplier",IF(AND(O206&lt;&gt;"",COUNTIF(FND_ID,O206)=0),"CHECK: Finding ID not found",IF(AND(J206&lt;&gt;"",K206&lt;LEN(SUBSTITUTE(J206," ",""))-LEN(SUBSTITUTE(SUBSTITUTE(J206," ",""),",",""))+1),"CHECK: some Evidence IDs not found","OK"))))))))</f>
        <v/>
      </c>
    </row>
  </sheetData>
  <sheetProtection sheet="true" formatColumns="false" formatRows="false" sort="false" autoFilter="false"/>
  <conditionalFormatting sqref="K7:K206">
    <cfRule type="expression" priority="2" aboveAverage="0" equalAverage="0" bottom="0" percent="0" rank="0" text="" dxfId="0">
      <formula>OR(ISNUMBER(SEARCH("Above appetite",K7)),ISNUMBER(SEARCH("Overdue",K7)),ISNUMBER(SEARCH("Expired",K7)),ISNUMBER(SEARCH("Breach",K7)),ISNUMBER(SEARCH("CHECK",K7)),ISNUMBER(SEARCH("Not ready",K7)),ISNUMBER(SEARCH("REMAINS",K7)),ISNUMBER(SEARCH("Failed",K7)),ISNUMBER(SEARCH("Cannot assess",K7)))</formula>
    </cfRule>
    <cfRule type="expression" priority="3" aboveAverage="0" equalAverage="0" bottom="0" percent="0" rank="0" text="" dxfId="21">
      <formula>OR(ISNUMBER(SEARCH("Incomplete",K7)),ISNUMBER(SEARCH("Pending",K7)),ISNUMBER(SEARCH("Approaching",K7)),ISNUMBER(SEARCH("insufficient",K7)),ISNUMBER(SEARCH("Awaiting",K7)),ISNUMBER(SEARCH("Review due",K7)),ISNUMBER(SEARCH("Not configured",K7)),ISNUMBER(SEARCH("Not classified",K7)),ISNUMBER(SEARCH("Proposed",K7)),ISNUMBER(SEARCH("Verification",K7)),ISNUMBER(SEARCH("Scope limitation",K7)),ISNUMBER(SEARCH("Follow-up",K7)),ISNUMBER(SEARCH("Open gap",K7)),ISNUMBER(SEARCH("Delivered - verification",K7)),ISNUMBER(SEARCH("Historical",K7)),ISNUMBER(SEARCH("Not scheduled",K7)),ISNUMBER(SEARCH("Not determined",K7)),ISNUMBER(SEARCH("Decision record",K7)),ISNUMBER(SEARCH("Due soon",K7)),ISNUMBER(SEARCH("Not reviewed",K7)),ISNUMBER(SEARCH("Tier not",K7)),ISNUMBER(SEARCH("No decision",K7)),ISNUMBER(SEARCH("Superseded",K7)),ISNUMBER(SEARCH("Optional",K7)),ISNUMBER(SEARCH("legal review",K7)),ISNUMBER(SEARCH("No treatment",K7)),ISNUMBER(SEARCH("not recorded",K7)),ISNUMBER(SEARCH("consider",K7)),ISNUMBER(SEARCH("Not set",K7)),ISNUMBER(SEARCH("Not started",K7)),ISNUMBER(SEARCH("No expiry",K7)),ISNUMBER(SEARCH("No KRI",K7)),ISNUMBER(SEARCH("no reassessment",K7)),ISNUMBER(SEARCH("Applicability",K7)),ISNUMBER(SEARCH("Not current",K7)),ISNUMBER(SEARCH("assess relevance",K7)))</formula>
    </cfRule>
    <cfRule type="expression" priority="4" aboveAverage="0" equalAverage="0" bottom="0" percent="0" rank="0" text="" dxfId="22">
      <formula>OR(LEFT(K7,2)="OK",LEFT(K7,8)="Complete",LEFT(K7,7)="Current",LEFT(K7,10)="Authorised",LEFT(K7,6)="Within",LEFT(K7,11)="On schedule",LEFT(K7,17)="Ready for closure",LEFT(K7,17)="Evidence reviewed",LEFT(K7,19)="Decision referenced",LEFT(K7,27)="Reassessment event recorded",LEFT(K7,14)="Period current",LEFT(K7,17)="Gap dispositioned",LEFT(K7,17)="Reviewed - no gap",LEFT(K7,11)="Recommended",LEFT(K7,17)="Closed - verified")</formula>
    </cfRule>
  </conditionalFormatting>
  <conditionalFormatting sqref="S7:S206">
    <cfRule type="expression" priority="5" aboveAverage="0" equalAverage="0" bottom="0" percent="0" rank="0" text="" dxfId="0">
      <formula>OR(ISNUMBER(SEARCH("Above appetite",S7)),ISNUMBER(SEARCH("Overdue",S7)),ISNUMBER(SEARCH("Expired",S7)),ISNUMBER(SEARCH("Breach",S7)),ISNUMBER(SEARCH("CHECK",S7)),ISNUMBER(SEARCH("Not ready",S7)),ISNUMBER(SEARCH("REMAINS",S7)),ISNUMBER(SEARCH("Failed",S7)),ISNUMBER(SEARCH("Cannot assess",S7)))</formula>
    </cfRule>
    <cfRule type="expression" priority="6" aboveAverage="0" equalAverage="0" bottom="0" percent="0" rank="0" text="" dxfId="21">
      <formula>OR(ISNUMBER(SEARCH("Incomplete",S7)),ISNUMBER(SEARCH("Pending",S7)),ISNUMBER(SEARCH("Approaching",S7)),ISNUMBER(SEARCH("insufficient",S7)),ISNUMBER(SEARCH("Awaiting",S7)),ISNUMBER(SEARCH("Review due",S7)),ISNUMBER(SEARCH("Not configured",S7)),ISNUMBER(SEARCH("Not classified",S7)),ISNUMBER(SEARCH("Proposed",S7)),ISNUMBER(SEARCH("Verification",S7)),ISNUMBER(SEARCH("Scope limitation",S7)),ISNUMBER(SEARCH("Follow-up",S7)),ISNUMBER(SEARCH("Open gap",S7)),ISNUMBER(SEARCH("Delivered - verification",S7)),ISNUMBER(SEARCH("Historical",S7)),ISNUMBER(SEARCH("Not scheduled",S7)),ISNUMBER(SEARCH("Not determined",S7)),ISNUMBER(SEARCH("Decision record",S7)),ISNUMBER(SEARCH("Due soon",S7)),ISNUMBER(SEARCH("Not reviewed",S7)),ISNUMBER(SEARCH("Tier not",S7)),ISNUMBER(SEARCH("No decision",S7)),ISNUMBER(SEARCH("Superseded",S7)),ISNUMBER(SEARCH("Optional",S7)),ISNUMBER(SEARCH("legal review",S7)),ISNUMBER(SEARCH("No treatment",S7)),ISNUMBER(SEARCH("not recorded",S7)),ISNUMBER(SEARCH("consider",S7)),ISNUMBER(SEARCH("Not set",S7)),ISNUMBER(SEARCH("Not started",S7)),ISNUMBER(SEARCH("No expiry",S7)),ISNUMBER(SEARCH("No KRI",S7)),ISNUMBER(SEARCH("no reassessment",S7)),ISNUMBER(SEARCH("Applicability",S7)),ISNUMBER(SEARCH("Not current",S7)),ISNUMBER(SEARCH("assess relevance",S7)))</formula>
    </cfRule>
    <cfRule type="expression" priority="7" aboveAverage="0" equalAverage="0" bottom="0" percent="0" rank="0" text="" dxfId="22">
      <formula>OR(LEFT(S7,2)="OK",LEFT(S7,8)="Complete",LEFT(S7,7)="Current",LEFT(S7,10)="Authorised",LEFT(S7,6)="Within",LEFT(S7,11)="On schedule",LEFT(S7,17)="Ready for closure",LEFT(S7,17)="Evidence reviewed",LEFT(S7,19)="Decision referenced",LEFT(S7,27)="Reassessment event recorded",LEFT(S7,14)="Period current",LEFT(S7,17)="Gap dispositioned",LEFT(S7,17)="Reviewed - no gap",LEFT(S7,11)="Recommended",LEFT(S7,17)="Closed - verified")</formula>
    </cfRule>
  </conditionalFormatting>
  <conditionalFormatting sqref="T7:T206">
    <cfRule type="expression" priority="8" aboveAverage="0" equalAverage="0" bottom="0" percent="0" rank="0" text="" dxfId="0">
      <formula>OR(ISNUMBER(SEARCH("Above appetite",T7)),ISNUMBER(SEARCH("Overdue",T7)),ISNUMBER(SEARCH("Expired",T7)),ISNUMBER(SEARCH("Breach",T7)),ISNUMBER(SEARCH("CHECK",T7)),ISNUMBER(SEARCH("Not ready",T7)),ISNUMBER(SEARCH("REMAINS",T7)),ISNUMBER(SEARCH("Failed",T7)),ISNUMBER(SEARCH("Cannot assess",T7)))</formula>
    </cfRule>
    <cfRule type="expression" priority="9" aboveAverage="0" equalAverage="0" bottom="0" percent="0" rank="0" text="" dxfId="21">
      <formula>OR(ISNUMBER(SEARCH("Incomplete",T7)),ISNUMBER(SEARCH("Pending",T7)),ISNUMBER(SEARCH("Approaching",T7)),ISNUMBER(SEARCH("insufficient",T7)),ISNUMBER(SEARCH("Awaiting",T7)),ISNUMBER(SEARCH("Review due",T7)),ISNUMBER(SEARCH("Not configured",T7)),ISNUMBER(SEARCH("Not classified",T7)),ISNUMBER(SEARCH("Proposed",T7)),ISNUMBER(SEARCH("Verification",T7)),ISNUMBER(SEARCH("Scope limitation",T7)),ISNUMBER(SEARCH("Follow-up",T7)),ISNUMBER(SEARCH("Open gap",T7)),ISNUMBER(SEARCH("Delivered - verification",T7)),ISNUMBER(SEARCH("Historical",T7)),ISNUMBER(SEARCH("Not scheduled",T7)),ISNUMBER(SEARCH("Not determined",T7)),ISNUMBER(SEARCH("Decision record",T7)),ISNUMBER(SEARCH("Due soon",T7)),ISNUMBER(SEARCH("Not reviewed",T7)),ISNUMBER(SEARCH("Tier not",T7)),ISNUMBER(SEARCH("No decision",T7)),ISNUMBER(SEARCH("Superseded",T7)),ISNUMBER(SEARCH("Optional",T7)),ISNUMBER(SEARCH("legal review",T7)),ISNUMBER(SEARCH("No treatment",T7)),ISNUMBER(SEARCH("not recorded",T7)),ISNUMBER(SEARCH("consider",T7)),ISNUMBER(SEARCH("Not set",T7)),ISNUMBER(SEARCH("Not started",T7)),ISNUMBER(SEARCH("No expiry",T7)),ISNUMBER(SEARCH("No KRI",T7)),ISNUMBER(SEARCH("no reassessment",T7)),ISNUMBER(SEARCH("Applicability",T7)),ISNUMBER(SEARCH("Not current",T7)),ISNUMBER(SEARCH("assess relevance",T7)))</formula>
    </cfRule>
    <cfRule type="expression" priority="10" aboveAverage="0" equalAverage="0" bottom="0" percent="0" rank="0" text="" dxfId="22">
      <formula>OR(LEFT(T7,2)="OK",LEFT(T7,8)="Complete",LEFT(T7,7)="Current",LEFT(T7,10)="Authorised",LEFT(T7,6)="Within",LEFT(T7,11)="On schedule",LEFT(T7,17)="Ready for closure",LEFT(T7,17)="Evidence reviewed",LEFT(T7,19)="Decision referenced",LEFT(T7,27)="Reassessment event recorded",LEFT(T7,14)="Period current",LEFT(T7,17)="Gap dispositioned",LEFT(T7,17)="Reviewed - no gap",LEFT(T7,11)="Recommended",LEFT(T7,17)="Closed - verified")</formula>
    </cfRule>
  </conditionalFormatting>
  <conditionalFormatting sqref="U7:U206">
    <cfRule type="expression" priority="11" aboveAverage="0" equalAverage="0" bottom="0" percent="0" rank="0" text="" dxfId="0">
      <formula>OR(ISNUMBER(SEARCH("Above appetite",U7)),ISNUMBER(SEARCH("Overdue",U7)),ISNUMBER(SEARCH("Expired",U7)),ISNUMBER(SEARCH("Breach",U7)),ISNUMBER(SEARCH("CHECK",U7)),ISNUMBER(SEARCH("Not ready",U7)),ISNUMBER(SEARCH("REMAINS",U7)),ISNUMBER(SEARCH("Failed",U7)),ISNUMBER(SEARCH("Cannot assess",U7)))</formula>
    </cfRule>
    <cfRule type="expression" priority="12" aboveAverage="0" equalAverage="0" bottom="0" percent="0" rank="0" text="" dxfId="21">
      <formula>OR(ISNUMBER(SEARCH("Incomplete",U7)),ISNUMBER(SEARCH("Pending",U7)),ISNUMBER(SEARCH("Approaching",U7)),ISNUMBER(SEARCH("insufficient",U7)),ISNUMBER(SEARCH("Awaiting",U7)),ISNUMBER(SEARCH("Review due",U7)),ISNUMBER(SEARCH("Not configured",U7)),ISNUMBER(SEARCH("Not classified",U7)),ISNUMBER(SEARCH("Proposed",U7)),ISNUMBER(SEARCH("Verification",U7)),ISNUMBER(SEARCH("Scope limitation",U7)),ISNUMBER(SEARCH("Follow-up",U7)),ISNUMBER(SEARCH("Open gap",U7)),ISNUMBER(SEARCH("Delivered - verification",U7)),ISNUMBER(SEARCH("Historical",U7)),ISNUMBER(SEARCH("Not scheduled",U7)),ISNUMBER(SEARCH("Not determined",U7)),ISNUMBER(SEARCH("Decision record",U7)),ISNUMBER(SEARCH("Due soon",U7)),ISNUMBER(SEARCH("Not reviewed",U7)),ISNUMBER(SEARCH("Tier not",U7)),ISNUMBER(SEARCH("No decision",U7)),ISNUMBER(SEARCH("Superseded",U7)),ISNUMBER(SEARCH("Optional",U7)),ISNUMBER(SEARCH("legal review",U7)),ISNUMBER(SEARCH("No treatment",U7)),ISNUMBER(SEARCH("not recorded",U7)),ISNUMBER(SEARCH("consider",U7)),ISNUMBER(SEARCH("Not set",U7)),ISNUMBER(SEARCH("Not started",U7)),ISNUMBER(SEARCH("No expiry",U7)),ISNUMBER(SEARCH("No KRI",U7)),ISNUMBER(SEARCH("no reassessment",U7)),ISNUMBER(SEARCH("Applicability",U7)),ISNUMBER(SEARCH("Not current",U7)),ISNUMBER(SEARCH("assess relevance",U7)))</formula>
    </cfRule>
    <cfRule type="expression" priority="13" aboveAverage="0" equalAverage="0" bottom="0" percent="0" rank="0" text="" dxfId="22">
      <formula>OR(LEFT(U7,2)="OK",LEFT(U7,8)="Complete",LEFT(U7,7)="Current",LEFT(U7,10)="Authorised",LEFT(U7,6)="Within",LEFT(U7,11)="On schedule",LEFT(U7,17)="Ready for closure",LEFT(U7,17)="Evidence reviewed",LEFT(U7,19)="Decision referenced",LEFT(U7,27)="Reassessment event recorded",LEFT(U7,14)="Period current",LEFT(U7,17)="Gap dispositioned",LEFT(U7,17)="Reviewed - no gap",LEFT(U7,11)="Recommended",LEFT(U7,17)="Closed - verified")</formula>
    </cfRule>
  </conditionalFormatting>
  <conditionalFormatting sqref="A7:A206">
    <cfRule type="expression" priority="14" aboveAverage="0" equalAverage="0" bottom="0" percent="0" rank="0" text="" dxfId="0">
      <formula>AND(A7&lt;&gt;"",COUNTIF($A$7:$A$206,A7)&gt;1)</formula>
    </cfRule>
  </conditionalFormatting>
  <dataValidations count="10">
    <dataValidation allowBlank="true" error="Enter a valid date (on or after 1 Jan 2000)." errorStyle="stop" errorTitle="Invalid date" operator="greaterThanOrEqual" showDropDown="false" showErrorMessage="true" showInputMessage="false" sqref="Q7:Q206" type="date">
      <formula1>36526</formula1>
      <formula2>0</formula2>
    </dataValidation>
    <dataValidation allowBlank="true" error="Choose a value from the list (controlled vocabulary or an existing ID)." errorStyle="stop" errorTitle="Invalid entry" operator="between" showDropDown="false" showErrorMessage="true" showInputMessage="false" sqref="B7:B206" type="list">
      <formula1>INV_ID</formula1>
      <formula2>0</formula2>
    </dataValidation>
    <dataValidation allowBlank="true" error="Choose a value from the list (controlled vocabulary or an existing ID)." errorStyle="stop" errorTitle="Invalid entry" operator="between" showDropDown="false" showErrorMessage="true" showInputMessage="false" sqref="E7:E206" type="list">
      <formula1>RSK_ID</formula1>
      <formula2>0</formula2>
    </dataValidation>
    <dataValidation allowBlank="true" error="Choose a value from the list (controlled vocabulary or an existing ID)." errorStyle="stop" errorTitle="Invalid entry" operator="between" showDropDown="false" showErrorMessage="true" showInputMessage="false" sqref="G7:G206" type="list">
      <formula1>L_Design</formula1>
      <formula2>0</formula2>
    </dataValidation>
    <dataValidation allowBlank="true" error="Choose a value from the list (controlled vocabulary or an existing ID)." errorStyle="stop" errorTitle="Invalid entry" operator="between" showDropDown="false" showErrorMessage="true" showInputMessage="false" sqref="H7:H206" type="list">
      <formula1>L_Impl</formula1>
      <formula2>0</formula2>
    </dataValidation>
    <dataValidation allowBlank="true" error="Choose a value from the list (controlled vocabulary or an existing ID)." errorStyle="stop" errorTitle="Invalid entry" operator="between" showDropDown="false" showErrorMessage="true" showInputMessage="false" sqref="I7:I206" type="list">
      <formula1>L_Oper</formula1>
      <formula2>0</formula2>
    </dataValidation>
    <dataValidation allowBlank="true" error="Choose a value from the list (controlled vocabulary or an existing ID)." errorStyle="stop" errorTitle="Invalid entry" operator="between" showDropDown="false" showErrorMessage="true" showInputMessage="false" sqref="L7:L206" type="list">
      <formula1>L_Suff</formula1>
      <formula2>0</formula2>
    </dataValidation>
    <dataValidation allowBlank="true" error="Choose a value from the list (controlled vocabulary or an existing ID)." errorStyle="stop" errorTitle="Invalid entry" operator="between" showDropDown="false" showErrorMessage="true" showInputMessage="false" sqref="M7:M206" type="list">
      <formula1>L_CtlStatus</formula1>
      <formula2>0</formula2>
    </dataValidation>
    <dataValidation allowBlank="true" error="Choose a value from the list (controlled vocabulary or an existing ID)." errorStyle="stop" errorTitle="Invalid entry" operator="between" showDropDown="false" showErrorMessage="true" showInputMessage="false" sqref="N7:N206" type="list">
      <formula1>L_Effect</formula1>
      <formula2>0</formula2>
    </dataValidation>
    <dataValidation allowBlank="true" error="Choose a value from the list (controlled vocabulary or an existing ID)." errorStyle="stop" errorTitle="Invalid entry" operator="between" showDropDown="false" showErrorMessage="true" showInputMessage="false" sqref="O7:O206" type="list">
      <formula1>FND_ID</formula1>
      <formula2>0</formula2>
    </dataValidation>
  </dataValidations>
  <hyperlinks>
    <hyperlink ref="H1" r:id="rId1" location="'01%20Start%20Here'!A1" display="&lt;&lt; Back to Start Here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tableParts>
    <tablePart r:id="rId2"/>
  </tableParts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Y15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6" topLeftCell="C7" activePane="bottomRight" state="frozen"/>
      <selection pane="topLeft" activeCell="A1" activeCellId="0" sqref="A1"/>
      <selection pane="topRight" activeCell="C1" activeCellId="0" sqref="C1"/>
      <selection pane="bottomLeft" activeCell="A7" activeCellId="0" sqref="A7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10"/>
    <col collapsed="false" customWidth="true" hidden="false" outlineLevel="0" max="2" min="2" style="1" width="12"/>
    <col collapsed="false" customWidth="true" hidden="false" outlineLevel="0" max="3" min="3" style="1" width="22"/>
    <col collapsed="false" customWidth="true" hidden="false" outlineLevel="0" max="4" min="4" style="1" width="11"/>
    <col collapsed="false" customWidth="true" hidden="false" outlineLevel="0" max="5" min="5" style="1" width="12"/>
    <col collapsed="false" customWidth="true" hidden="false" outlineLevel="0" max="6" min="6" style="1" width="14"/>
    <col collapsed="false" customWidth="true" hidden="false" outlineLevel="0" max="7" min="7" style="1" width="20"/>
    <col collapsed="false" customWidth="true" hidden="false" outlineLevel="0" max="8" min="8" style="1" width="30"/>
    <col collapsed="false" customWidth="true" hidden="false" outlineLevel="0" max="9" min="9" style="1" width="36"/>
    <col collapsed="false" customWidth="true" hidden="false" outlineLevel="0" max="10" min="10" style="1" width="18"/>
    <col collapsed="false" customWidth="true" hidden="false" outlineLevel="0" max="11" min="11" style="1" width="30"/>
    <col collapsed="false" customWidth="true" hidden="false" outlineLevel="0" max="12" min="12" style="1" width="12"/>
    <col collapsed="false" customWidth="true" hidden="false" outlineLevel="0" max="13" min="13" style="1" width="30"/>
    <col collapsed="false" customWidth="true" hidden="false" outlineLevel="0" max="14" min="14" style="1" width="18"/>
    <col collapsed="false" customWidth="true" hidden="false" outlineLevel="0" max="15" min="15" style="1" width="22"/>
    <col collapsed="false" customWidth="true" hidden="false" outlineLevel="0" max="18" min="16" style="1" width="13"/>
    <col collapsed="false" customWidth="true" hidden="false" outlineLevel="0" max="19" min="19" style="1" width="20"/>
    <col collapsed="false" customWidth="true" hidden="false" outlineLevel="0" max="20" min="20" style="1" width="28"/>
    <col collapsed="false" customWidth="true" hidden="false" outlineLevel="0" max="22" min="21" style="1" width="12"/>
    <col collapsed="false" customWidth="true" hidden="false" outlineLevel="0" max="23" min="23" style="1" width="11"/>
    <col collapsed="false" customWidth="true" hidden="false" outlineLevel="0" max="24" min="24" style="1" width="32"/>
    <col collapsed="false" customWidth="true" hidden="true" outlineLevel="0" max="25" min="25" style="1" width="10"/>
  </cols>
  <sheetData>
    <row r="1" customFormat="false" ht="17.35" hidden="false" customHeight="false" outlineLevel="0" collapsed="false">
      <c r="A1" s="22" t="s">
        <v>24</v>
      </c>
      <c r="H1" s="10" t="s">
        <v>100</v>
      </c>
    </row>
    <row r="2" customFormat="false" ht="15" hidden="false" customHeight="false" outlineLevel="0" collapsed="false">
      <c r="A2" s="3" t="s">
        <v>1393</v>
      </c>
    </row>
    <row r="3" customFormat="false" ht="15" hidden="false" customHeight="false" outlineLevel="0" collapsed="false">
      <c r="A3" s="4" t="s">
        <v>1394</v>
      </c>
    </row>
    <row r="4" customFormat="false" ht="24" hidden="false" customHeight="true" outlineLevel="0" collapsed="false">
      <c r="A4" s="45" t="s">
        <v>69</v>
      </c>
      <c r="B4" s="45" t="s">
        <v>69</v>
      </c>
      <c r="C4" s="55" t="s">
        <v>73</v>
      </c>
      <c r="D4" s="45" t="s">
        <v>69</v>
      </c>
      <c r="E4" s="45" t="s">
        <v>69</v>
      </c>
      <c r="F4" s="45" t="s">
        <v>69</v>
      </c>
      <c r="G4" s="45" t="s">
        <v>69</v>
      </c>
      <c r="H4" s="45" t="s">
        <v>69</v>
      </c>
      <c r="I4" s="45" t="s">
        <v>69</v>
      </c>
      <c r="J4" s="45" t="s">
        <v>69</v>
      </c>
      <c r="K4" s="45" t="s">
        <v>69</v>
      </c>
      <c r="L4" s="45" t="s">
        <v>69</v>
      </c>
      <c r="M4" s="45" t="s">
        <v>69</v>
      </c>
      <c r="N4" s="45" t="s">
        <v>69</v>
      </c>
      <c r="O4" s="45" t="s">
        <v>69</v>
      </c>
      <c r="P4" s="45" t="s">
        <v>69</v>
      </c>
      <c r="Q4" s="45" t="s">
        <v>69</v>
      </c>
      <c r="R4" s="45" t="s">
        <v>69</v>
      </c>
      <c r="S4" s="45" t="s">
        <v>69</v>
      </c>
      <c r="T4" s="45" t="s">
        <v>69</v>
      </c>
      <c r="U4" s="46" t="s">
        <v>442</v>
      </c>
      <c r="V4" s="46" t="s">
        <v>442</v>
      </c>
      <c r="W4" s="46" t="s">
        <v>442</v>
      </c>
      <c r="X4" s="46" t="s">
        <v>442</v>
      </c>
      <c r="Y4" s="46" t="s">
        <v>442</v>
      </c>
    </row>
    <row r="5" customFormat="false" ht="30" hidden="false" customHeight="true" outlineLevel="0" collapsed="false">
      <c r="A5" s="47" t="s">
        <v>1340</v>
      </c>
      <c r="B5" s="47" t="s">
        <v>443</v>
      </c>
      <c r="C5" s="47"/>
      <c r="D5" s="47" t="s">
        <v>1334</v>
      </c>
      <c r="E5" s="47" t="s">
        <v>599</v>
      </c>
      <c r="F5" s="47" t="s">
        <v>1395</v>
      </c>
      <c r="G5" s="47" t="s">
        <v>1396</v>
      </c>
      <c r="H5" s="47"/>
      <c r="I5" s="47"/>
      <c r="J5" s="47"/>
      <c r="K5" s="47"/>
      <c r="L5" s="47" t="s">
        <v>1397</v>
      </c>
      <c r="M5" s="47"/>
      <c r="N5" s="47"/>
      <c r="O5" s="47" t="s">
        <v>1398</v>
      </c>
      <c r="P5" s="47" t="s">
        <v>1341</v>
      </c>
      <c r="Q5" s="47" t="s">
        <v>1145</v>
      </c>
      <c r="R5" s="47"/>
      <c r="S5" s="47"/>
      <c r="T5" s="47"/>
      <c r="U5" s="47"/>
      <c r="V5" s="47"/>
      <c r="W5" s="47"/>
      <c r="X5" s="47"/>
      <c r="Y5" s="47"/>
    </row>
    <row r="6" customFormat="false" ht="48" hidden="false" customHeight="true" outlineLevel="0" collapsed="false">
      <c r="A6" s="48" t="s">
        <v>1399</v>
      </c>
      <c r="B6" s="48" t="s">
        <v>456</v>
      </c>
      <c r="C6" s="57" t="s">
        <v>538</v>
      </c>
      <c r="D6" s="48" t="s">
        <v>1344</v>
      </c>
      <c r="E6" s="48" t="s">
        <v>1400</v>
      </c>
      <c r="F6" s="48" t="s">
        <v>1401</v>
      </c>
      <c r="G6" s="48" t="s">
        <v>1402</v>
      </c>
      <c r="H6" s="48" t="s">
        <v>1403</v>
      </c>
      <c r="I6" s="48" t="s">
        <v>1404</v>
      </c>
      <c r="J6" s="48" t="s">
        <v>1405</v>
      </c>
      <c r="K6" s="48" t="s">
        <v>1406</v>
      </c>
      <c r="L6" s="48" t="s">
        <v>1407</v>
      </c>
      <c r="M6" s="48" t="s">
        <v>1408</v>
      </c>
      <c r="N6" s="48" t="s">
        <v>1409</v>
      </c>
      <c r="O6" s="48" t="s">
        <v>1410</v>
      </c>
      <c r="P6" s="48" t="s">
        <v>1411</v>
      </c>
      <c r="Q6" s="48" t="s">
        <v>1412</v>
      </c>
      <c r="R6" s="48" t="s">
        <v>1413</v>
      </c>
      <c r="S6" s="48" t="s">
        <v>1414</v>
      </c>
      <c r="T6" s="48" t="s">
        <v>1156</v>
      </c>
      <c r="U6" s="49" t="s">
        <v>1415</v>
      </c>
      <c r="V6" s="49" t="s">
        <v>1416</v>
      </c>
      <c r="W6" s="49" t="s">
        <v>1417</v>
      </c>
      <c r="X6" s="49" t="s">
        <v>560</v>
      </c>
      <c r="Y6" s="49" t="s">
        <v>632</v>
      </c>
    </row>
    <row r="7" customFormat="false" ht="23.85" hidden="false" customHeight="false" outlineLevel="0" collapsed="false">
      <c r="A7" s="50" t="s">
        <v>1361</v>
      </c>
      <c r="B7" s="50" t="s">
        <v>479</v>
      </c>
      <c r="C7" s="59" t="str">
        <f aca="false">IF(B7="","",IFERROR(INDEX(INV_NAME,MATCH(B7,INV_ID,0)),"CHECK: Supplier ID not found"))</f>
        <v>Northwind Cloud Hosting Ltd</v>
      </c>
      <c r="D7" s="50" t="s">
        <v>643</v>
      </c>
      <c r="E7" s="50" t="s">
        <v>1358</v>
      </c>
      <c r="F7" s="50" t="s">
        <v>1167</v>
      </c>
      <c r="G7" s="34" t="s">
        <v>294</v>
      </c>
      <c r="H7" s="34" t="s">
        <v>1418</v>
      </c>
      <c r="I7" s="34" t="s">
        <v>1419</v>
      </c>
      <c r="J7" s="34" t="s">
        <v>1167</v>
      </c>
      <c r="K7" s="34" t="s">
        <v>1420</v>
      </c>
      <c r="L7" s="50" t="s">
        <v>117</v>
      </c>
      <c r="M7" s="34" t="s">
        <v>1421</v>
      </c>
      <c r="N7" s="34" t="s">
        <v>1170</v>
      </c>
      <c r="O7" s="34" t="s">
        <v>259</v>
      </c>
      <c r="P7" s="51" t="n">
        <v>46277</v>
      </c>
      <c r="Q7" s="51" t="n">
        <v>46310</v>
      </c>
      <c r="R7" s="51"/>
      <c r="S7" s="34"/>
      <c r="T7" s="34" t="s">
        <v>1422</v>
      </c>
      <c r="U7" s="52" t="str">
        <f aca="false">IF(A7="","",IF(OR(O7="Closed - verified",O7="Withdrawn"),"Closed","Active"))</f>
        <v>Active</v>
      </c>
      <c r="V7" s="52" t="str">
        <f aca="false">IF(A7="","",IF(AND(OR(O7="",O7="Open",O7="In remediation",O7="Remediated - pending verification"),ISNUMBER(Q7),Q7&lt;AsOf),"Overdue",""))</f>
        <v>Overdue</v>
      </c>
      <c r="W7" s="62" t="n">
        <f aca="false">IF(A7="","",COUNTIF(TRT_FND,A7))</f>
        <v>1</v>
      </c>
      <c r="X7" s="54" t="str">
        <f aca="false">IF(A7="","",IF(COUNTIF(FND_ID,A7)&gt;1,"CHECK: duplicate ID",IF(B7="","CHECK: Supplier ID missing",IF(COUNTIF(INV_ID,B7)=0,"CHECK: Supplier ID not in inventory",IF(AND(D7&lt;&gt;"",COUNTIF(RSK_ID,D7)=0),"CHECK: Risk ID not found",IF(AND(D7&lt;&gt;"",COUNTIF(RSK_ID,D7)&gt;0,IFERROR(INDEX(RSK_SUP,MATCH(D7,RSK_ID,0)),"")&lt;&gt;B7),"CHECK: Risk belongs to a different supplier",IF(AND(O7="Closed - verified",S7=""),"CHECK: closed without verification reference","OK")))))))</f>
        <v>OK</v>
      </c>
      <c r="Y7" s="52" t="str">
        <f aca="false">IF(OR(A7="",B7=""),"",IF(AND(U7="Active",B7=RptSup),B7&amp;"|"&amp;COUNTIFS($B$7:B7,B7,$U$7:U7,"Active"),""))</f>
        <v>SUP-001|1</v>
      </c>
    </row>
    <row r="8" customFormat="false" ht="23.85" hidden="false" customHeight="false" outlineLevel="0" collapsed="false">
      <c r="A8" s="50" t="s">
        <v>1365</v>
      </c>
      <c r="B8" s="50" t="s">
        <v>479</v>
      </c>
      <c r="C8" s="59" t="str">
        <f aca="false">IF(B8="","",IFERROR(INDEX(INV_NAME,MATCH(B8,INV_ID,0)),"CHECK: Supplier ID not found"))</f>
        <v>Northwind Cloud Hosting Ltd</v>
      </c>
      <c r="D8" s="50" t="s">
        <v>633</v>
      </c>
      <c r="E8" s="50" t="s">
        <v>639</v>
      </c>
      <c r="F8" s="50" t="s">
        <v>1177</v>
      </c>
      <c r="G8" s="34" t="s">
        <v>258</v>
      </c>
      <c r="H8" s="34" t="s">
        <v>1423</v>
      </c>
      <c r="I8" s="34" t="s">
        <v>1424</v>
      </c>
      <c r="J8" s="34" t="s">
        <v>1177</v>
      </c>
      <c r="K8" s="34" t="s">
        <v>1425</v>
      </c>
      <c r="L8" s="50" t="s">
        <v>117</v>
      </c>
      <c r="M8" s="34" t="s">
        <v>1426</v>
      </c>
      <c r="N8" s="34" t="s">
        <v>1170</v>
      </c>
      <c r="O8" s="34" t="s">
        <v>295</v>
      </c>
      <c r="P8" s="51" t="n">
        <v>46277</v>
      </c>
      <c r="Q8" s="51" t="n">
        <v>46371</v>
      </c>
      <c r="R8" s="51"/>
      <c r="S8" s="34"/>
      <c r="T8" s="34"/>
      <c r="U8" s="52" t="str">
        <f aca="false">IF(A8="","",IF(OR(O8="Closed - verified",O8="Withdrawn"),"Closed","Active"))</f>
        <v>Active</v>
      </c>
      <c r="V8" s="52" t="str">
        <f aca="false">IF(A8="","",IF(AND(OR(O8="",O8="Open",O8="In remediation",O8="Remediated - pending verification"),ISNUMBER(Q8),Q8&lt;AsOf),"Overdue",""))</f>
        <v/>
      </c>
      <c r="W8" s="62" t="n">
        <f aca="false">IF(A8="","",COUNTIF(TRT_FND,A8))</f>
        <v>1</v>
      </c>
      <c r="X8" s="54" t="str">
        <f aca="false">IF(A8="","",IF(COUNTIF(FND_ID,A8)&gt;1,"CHECK: duplicate ID",IF(B8="","CHECK: Supplier ID missing",IF(COUNTIF(INV_ID,B8)=0,"CHECK: Supplier ID not in inventory",IF(AND(D8&lt;&gt;"",COUNTIF(RSK_ID,D8)=0),"CHECK: Risk ID not found",IF(AND(D8&lt;&gt;"",COUNTIF(RSK_ID,D8)&gt;0,IFERROR(INDEX(RSK_SUP,MATCH(D8,RSK_ID,0)),"")&lt;&gt;B8),"CHECK: Risk belongs to a different supplier",IF(AND(O8="Closed - verified",S8=""),"CHECK: closed without verification reference","OK")))))))</f>
        <v>OK</v>
      </c>
      <c r="Y8" s="52" t="str">
        <f aca="false">IF(OR(A8="",B8=""),"",IF(AND(U8="Active",B8=RptSup),B8&amp;"|"&amp;COUNTIFS($B$7:B8,B8,$U$7:U8,"Active"),""))</f>
        <v>SUP-001|2</v>
      </c>
    </row>
    <row r="9" customFormat="false" ht="23.85" hidden="false" customHeight="false" outlineLevel="0" collapsed="false">
      <c r="A9" s="50" t="s">
        <v>1378</v>
      </c>
      <c r="B9" s="50" t="s">
        <v>489</v>
      </c>
      <c r="C9" s="59" t="str">
        <f aca="false">IF(B9="","",IFERROR(INDEX(INV_NAME,MATCH(B9,INV_ID,0)),"CHECK: Supplier ID not found"))</f>
        <v>SupportLoop Ltd</v>
      </c>
      <c r="D9" s="50" t="s">
        <v>670</v>
      </c>
      <c r="E9" s="50" t="s">
        <v>676</v>
      </c>
      <c r="F9" s="50" t="s">
        <v>676</v>
      </c>
      <c r="G9" s="34" t="s">
        <v>294</v>
      </c>
      <c r="H9" s="34" t="s">
        <v>1427</v>
      </c>
      <c r="I9" s="34" t="s">
        <v>1428</v>
      </c>
      <c r="J9" s="34"/>
      <c r="K9" s="34" t="s">
        <v>1429</v>
      </c>
      <c r="L9" s="50" t="s">
        <v>154</v>
      </c>
      <c r="M9" s="34" t="s">
        <v>1430</v>
      </c>
      <c r="N9" s="34" t="s">
        <v>1206</v>
      </c>
      <c r="O9" s="34" t="s">
        <v>259</v>
      </c>
      <c r="P9" s="51" t="n">
        <v>46307</v>
      </c>
      <c r="Q9" s="51" t="n">
        <v>46346</v>
      </c>
      <c r="R9" s="51"/>
      <c r="S9" s="34"/>
      <c r="T9" s="34" t="s">
        <v>1431</v>
      </c>
      <c r="U9" s="52" t="str">
        <f aca="false">IF(A9="","",IF(OR(O9="Closed - verified",O9="Withdrawn"),"Closed","Active"))</f>
        <v>Active</v>
      </c>
      <c r="V9" s="52" t="str">
        <f aca="false">IF(A9="","",IF(AND(OR(O9="",O9="Open",O9="In remediation",O9="Remediated - pending verification"),ISNUMBER(Q9),Q9&lt;AsOf),"Overdue",""))</f>
        <v/>
      </c>
      <c r="W9" s="62" t="n">
        <f aca="false">IF(A9="","",COUNTIF(TRT_FND,A9))</f>
        <v>1</v>
      </c>
      <c r="X9" s="54" t="str">
        <f aca="false">IF(A9="","",IF(COUNTIF(FND_ID,A9)&gt;1,"CHECK: duplicate ID",IF(B9="","CHECK: Supplier ID missing",IF(COUNTIF(INV_ID,B9)=0,"CHECK: Supplier ID not in inventory",IF(AND(D9&lt;&gt;"",COUNTIF(RSK_ID,D9)=0),"CHECK: Risk ID not found",IF(AND(D9&lt;&gt;"",COUNTIF(RSK_ID,D9)&gt;0,IFERROR(INDEX(RSK_SUP,MATCH(D9,RSK_ID,0)),"")&lt;&gt;B9),"CHECK: Risk belongs to a different supplier",IF(AND(O9="Closed - verified",S9=""),"CHECK: closed without verification reference","OK")))))))</f>
        <v>OK</v>
      </c>
      <c r="Y9" s="52" t="str">
        <f aca="false">IF(OR(A9="",B9=""),"",IF(AND(U9="Active",B9=RptSup),B9&amp;"|"&amp;COUNTIFS($B$7:B9,B9,$U$7:U9,"Active"),""))</f>
        <v/>
      </c>
    </row>
    <row r="10" customFormat="false" ht="23.85" hidden="false" customHeight="false" outlineLevel="0" collapsed="false">
      <c r="A10" s="50" t="s">
        <v>1374</v>
      </c>
      <c r="B10" s="50" t="s">
        <v>489</v>
      </c>
      <c r="C10" s="59" t="str">
        <f aca="false">IF(B10="","",IFERROR(INDEX(INV_NAME,MATCH(B10,INV_ID,0)),"CHECK: Supplier ID not found"))</f>
        <v>SupportLoop Ltd</v>
      </c>
      <c r="D10" s="50" t="s">
        <v>661</v>
      </c>
      <c r="E10" s="50" t="s">
        <v>1371</v>
      </c>
      <c r="F10" s="50" t="s">
        <v>1200</v>
      </c>
      <c r="G10" s="34" t="s">
        <v>258</v>
      </c>
      <c r="H10" s="34" t="s">
        <v>1432</v>
      </c>
      <c r="I10" s="34" t="s">
        <v>1433</v>
      </c>
      <c r="J10" s="34" t="s">
        <v>1200</v>
      </c>
      <c r="K10" s="34" t="s">
        <v>1434</v>
      </c>
      <c r="L10" s="50" t="s">
        <v>117</v>
      </c>
      <c r="M10" s="34" t="s">
        <v>1435</v>
      </c>
      <c r="N10" s="34" t="s">
        <v>1206</v>
      </c>
      <c r="O10" s="34" t="s">
        <v>334</v>
      </c>
      <c r="P10" s="51" t="n">
        <v>46307</v>
      </c>
      <c r="Q10" s="51" t="n">
        <v>46315</v>
      </c>
      <c r="R10" s="51"/>
      <c r="S10" s="34"/>
      <c r="T10" s="34" t="s">
        <v>1436</v>
      </c>
      <c r="U10" s="52" t="str">
        <f aca="false">IF(A10="","",IF(OR(O10="Closed - verified",O10="Withdrawn"),"Closed","Active"))</f>
        <v>Active</v>
      </c>
      <c r="V10" s="52" t="str">
        <f aca="false">IF(A10="","",IF(AND(OR(O10="",O10="Open",O10="In remediation",O10="Remediated - pending verification"),ISNUMBER(Q10),Q10&lt;AsOf),"Overdue",""))</f>
        <v>Overdue</v>
      </c>
      <c r="W10" s="62" t="n">
        <f aca="false">IF(A10="","",COUNTIF(TRT_FND,A10))</f>
        <v>1</v>
      </c>
      <c r="X10" s="54" t="str">
        <f aca="false">IF(A10="","",IF(COUNTIF(FND_ID,A10)&gt;1,"CHECK: duplicate ID",IF(B10="","CHECK: Supplier ID missing",IF(COUNTIF(INV_ID,B10)=0,"CHECK: Supplier ID not in inventory",IF(AND(D10&lt;&gt;"",COUNTIF(RSK_ID,D10)=0),"CHECK: Risk ID not found",IF(AND(D10&lt;&gt;"",COUNTIF(RSK_ID,D10)&gt;0,IFERROR(INDEX(RSK_SUP,MATCH(D10,RSK_ID,0)),"")&lt;&gt;B10),"CHECK: Risk belongs to a different supplier",IF(AND(O10="Closed - verified",S10=""),"CHECK: closed without verification reference","OK")))))))</f>
        <v>OK</v>
      </c>
      <c r="Y10" s="52" t="str">
        <f aca="false">IF(OR(A10="",B10=""),"",IF(AND(U10="Active",B10=RptSup),B10&amp;"|"&amp;COUNTIFS($B$7:B10,B10,$U$7:U10,"Active"),""))</f>
        <v/>
      </c>
    </row>
    <row r="11" customFormat="false" ht="23.85" hidden="false" customHeight="false" outlineLevel="0" collapsed="false">
      <c r="A11" s="50" t="s">
        <v>1387</v>
      </c>
      <c r="B11" s="50" t="s">
        <v>506</v>
      </c>
      <c r="C11" s="59" t="str">
        <f aca="false">IF(B11="","",IFERROR(INDEX(INV_NAME,MATCH(B11,INV_ID,0)),"CHECK: Supplier ID not found"))</f>
        <v>Cleanwell Facilities Ltd</v>
      </c>
      <c r="D11" s="50" t="s">
        <v>693</v>
      </c>
      <c r="E11" s="50" t="s">
        <v>699</v>
      </c>
      <c r="F11" s="50" t="s">
        <v>1326</v>
      </c>
      <c r="G11" s="34" t="s">
        <v>333</v>
      </c>
      <c r="H11" s="34" t="s">
        <v>1437</v>
      </c>
      <c r="I11" s="34" t="s">
        <v>1438</v>
      </c>
      <c r="J11" s="34" t="s">
        <v>1326</v>
      </c>
      <c r="K11" s="34" t="s">
        <v>1439</v>
      </c>
      <c r="L11" s="50" t="s">
        <v>154</v>
      </c>
      <c r="M11" s="34" t="s">
        <v>1440</v>
      </c>
      <c r="N11" s="34" t="s">
        <v>1224</v>
      </c>
      <c r="O11" s="34" t="s">
        <v>259</v>
      </c>
      <c r="P11" s="51" t="n">
        <v>46296</v>
      </c>
      <c r="Q11" s="51" t="n">
        <v>46356</v>
      </c>
      <c r="R11" s="51"/>
      <c r="S11" s="34"/>
      <c r="T11" s="34"/>
      <c r="U11" s="52" t="str">
        <f aca="false">IF(A11="","",IF(OR(O11="Closed - verified",O11="Withdrawn"),"Closed","Active"))</f>
        <v>Active</v>
      </c>
      <c r="V11" s="52" t="str">
        <f aca="false">IF(A11="","",IF(AND(OR(O11="",O11="Open",O11="In remediation",O11="Remediated - pending verification"),ISNUMBER(Q11),Q11&lt;AsOf),"Overdue",""))</f>
        <v/>
      </c>
      <c r="W11" s="62" t="n">
        <f aca="false">IF(A11="","",COUNTIF(TRT_FND,A11))</f>
        <v>1</v>
      </c>
      <c r="X11" s="54" t="str">
        <f aca="false">IF(A11="","",IF(COUNTIF(FND_ID,A11)&gt;1,"CHECK: duplicate ID",IF(B11="","CHECK: Supplier ID missing",IF(COUNTIF(INV_ID,B11)=0,"CHECK: Supplier ID not in inventory",IF(AND(D11&lt;&gt;"",COUNTIF(RSK_ID,D11)=0),"CHECK: Risk ID not found",IF(AND(D11&lt;&gt;"",COUNTIF(RSK_ID,D11)&gt;0,IFERROR(INDEX(RSK_SUP,MATCH(D11,RSK_ID,0)),"")&lt;&gt;B11),"CHECK: Risk belongs to a different supplier",IF(AND(O11="Closed - verified",S11=""),"CHECK: closed without verification reference","OK")))))))</f>
        <v>OK</v>
      </c>
      <c r="Y11" s="52" t="str">
        <f aca="false">IF(OR(A11="",B11=""),"",IF(AND(U11="Active",B11=RptSup),B11&amp;"|"&amp;COUNTIFS($B$7:B11,B11,$U$7:U11,"Active"),""))</f>
        <v/>
      </c>
    </row>
    <row r="12" customFormat="false" ht="23.85" hidden="false" customHeight="false" outlineLevel="0" collapsed="false">
      <c r="A12" s="50" t="s">
        <v>1391</v>
      </c>
      <c r="B12" s="50" t="s">
        <v>515</v>
      </c>
      <c r="C12" s="59" t="str">
        <f aca="false">IF(B12="","",IFERROR(INDEX(INV_NAME,MATCH(B12,INV_ID,0)),"CHECK: Supplier ID not found"))</f>
        <v>Datavault Backup Services Ltd</v>
      </c>
      <c r="D12" s="50" t="s">
        <v>702</v>
      </c>
      <c r="E12" s="50" t="s">
        <v>708</v>
      </c>
      <c r="F12" s="50" t="s">
        <v>1227</v>
      </c>
      <c r="G12" s="34" t="s">
        <v>294</v>
      </c>
      <c r="H12" s="34" t="s">
        <v>1441</v>
      </c>
      <c r="I12" s="34" t="s">
        <v>1442</v>
      </c>
      <c r="J12" s="34" t="s">
        <v>1227</v>
      </c>
      <c r="K12" s="34" t="s">
        <v>1443</v>
      </c>
      <c r="L12" s="50" t="s">
        <v>154</v>
      </c>
      <c r="M12" s="34" t="s">
        <v>1444</v>
      </c>
      <c r="N12" s="34" t="s">
        <v>1230</v>
      </c>
      <c r="O12" s="34" t="s">
        <v>259</v>
      </c>
      <c r="P12" s="51" t="n">
        <v>46300</v>
      </c>
      <c r="Q12" s="51" t="n">
        <v>46387</v>
      </c>
      <c r="R12" s="51"/>
      <c r="S12" s="34"/>
      <c r="T12" s="34"/>
      <c r="U12" s="52" t="str">
        <f aca="false">IF(A12="","",IF(OR(O12="Closed - verified",O12="Withdrawn"),"Closed","Active"))</f>
        <v>Active</v>
      </c>
      <c r="V12" s="52" t="str">
        <f aca="false">IF(A12="","",IF(AND(OR(O12="",O12="Open",O12="In remediation",O12="Remediated - pending verification"),ISNUMBER(Q12),Q12&lt;AsOf),"Overdue",""))</f>
        <v/>
      </c>
      <c r="W12" s="62" t="n">
        <f aca="false">IF(A12="","",COUNTIF(TRT_FND,A12))</f>
        <v>1</v>
      </c>
      <c r="X12" s="54" t="str">
        <f aca="false">IF(A12="","",IF(COUNTIF(FND_ID,A12)&gt;1,"CHECK: duplicate ID",IF(B12="","CHECK: Supplier ID missing",IF(COUNTIF(INV_ID,B12)=0,"CHECK: Supplier ID not in inventory",IF(AND(D12&lt;&gt;"",COUNTIF(RSK_ID,D12)=0),"CHECK: Risk ID not found",IF(AND(D12&lt;&gt;"",COUNTIF(RSK_ID,D12)&gt;0,IFERROR(INDEX(RSK_SUP,MATCH(D12,RSK_ID,0)),"")&lt;&gt;B12),"CHECK: Risk belongs to a different supplier",IF(AND(O12="Closed - verified",S12=""),"CHECK: closed without verification reference","OK")))))))</f>
        <v>OK</v>
      </c>
      <c r="Y12" s="52" t="str">
        <f aca="false">IF(OR(A12="",B12=""),"",IF(AND(U12="Active",B12=RptSup),B12&amp;"|"&amp;COUNTIFS($B$7:B12,B12,$U$7:U12,"Active"),""))</f>
        <v/>
      </c>
    </row>
    <row r="13" customFormat="false" ht="23.85" hidden="false" customHeight="false" outlineLevel="0" collapsed="false">
      <c r="A13" s="50" t="s">
        <v>1445</v>
      </c>
      <c r="B13" s="50" t="s">
        <v>515</v>
      </c>
      <c r="C13" s="59" t="str">
        <f aca="false">IF(B13="","",IFERROR(INDEX(INV_NAME,MATCH(B13,INV_ID,0)),"CHECK: Supplier ID not found"))</f>
        <v>Datavault Backup Services Ltd</v>
      </c>
      <c r="D13" s="50" t="s">
        <v>702</v>
      </c>
      <c r="E13" s="50"/>
      <c r="F13" s="50" t="s">
        <v>1446</v>
      </c>
      <c r="G13" s="34" t="s">
        <v>363</v>
      </c>
      <c r="H13" s="34" t="s">
        <v>1447</v>
      </c>
      <c r="I13" s="34" t="s">
        <v>1448</v>
      </c>
      <c r="J13" s="34" t="s">
        <v>1446</v>
      </c>
      <c r="K13" s="34" t="s">
        <v>1449</v>
      </c>
      <c r="L13" s="50" t="s">
        <v>117</v>
      </c>
      <c r="M13" s="34" t="s">
        <v>1450</v>
      </c>
      <c r="N13" s="34" t="s">
        <v>1451</v>
      </c>
      <c r="O13" s="34" t="s">
        <v>259</v>
      </c>
      <c r="P13" s="51" t="n">
        <v>46300</v>
      </c>
      <c r="Q13" s="51" t="n">
        <v>46356</v>
      </c>
      <c r="R13" s="51"/>
      <c r="S13" s="34"/>
      <c r="T13" s="34"/>
      <c r="U13" s="52" t="str">
        <f aca="false">IF(A13="","",IF(OR(O13="Closed - verified",O13="Withdrawn"),"Closed","Active"))</f>
        <v>Active</v>
      </c>
      <c r="V13" s="52" t="str">
        <f aca="false">IF(A13="","",IF(AND(OR(O13="",O13="Open",O13="In remediation",O13="Remediated - pending verification"),ISNUMBER(Q13),Q13&lt;AsOf),"Overdue",""))</f>
        <v/>
      </c>
      <c r="W13" s="62" t="n">
        <f aca="false">IF(A13="","",COUNTIF(TRT_FND,A13))</f>
        <v>0</v>
      </c>
      <c r="X13" s="54" t="str">
        <f aca="false">IF(A13="","",IF(COUNTIF(FND_ID,A13)&gt;1,"CHECK: duplicate ID",IF(B13="","CHECK: Supplier ID missing",IF(COUNTIF(INV_ID,B13)=0,"CHECK: Supplier ID not in inventory",IF(AND(D13&lt;&gt;"",COUNTIF(RSK_ID,D13)=0),"CHECK: Risk ID not found",IF(AND(D13&lt;&gt;"",COUNTIF(RSK_ID,D13)&gt;0,IFERROR(INDEX(RSK_SUP,MATCH(D13,RSK_ID,0)),"")&lt;&gt;B13),"CHECK: Risk belongs to a different supplier",IF(AND(O13="Closed - verified",S13=""),"CHECK: closed without verification reference","OK")))))))</f>
        <v>OK</v>
      </c>
      <c r="Y13" s="52" t="str">
        <f aca="false">IF(OR(A13="",B13=""),"",IF(AND(U13="Active",B13=RptSup),B13&amp;"|"&amp;COUNTIFS($B$7:B13,B13,$U$7:U13,"Active"),""))</f>
        <v/>
      </c>
    </row>
    <row r="14" customFormat="false" ht="15" hidden="false" customHeight="false" outlineLevel="0" collapsed="false">
      <c r="A14" s="50"/>
      <c r="B14" s="50"/>
      <c r="C14" s="59" t="str">
        <f aca="false">IF(B14="","",IFERROR(INDEX(INV_NAME,MATCH(B14,INV_ID,0)),"CHECK: Supplier ID not found"))</f>
        <v/>
      </c>
      <c r="D14" s="50"/>
      <c r="E14" s="50"/>
      <c r="F14" s="50"/>
      <c r="G14" s="34"/>
      <c r="H14" s="34"/>
      <c r="I14" s="34"/>
      <c r="J14" s="34"/>
      <c r="K14" s="34"/>
      <c r="L14" s="50"/>
      <c r="M14" s="34"/>
      <c r="N14" s="34"/>
      <c r="O14" s="34"/>
      <c r="P14" s="51"/>
      <c r="Q14" s="51"/>
      <c r="R14" s="51"/>
      <c r="S14" s="34"/>
      <c r="T14" s="34"/>
      <c r="U14" s="52" t="str">
        <f aca="false">IF(A14="","",IF(OR(O14="Closed - verified",O14="Withdrawn"),"Closed","Active"))</f>
        <v/>
      </c>
      <c r="V14" s="52" t="str">
        <f aca="false">IF(A14="","",IF(AND(OR(O14="",O14="Open",O14="In remediation",O14="Remediated - pending verification"),ISNUMBER(Q14),Q14&lt;AsOf),"Overdue",""))</f>
        <v/>
      </c>
      <c r="W14" s="62" t="str">
        <f aca="false">IF(A14="","",COUNTIF(TRT_FND,A14))</f>
        <v/>
      </c>
      <c r="X14" s="54" t="str">
        <f aca="false">IF(A14="","",IF(COUNTIF(FND_ID,A14)&gt;1,"CHECK: duplicate ID",IF(B14="","CHECK: Supplier ID missing",IF(COUNTIF(INV_ID,B14)=0,"CHECK: Supplier ID not in inventory",IF(AND(D14&lt;&gt;"",COUNTIF(RSK_ID,D14)=0),"CHECK: Risk ID not found",IF(AND(D14&lt;&gt;"",COUNTIF(RSK_ID,D14)&gt;0,IFERROR(INDEX(RSK_SUP,MATCH(D14,RSK_ID,0)),"")&lt;&gt;B14),"CHECK: Risk belongs to a different supplier",IF(AND(O14="Closed - verified",S14=""),"CHECK: closed without verification reference","OK")))))))</f>
        <v/>
      </c>
      <c r="Y14" s="52" t="str">
        <f aca="false">IF(OR(A14="",B14=""),"",IF(AND(U14="Active",B14=RptSup),B14&amp;"|"&amp;COUNTIFS($B$7:B14,B14,$U$7:U14,"Active"),""))</f>
        <v/>
      </c>
    </row>
    <row r="15" customFormat="false" ht="15" hidden="false" customHeight="false" outlineLevel="0" collapsed="false">
      <c r="A15" s="50"/>
      <c r="B15" s="50"/>
      <c r="C15" s="59" t="str">
        <f aca="false">IF(B15="","",IFERROR(INDEX(INV_NAME,MATCH(B15,INV_ID,0)),"CHECK: Supplier ID not found"))</f>
        <v/>
      </c>
      <c r="D15" s="50"/>
      <c r="E15" s="50"/>
      <c r="F15" s="50"/>
      <c r="G15" s="34"/>
      <c r="H15" s="34"/>
      <c r="I15" s="34"/>
      <c r="J15" s="34"/>
      <c r="K15" s="34"/>
      <c r="L15" s="50"/>
      <c r="M15" s="34"/>
      <c r="N15" s="34"/>
      <c r="O15" s="34"/>
      <c r="P15" s="51"/>
      <c r="Q15" s="51"/>
      <c r="R15" s="51"/>
      <c r="S15" s="34"/>
      <c r="T15" s="34"/>
      <c r="U15" s="52" t="str">
        <f aca="false">IF(A15="","",IF(OR(O15="Closed - verified",O15="Withdrawn"),"Closed","Active"))</f>
        <v/>
      </c>
      <c r="V15" s="52" t="str">
        <f aca="false">IF(A15="","",IF(AND(OR(O15="",O15="Open",O15="In remediation",O15="Remediated - pending verification"),ISNUMBER(Q15),Q15&lt;AsOf),"Overdue",""))</f>
        <v/>
      </c>
      <c r="W15" s="62" t="str">
        <f aca="false">IF(A15="","",COUNTIF(TRT_FND,A15))</f>
        <v/>
      </c>
      <c r="X15" s="54" t="str">
        <f aca="false">IF(A15="","",IF(COUNTIF(FND_ID,A15)&gt;1,"CHECK: duplicate ID",IF(B15="","CHECK: Supplier ID missing",IF(COUNTIF(INV_ID,B15)=0,"CHECK: Supplier ID not in inventory",IF(AND(D15&lt;&gt;"",COUNTIF(RSK_ID,D15)=0),"CHECK: Risk ID not found",IF(AND(D15&lt;&gt;"",COUNTIF(RSK_ID,D15)&gt;0,IFERROR(INDEX(RSK_SUP,MATCH(D15,RSK_ID,0)),"")&lt;&gt;B15),"CHECK: Risk belongs to a different supplier",IF(AND(O15="Closed - verified",S15=""),"CHECK: closed without verification reference","OK")))))))</f>
        <v/>
      </c>
      <c r="Y15" s="52" t="str">
        <f aca="false">IF(OR(A15="",B15=""),"",IF(AND(U15="Active",B15=RptSup),B15&amp;"|"&amp;COUNTIFS($B$7:B15,B15,$U$7:U15,"Active"),""))</f>
        <v/>
      </c>
    </row>
    <row r="16" customFormat="false" ht="15" hidden="false" customHeight="false" outlineLevel="0" collapsed="false">
      <c r="A16" s="50"/>
      <c r="B16" s="50"/>
      <c r="C16" s="59" t="str">
        <f aca="false">IF(B16="","",IFERROR(INDEX(INV_NAME,MATCH(B16,INV_ID,0)),"CHECK: Supplier ID not found"))</f>
        <v/>
      </c>
      <c r="D16" s="50"/>
      <c r="E16" s="50"/>
      <c r="F16" s="50"/>
      <c r="G16" s="34"/>
      <c r="H16" s="34"/>
      <c r="I16" s="34"/>
      <c r="J16" s="34"/>
      <c r="K16" s="34"/>
      <c r="L16" s="50"/>
      <c r="M16" s="34"/>
      <c r="N16" s="34"/>
      <c r="O16" s="34"/>
      <c r="P16" s="51"/>
      <c r="Q16" s="51"/>
      <c r="R16" s="51"/>
      <c r="S16" s="34"/>
      <c r="T16" s="34"/>
      <c r="U16" s="52" t="str">
        <f aca="false">IF(A16="","",IF(OR(O16="Closed - verified",O16="Withdrawn"),"Closed","Active"))</f>
        <v/>
      </c>
      <c r="V16" s="52" t="str">
        <f aca="false">IF(A16="","",IF(AND(OR(O16="",O16="Open",O16="In remediation",O16="Remediated - pending verification"),ISNUMBER(Q16),Q16&lt;AsOf),"Overdue",""))</f>
        <v/>
      </c>
      <c r="W16" s="62" t="str">
        <f aca="false">IF(A16="","",COUNTIF(TRT_FND,A16))</f>
        <v/>
      </c>
      <c r="X16" s="54" t="str">
        <f aca="false">IF(A16="","",IF(COUNTIF(FND_ID,A16)&gt;1,"CHECK: duplicate ID",IF(B16="","CHECK: Supplier ID missing",IF(COUNTIF(INV_ID,B16)=0,"CHECK: Supplier ID not in inventory",IF(AND(D16&lt;&gt;"",COUNTIF(RSK_ID,D16)=0),"CHECK: Risk ID not found",IF(AND(D16&lt;&gt;"",COUNTIF(RSK_ID,D16)&gt;0,IFERROR(INDEX(RSK_SUP,MATCH(D16,RSK_ID,0)),"")&lt;&gt;B16),"CHECK: Risk belongs to a different supplier",IF(AND(O16="Closed - verified",S16=""),"CHECK: closed without verification reference","OK")))))))</f>
        <v/>
      </c>
      <c r="Y16" s="52" t="str">
        <f aca="false">IF(OR(A16="",B16=""),"",IF(AND(U16="Active",B16=RptSup),B16&amp;"|"&amp;COUNTIFS($B$7:B16,B16,$U$7:U16,"Active"),""))</f>
        <v/>
      </c>
    </row>
    <row r="17" customFormat="false" ht="15" hidden="false" customHeight="false" outlineLevel="0" collapsed="false">
      <c r="A17" s="50"/>
      <c r="B17" s="50"/>
      <c r="C17" s="59" t="str">
        <f aca="false">IF(B17="","",IFERROR(INDEX(INV_NAME,MATCH(B17,INV_ID,0)),"CHECK: Supplier ID not found"))</f>
        <v/>
      </c>
      <c r="D17" s="50"/>
      <c r="E17" s="50"/>
      <c r="F17" s="50"/>
      <c r="G17" s="34"/>
      <c r="H17" s="34"/>
      <c r="I17" s="34"/>
      <c r="J17" s="34"/>
      <c r="K17" s="34"/>
      <c r="L17" s="50"/>
      <c r="M17" s="34"/>
      <c r="N17" s="34"/>
      <c r="O17" s="34"/>
      <c r="P17" s="51"/>
      <c r="Q17" s="51"/>
      <c r="R17" s="51"/>
      <c r="S17" s="34"/>
      <c r="T17" s="34"/>
      <c r="U17" s="52" t="str">
        <f aca="false">IF(A17="","",IF(OR(O17="Closed - verified",O17="Withdrawn"),"Closed","Active"))</f>
        <v/>
      </c>
      <c r="V17" s="52" t="str">
        <f aca="false">IF(A17="","",IF(AND(OR(O17="",O17="Open",O17="In remediation",O17="Remediated - pending verification"),ISNUMBER(Q17),Q17&lt;AsOf),"Overdue",""))</f>
        <v/>
      </c>
      <c r="W17" s="62" t="str">
        <f aca="false">IF(A17="","",COUNTIF(TRT_FND,A17))</f>
        <v/>
      </c>
      <c r="X17" s="54" t="str">
        <f aca="false">IF(A17="","",IF(COUNTIF(FND_ID,A17)&gt;1,"CHECK: duplicate ID",IF(B17="","CHECK: Supplier ID missing",IF(COUNTIF(INV_ID,B17)=0,"CHECK: Supplier ID not in inventory",IF(AND(D17&lt;&gt;"",COUNTIF(RSK_ID,D17)=0),"CHECK: Risk ID not found",IF(AND(D17&lt;&gt;"",COUNTIF(RSK_ID,D17)&gt;0,IFERROR(INDEX(RSK_SUP,MATCH(D17,RSK_ID,0)),"")&lt;&gt;B17),"CHECK: Risk belongs to a different supplier",IF(AND(O17="Closed - verified",S17=""),"CHECK: closed without verification reference","OK")))))))</f>
        <v/>
      </c>
      <c r="Y17" s="52" t="str">
        <f aca="false">IF(OR(A17="",B17=""),"",IF(AND(U17="Active",B17=RptSup),B17&amp;"|"&amp;COUNTIFS($B$7:B17,B17,$U$7:U17,"Active"),""))</f>
        <v/>
      </c>
    </row>
    <row r="18" customFormat="false" ht="15" hidden="false" customHeight="false" outlineLevel="0" collapsed="false">
      <c r="A18" s="50"/>
      <c r="B18" s="50"/>
      <c r="C18" s="59" t="str">
        <f aca="false">IF(B18="","",IFERROR(INDEX(INV_NAME,MATCH(B18,INV_ID,0)),"CHECK: Supplier ID not found"))</f>
        <v/>
      </c>
      <c r="D18" s="50"/>
      <c r="E18" s="50"/>
      <c r="F18" s="50"/>
      <c r="G18" s="34"/>
      <c r="H18" s="34"/>
      <c r="I18" s="34"/>
      <c r="J18" s="34"/>
      <c r="K18" s="34"/>
      <c r="L18" s="50"/>
      <c r="M18" s="34"/>
      <c r="N18" s="34"/>
      <c r="O18" s="34"/>
      <c r="P18" s="51"/>
      <c r="Q18" s="51"/>
      <c r="R18" s="51"/>
      <c r="S18" s="34"/>
      <c r="T18" s="34"/>
      <c r="U18" s="52" t="str">
        <f aca="false">IF(A18="","",IF(OR(O18="Closed - verified",O18="Withdrawn"),"Closed","Active"))</f>
        <v/>
      </c>
      <c r="V18" s="52" t="str">
        <f aca="false">IF(A18="","",IF(AND(OR(O18="",O18="Open",O18="In remediation",O18="Remediated - pending verification"),ISNUMBER(Q18),Q18&lt;AsOf),"Overdue",""))</f>
        <v/>
      </c>
      <c r="W18" s="62" t="str">
        <f aca="false">IF(A18="","",COUNTIF(TRT_FND,A18))</f>
        <v/>
      </c>
      <c r="X18" s="54" t="str">
        <f aca="false">IF(A18="","",IF(COUNTIF(FND_ID,A18)&gt;1,"CHECK: duplicate ID",IF(B18="","CHECK: Supplier ID missing",IF(COUNTIF(INV_ID,B18)=0,"CHECK: Supplier ID not in inventory",IF(AND(D18&lt;&gt;"",COUNTIF(RSK_ID,D18)=0),"CHECK: Risk ID not found",IF(AND(D18&lt;&gt;"",COUNTIF(RSK_ID,D18)&gt;0,IFERROR(INDEX(RSK_SUP,MATCH(D18,RSK_ID,0)),"")&lt;&gt;B18),"CHECK: Risk belongs to a different supplier",IF(AND(O18="Closed - verified",S18=""),"CHECK: closed without verification reference","OK")))))))</f>
        <v/>
      </c>
      <c r="Y18" s="52" t="str">
        <f aca="false">IF(OR(A18="",B18=""),"",IF(AND(U18="Active",B18=RptSup),B18&amp;"|"&amp;COUNTIFS($B$7:B18,B18,$U$7:U18,"Active"),""))</f>
        <v/>
      </c>
    </row>
    <row r="19" customFormat="false" ht="15" hidden="false" customHeight="false" outlineLevel="0" collapsed="false">
      <c r="A19" s="50"/>
      <c r="B19" s="50"/>
      <c r="C19" s="59" t="str">
        <f aca="false">IF(B19="","",IFERROR(INDEX(INV_NAME,MATCH(B19,INV_ID,0)),"CHECK: Supplier ID not found"))</f>
        <v/>
      </c>
      <c r="D19" s="50"/>
      <c r="E19" s="50"/>
      <c r="F19" s="50"/>
      <c r="G19" s="34"/>
      <c r="H19" s="34"/>
      <c r="I19" s="34"/>
      <c r="J19" s="34"/>
      <c r="K19" s="34"/>
      <c r="L19" s="50"/>
      <c r="M19" s="34"/>
      <c r="N19" s="34"/>
      <c r="O19" s="34"/>
      <c r="P19" s="51"/>
      <c r="Q19" s="51"/>
      <c r="R19" s="51"/>
      <c r="S19" s="34"/>
      <c r="T19" s="34"/>
      <c r="U19" s="52" t="str">
        <f aca="false">IF(A19="","",IF(OR(O19="Closed - verified",O19="Withdrawn"),"Closed","Active"))</f>
        <v/>
      </c>
      <c r="V19" s="52" t="str">
        <f aca="false">IF(A19="","",IF(AND(OR(O19="",O19="Open",O19="In remediation",O19="Remediated - pending verification"),ISNUMBER(Q19),Q19&lt;AsOf),"Overdue",""))</f>
        <v/>
      </c>
      <c r="W19" s="62" t="str">
        <f aca="false">IF(A19="","",COUNTIF(TRT_FND,A19))</f>
        <v/>
      </c>
      <c r="X19" s="54" t="str">
        <f aca="false">IF(A19="","",IF(COUNTIF(FND_ID,A19)&gt;1,"CHECK: duplicate ID",IF(B19="","CHECK: Supplier ID missing",IF(COUNTIF(INV_ID,B19)=0,"CHECK: Supplier ID not in inventory",IF(AND(D19&lt;&gt;"",COUNTIF(RSK_ID,D19)=0),"CHECK: Risk ID not found",IF(AND(D19&lt;&gt;"",COUNTIF(RSK_ID,D19)&gt;0,IFERROR(INDEX(RSK_SUP,MATCH(D19,RSK_ID,0)),"")&lt;&gt;B19),"CHECK: Risk belongs to a different supplier",IF(AND(O19="Closed - verified",S19=""),"CHECK: closed without verification reference","OK")))))))</f>
        <v/>
      </c>
      <c r="Y19" s="52" t="str">
        <f aca="false">IF(OR(A19="",B19=""),"",IF(AND(U19="Active",B19=RptSup),B19&amp;"|"&amp;COUNTIFS($B$7:B19,B19,$U$7:U19,"Active"),""))</f>
        <v/>
      </c>
    </row>
    <row r="20" customFormat="false" ht="15" hidden="false" customHeight="false" outlineLevel="0" collapsed="false">
      <c r="A20" s="50"/>
      <c r="B20" s="50"/>
      <c r="C20" s="59" t="str">
        <f aca="false">IF(B20="","",IFERROR(INDEX(INV_NAME,MATCH(B20,INV_ID,0)),"CHECK: Supplier ID not found"))</f>
        <v/>
      </c>
      <c r="D20" s="50"/>
      <c r="E20" s="50"/>
      <c r="F20" s="50"/>
      <c r="G20" s="34"/>
      <c r="H20" s="34"/>
      <c r="I20" s="34"/>
      <c r="J20" s="34"/>
      <c r="K20" s="34"/>
      <c r="L20" s="50"/>
      <c r="M20" s="34"/>
      <c r="N20" s="34"/>
      <c r="O20" s="34"/>
      <c r="P20" s="51"/>
      <c r="Q20" s="51"/>
      <c r="R20" s="51"/>
      <c r="S20" s="34"/>
      <c r="T20" s="34"/>
      <c r="U20" s="52" t="str">
        <f aca="false">IF(A20="","",IF(OR(O20="Closed - verified",O20="Withdrawn"),"Closed","Active"))</f>
        <v/>
      </c>
      <c r="V20" s="52" t="str">
        <f aca="false">IF(A20="","",IF(AND(OR(O20="",O20="Open",O20="In remediation",O20="Remediated - pending verification"),ISNUMBER(Q20),Q20&lt;AsOf),"Overdue",""))</f>
        <v/>
      </c>
      <c r="W20" s="62" t="str">
        <f aca="false">IF(A20="","",COUNTIF(TRT_FND,A20))</f>
        <v/>
      </c>
      <c r="X20" s="54" t="str">
        <f aca="false">IF(A20="","",IF(COUNTIF(FND_ID,A20)&gt;1,"CHECK: duplicate ID",IF(B20="","CHECK: Supplier ID missing",IF(COUNTIF(INV_ID,B20)=0,"CHECK: Supplier ID not in inventory",IF(AND(D20&lt;&gt;"",COUNTIF(RSK_ID,D20)=0),"CHECK: Risk ID not found",IF(AND(D20&lt;&gt;"",COUNTIF(RSK_ID,D20)&gt;0,IFERROR(INDEX(RSK_SUP,MATCH(D20,RSK_ID,0)),"")&lt;&gt;B20),"CHECK: Risk belongs to a different supplier",IF(AND(O20="Closed - verified",S20=""),"CHECK: closed without verification reference","OK")))))))</f>
        <v/>
      </c>
      <c r="Y20" s="52" t="str">
        <f aca="false">IF(OR(A20="",B20=""),"",IF(AND(U20="Active",B20=RptSup),B20&amp;"|"&amp;COUNTIFS($B$7:B20,B20,$U$7:U20,"Active"),""))</f>
        <v/>
      </c>
    </row>
    <row r="21" customFormat="false" ht="15" hidden="false" customHeight="false" outlineLevel="0" collapsed="false">
      <c r="A21" s="50"/>
      <c r="B21" s="50"/>
      <c r="C21" s="59" t="str">
        <f aca="false">IF(B21="","",IFERROR(INDEX(INV_NAME,MATCH(B21,INV_ID,0)),"CHECK: Supplier ID not found"))</f>
        <v/>
      </c>
      <c r="D21" s="50"/>
      <c r="E21" s="50"/>
      <c r="F21" s="50"/>
      <c r="G21" s="34"/>
      <c r="H21" s="34"/>
      <c r="I21" s="34"/>
      <c r="J21" s="34"/>
      <c r="K21" s="34"/>
      <c r="L21" s="50"/>
      <c r="M21" s="34"/>
      <c r="N21" s="34"/>
      <c r="O21" s="34"/>
      <c r="P21" s="51"/>
      <c r="Q21" s="51"/>
      <c r="R21" s="51"/>
      <c r="S21" s="34"/>
      <c r="T21" s="34"/>
      <c r="U21" s="52" t="str">
        <f aca="false">IF(A21="","",IF(OR(O21="Closed - verified",O21="Withdrawn"),"Closed","Active"))</f>
        <v/>
      </c>
      <c r="V21" s="52" t="str">
        <f aca="false">IF(A21="","",IF(AND(OR(O21="",O21="Open",O21="In remediation",O21="Remediated - pending verification"),ISNUMBER(Q21),Q21&lt;AsOf),"Overdue",""))</f>
        <v/>
      </c>
      <c r="W21" s="62" t="str">
        <f aca="false">IF(A21="","",COUNTIF(TRT_FND,A21))</f>
        <v/>
      </c>
      <c r="X21" s="54" t="str">
        <f aca="false">IF(A21="","",IF(COUNTIF(FND_ID,A21)&gt;1,"CHECK: duplicate ID",IF(B21="","CHECK: Supplier ID missing",IF(COUNTIF(INV_ID,B21)=0,"CHECK: Supplier ID not in inventory",IF(AND(D21&lt;&gt;"",COUNTIF(RSK_ID,D21)=0),"CHECK: Risk ID not found",IF(AND(D21&lt;&gt;"",COUNTIF(RSK_ID,D21)&gt;0,IFERROR(INDEX(RSK_SUP,MATCH(D21,RSK_ID,0)),"")&lt;&gt;B21),"CHECK: Risk belongs to a different supplier",IF(AND(O21="Closed - verified",S21=""),"CHECK: closed without verification reference","OK")))))))</f>
        <v/>
      </c>
      <c r="Y21" s="52" t="str">
        <f aca="false">IF(OR(A21="",B21=""),"",IF(AND(U21="Active",B21=RptSup),B21&amp;"|"&amp;COUNTIFS($B$7:B21,B21,$U$7:U21,"Active"),""))</f>
        <v/>
      </c>
    </row>
    <row r="22" customFormat="false" ht="15" hidden="false" customHeight="false" outlineLevel="0" collapsed="false">
      <c r="A22" s="50"/>
      <c r="B22" s="50"/>
      <c r="C22" s="59" t="str">
        <f aca="false">IF(B22="","",IFERROR(INDEX(INV_NAME,MATCH(B22,INV_ID,0)),"CHECK: Supplier ID not found"))</f>
        <v/>
      </c>
      <c r="D22" s="50"/>
      <c r="E22" s="50"/>
      <c r="F22" s="50"/>
      <c r="G22" s="34"/>
      <c r="H22" s="34"/>
      <c r="I22" s="34"/>
      <c r="J22" s="34"/>
      <c r="K22" s="34"/>
      <c r="L22" s="50"/>
      <c r="M22" s="34"/>
      <c r="N22" s="34"/>
      <c r="O22" s="34"/>
      <c r="P22" s="51"/>
      <c r="Q22" s="51"/>
      <c r="R22" s="51"/>
      <c r="S22" s="34"/>
      <c r="T22" s="34"/>
      <c r="U22" s="52" t="str">
        <f aca="false">IF(A22="","",IF(OR(O22="Closed - verified",O22="Withdrawn"),"Closed","Active"))</f>
        <v/>
      </c>
      <c r="V22" s="52" t="str">
        <f aca="false">IF(A22="","",IF(AND(OR(O22="",O22="Open",O22="In remediation",O22="Remediated - pending verification"),ISNUMBER(Q22),Q22&lt;AsOf),"Overdue",""))</f>
        <v/>
      </c>
      <c r="W22" s="62" t="str">
        <f aca="false">IF(A22="","",COUNTIF(TRT_FND,A22))</f>
        <v/>
      </c>
      <c r="X22" s="54" t="str">
        <f aca="false">IF(A22="","",IF(COUNTIF(FND_ID,A22)&gt;1,"CHECK: duplicate ID",IF(B22="","CHECK: Supplier ID missing",IF(COUNTIF(INV_ID,B22)=0,"CHECK: Supplier ID not in inventory",IF(AND(D22&lt;&gt;"",COUNTIF(RSK_ID,D22)=0),"CHECK: Risk ID not found",IF(AND(D22&lt;&gt;"",COUNTIF(RSK_ID,D22)&gt;0,IFERROR(INDEX(RSK_SUP,MATCH(D22,RSK_ID,0)),"")&lt;&gt;B22),"CHECK: Risk belongs to a different supplier",IF(AND(O22="Closed - verified",S22=""),"CHECK: closed without verification reference","OK")))))))</f>
        <v/>
      </c>
      <c r="Y22" s="52" t="str">
        <f aca="false">IF(OR(A22="",B22=""),"",IF(AND(U22="Active",B22=RptSup),B22&amp;"|"&amp;COUNTIFS($B$7:B22,B22,$U$7:U22,"Active"),""))</f>
        <v/>
      </c>
    </row>
    <row r="23" customFormat="false" ht="15" hidden="false" customHeight="false" outlineLevel="0" collapsed="false">
      <c r="A23" s="50"/>
      <c r="B23" s="50"/>
      <c r="C23" s="59" t="str">
        <f aca="false">IF(B23="","",IFERROR(INDEX(INV_NAME,MATCH(B23,INV_ID,0)),"CHECK: Supplier ID not found"))</f>
        <v/>
      </c>
      <c r="D23" s="50"/>
      <c r="E23" s="50"/>
      <c r="F23" s="50"/>
      <c r="G23" s="34"/>
      <c r="H23" s="34"/>
      <c r="I23" s="34"/>
      <c r="J23" s="34"/>
      <c r="K23" s="34"/>
      <c r="L23" s="50"/>
      <c r="M23" s="34"/>
      <c r="N23" s="34"/>
      <c r="O23" s="34"/>
      <c r="P23" s="51"/>
      <c r="Q23" s="51"/>
      <c r="R23" s="51"/>
      <c r="S23" s="34"/>
      <c r="T23" s="34"/>
      <c r="U23" s="52" t="str">
        <f aca="false">IF(A23="","",IF(OR(O23="Closed - verified",O23="Withdrawn"),"Closed","Active"))</f>
        <v/>
      </c>
      <c r="V23" s="52" t="str">
        <f aca="false">IF(A23="","",IF(AND(OR(O23="",O23="Open",O23="In remediation",O23="Remediated - pending verification"),ISNUMBER(Q23),Q23&lt;AsOf),"Overdue",""))</f>
        <v/>
      </c>
      <c r="W23" s="62" t="str">
        <f aca="false">IF(A23="","",COUNTIF(TRT_FND,A23))</f>
        <v/>
      </c>
      <c r="X23" s="54" t="str">
        <f aca="false">IF(A23="","",IF(COUNTIF(FND_ID,A23)&gt;1,"CHECK: duplicate ID",IF(B23="","CHECK: Supplier ID missing",IF(COUNTIF(INV_ID,B23)=0,"CHECK: Supplier ID not in inventory",IF(AND(D23&lt;&gt;"",COUNTIF(RSK_ID,D23)=0),"CHECK: Risk ID not found",IF(AND(D23&lt;&gt;"",COUNTIF(RSK_ID,D23)&gt;0,IFERROR(INDEX(RSK_SUP,MATCH(D23,RSK_ID,0)),"")&lt;&gt;B23),"CHECK: Risk belongs to a different supplier",IF(AND(O23="Closed - verified",S23=""),"CHECK: closed without verification reference","OK")))))))</f>
        <v/>
      </c>
      <c r="Y23" s="52" t="str">
        <f aca="false">IF(OR(A23="",B23=""),"",IF(AND(U23="Active",B23=RptSup),B23&amp;"|"&amp;COUNTIFS($B$7:B23,B23,$U$7:U23,"Active"),""))</f>
        <v/>
      </c>
    </row>
    <row r="24" customFormat="false" ht="15" hidden="false" customHeight="false" outlineLevel="0" collapsed="false">
      <c r="A24" s="50"/>
      <c r="B24" s="50"/>
      <c r="C24" s="59" t="str">
        <f aca="false">IF(B24="","",IFERROR(INDEX(INV_NAME,MATCH(B24,INV_ID,0)),"CHECK: Supplier ID not found"))</f>
        <v/>
      </c>
      <c r="D24" s="50"/>
      <c r="E24" s="50"/>
      <c r="F24" s="50"/>
      <c r="G24" s="34"/>
      <c r="H24" s="34"/>
      <c r="I24" s="34"/>
      <c r="J24" s="34"/>
      <c r="K24" s="34"/>
      <c r="L24" s="50"/>
      <c r="M24" s="34"/>
      <c r="N24" s="34"/>
      <c r="O24" s="34"/>
      <c r="P24" s="51"/>
      <c r="Q24" s="51"/>
      <c r="R24" s="51"/>
      <c r="S24" s="34"/>
      <c r="T24" s="34"/>
      <c r="U24" s="52" t="str">
        <f aca="false">IF(A24="","",IF(OR(O24="Closed - verified",O24="Withdrawn"),"Closed","Active"))</f>
        <v/>
      </c>
      <c r="V24" s="52" t="str">
        <f aca="false">IF(A24="","",IF(AND(OR(O24="",O24="Open",O24="In remediation",O24="Remediated - pending verification"),ISNUMBER(Q24),Q24&lt;AsOf),"Overdue",""))</f>
        <v/>
      </c>
      <c r="W24" s="62" t="str">
        <f aca="false">IF(A24="","",COUNTIF(TRT_FND,A24))</f>
        <v/>
      </c>
      <c r="X24" s="54" t="str">
        <f aca="false">IF(A24="","",IF(COUNTIF(FND_ID,A24)&gt;1,"CHECK: duplicate ID",IF(B24="","CHECK: Supplier ID missing",IF(COUNTIF(INV_ID,B24)=0,"CHECK: Supplier ID not in inventory",IF(AND(D24&lt;&gt;"",COUNTIF(RSK_ID,D24)=0),"CHECK: Risk ID not found",IF(AND(D24&lt;&gt;"",COUNTIF(RSK_ID,D24)&gt;0,IFERROR(INDEX(RSK_SUP,MATCH(D24,RSK_ID,0)),"")&lt;&gt;B24),"CHECK: Risk belongs to a different supplier",IF(AND(O24="Closed - verified",S24=""),"CHECK: closed without verification reference","OK")))))))</f>
        <v/>
      </c>
      <c r="Y24" s="52" t="str">
        <f aca="false">IF(OR(A24="",B24=""),"",IF(AND(U24="Active",B24=RptSup),B24&amp;"|"&amp;COUNTIFS($B$7:B24,B24,$U$7:U24,"Active"),""))</f>
        <v/>
      </c>
    </row>
    <row r="25" customFormat="false" ht="15" hidden="false" customHeight="false" outlineLevel="0" collapsed="false">
      <c r="A25" s="50"/>
      <c r="B25" s="50"/>
      <c r="C25" s="59" t="str">
        <f aca="false">IF(B25="","",IFERROR(INDEX(INV_NAME,MATCH(B25,INV_ID,0)),"CHECK: Supplier ID not found"))</f>
        <v/>
      </c>
      <c r="D25" s="50"/>
      <c r="E25" s="50"/>
      <c r="F25" s="50"/>
      <c r="G25" s="34"/>
      <c r="H25" s="34"/>
      <c r="I25" s="34"/>
      <c r="J25" s="34"/>
      <c r="K25" s="34"/>
      <c r="L25" s="50"/>
      <c r="M25" s="34"/>
      <c r="N25" s="34"/>
      <c r="O25" s="34"/>
      <c r="P25" s="51"/>
      <c r="Q25" s="51"/>
      <c r="R25" s="51"/>
      <c r="S25" s="34"/>
      <c r="T25" s="34"/>
      <c r="U25" s="52" t="str">
        <f aca="false">IF(A25="","",IF(OR(O25="Closed - verified",O25="Withdrawn"),"Closed","Active"))</f>
        <v/>
      </c>
      <c r="V25" s="52" t="str">
        <f aca="false">IF(A25="","",IF(AND(OR(O25="",O25="Open",O25="In remediation",O25="Remediated - pending verification"),ISNUMBER(Q25),Q25&lt;AsOf),"Overdue",""))</f>
        <v/>
      </c>
      <c r="W25" s="62" t="str">
        <f aca="false">IF(A25="","",COUNTIF(TRT_FND,A25))</f>
        <v/>
      </c>
      <c r="X25" s="54" t="str">
        <f aca="false">IF(A25="","",IF(COUNTIF(FND_ID,A25)&gt;1,"CHECK: duplicate ID",IF(B25="","CHECK: Supplier ID missing",IF(COUNTIF(INV_ID,B25)=0,"CHECK: Supplier ID not in inventory",IF(AND(D25&lt;&gt;"",COUNTIF(RSK_ID,D25)=0),"CHECK: Risk ID not found",IF(AND(D25&lt;&gt;"",COUNTIF(RSK_ID,D25)&gt;0,IFERROR(INDEX(RSK_SUP,MATCH(D25,RSK_ID,0)),"")&lt;&gt;B25),"CHECK: Risk belongs to a different supplier",IF(AND(O25="Closed - verified",S25=""),"CHECK: closed without verification reference","OK")))))))</f>
        <v/>
      </c>
      <c r="Y25" s="52" t="str">
        <f aca="false">IF(OR(A25="",B25=""),"",IF(AND(U25="Active",B25=RptSup),B25&amp;"|"&amp;COUNTIFS($B$7:B25,B25,$U$7:U25,"Active"),""))</f>
        <v/>
      </c>
    </row>
    <row r="26" customFormat="false" ht="15" hidden="false" customHeight="false" outlineLevel="0" collapsed="false">
      <c r="A26" s="50"/>
      <c r="B26" s="50"/>
      <c r="C26" s="59" t="str">
        <f aca="false">IF(B26="","",IFERROR(INDEX(INV_NAME,MATCH(B26,INV_ID,0)),"CHECK: Supplier ID not found"))</f>
        <v/>
      </c>
      <c r="D26" s="50"/>
      <c r="E26" s="50"/>
      <c r="F26" s="50"/>
      <c r="G26" s="34"/>
      <c r="H26" s="34"/>
      <c r="I26" s="34"/>
      <c r="J26" s="34"/>
      <c r="K26" s="34"/>
      <c r="L26" s="50"/>
      <c r="M26" s="34"/>
      <c r="N26" s="34"/>
      <c r="O26" s="34"/>
      <c r="P26" s="51"/>
      <c r="Q26" s="51"/>
      <c r="R26" s="51"/>
      <c r="S26" s="34"/>
      <c r="T26" s="34"/>
      <c r="U26" s="52" t="str">
        <f aca="false">IF(A26="","",IF(OR(O26="Closed - verified",O26="Withdrawn"),"Closed","Active"))</f>
        <v/>
      </c>
      <c r="V26" s="52" t="str">
        <f aca="false">IF(A26="","",IF(AND(OR(O26="",O26="Open",O26="In remediation",O26="Remediated - pending verification"),ISNUMBER(Q26),Q26&lt;AsOf),"Overdue",""))</f>
        <v/>
      </c>
      <c r="W26" s="62" t="str">
        <f aca="false">IF(A26="","",COUNTIF(TRT_FND,A26))</f>
        <v/>
      </c>
      <c r="X26" s="54" t="str">
        <f aca="false">IF(A26="","",IF(COUNTIF(FND_ID,A26)&gt;1,"CHECK: duplicate ID",IF(B26="","CHECK: Supplier ID missing",IF(COUNTIF(INV_ID,B26)=0,"CHECK: Supplier ID not in inventory",IF(AND(D26&lt;&gt;"",COUNTIF(RSK_ID,D26)=0),"CHECK: Risk ID not found",IF(AND(D26&lt;&gt;"",COUNTIF(RSK_ID,D26)&gt;0,IFERROR(INDEX(RSK_SUP,MATCH(D26,RSK_ID,0)),"")&lt;&gt;B26),"CHECK: Risk belongs to a different supplier",IF(AND(O26="Closed - verified",S26=""),"CHECK: closed without verification reference","OK")))))))</f>
        <v/>
      </c>
      <c r="Y26" s="52" t="str">
        <f aca="false">IF(OR(A26="",B26=""),"",IF(AND(U26="Active",B26=RptSup),B26&amp;"|"&amp;COUNTIFS($B$7:B26,B26,$U$7:U26,"Active"),""))</f>
        <v/>
      </c>
    </row>
    <row r="27" customFormat="false" ht="15" hidden="false" customHeight="false" outlineLevel="0" collapsed="false">
      <c r="A27" s="50"/>
      <c r="B27" s="50"/>
      <c r="C27" s="59" t="str">
        <f aca="false">IF(B27="","",IFERROR(INDEX(INV_NAME,MATCH(B27,INV_ID,0)),"CHECK: Supplier ID not found"))</f>
        <v/>
      </c>
      <c r="D27" s="50"/>
      <c r="E27" s="50"/>
      <c r="F27" s="50"/>
      <c r="G27" s="34"/>
      <c r="H27" s="34"/>
      <c r="I27" s="34"/>
      <c r="J27" s="34"/>
      <c r="K27" s="34"/>
      <c r="L27" s="50"/>
      <c r="M27" s="34"/>
      <c r="N27" s="34"/>
      <c r="O27" s="34"/>
      <c r="P27" s="51"/>
      <c r="Q27" s="51"/>
      <c r="R27" s="51"/>
      <c r="S27" s="34"/>
      <c r="T27" s="34"/>
      <c r="U27" s="52" t="str">
        <f aca="false">IF(A27="","",IF(OR(O27="Closed - verified",O27="Withdrawn"),"Closed","Active"))</f>
        <v/>
      </c>
      <c r="V27" s="52" t="str">
        <f aca="false">IF(A27="","",IF(AND(OR(O27="",O27="Open",O27="In remediation",O27="Remediated - pending verification"),ISNUMBER(Q27),Q27&lt;AsOf),"Overdue",""))</f>
        <v/>
      </c>
      <c r="W27" s="62" t="str">
        <f aca="false">IF(A27="","",COUNTIF(TRT_FND,A27))</f>
        <v/>
      </c>
      <c r="X27" s="54" t="str">
        <f aca="false">IF(A27="","",IF(COUNTIF(FND_ID,A27)&gt;1,"CHECK: duplicate ID",IF(B27="","CHECK: Supplier ID missing",IF(COUNTIF(INV_ID,B27)=0,"CHECK: Supplier ID not in inventory",IF(AND(D27&lt;&gt;"",COUNTIF(RSK_ID,D27)=0),"CHECK: Risk ID not found",IF(AND(D27&lt;&gt;"",COUNTIF(RSK_ID,D27)&gt;0,IFERROR(INDEX(RSK_SUP,MATCH(D27,RSK_ID,0)),"")&lt;&gt;B27),"CHECK: Risk belongs to a different supplier",IF(AND(O27="Closed - verified",S27=""),"CHECK: closed without verification reference","OK")))))))</f>
        <v/>
      </c>
      <c r="Y27" s="52" t="str">
        <f aca="false">IF(OR(A27="",B27=""),"",IF(AND(U27="Active",B27=RptSup),B27&amp;"|"&amp;COUNTIFS($B$7:B27,B27,$U$7:U27,"Active"),""))</f>
        <v/>
      </c>
    </row>
    <row r="28" customFormat="false" ht="15" hidden="false" customHeight="false" outlineLevel="0" collapsed="false">
      <c r="A28" s="50"/>
      <c r="B28" s="50"/>
      <c r="C28" s="59" t="str">
        <f aca="false">IF(B28="","",IFERROR(INDEX(INV_NAME,MATCH(B28,INV_ID,0)),"CHECK: Supplier ID not found"))</f>
        <v/>
      </c>
      <c r="D28" s="50"/>
      <c r="E28" s="50"/>
      <c r="F28" s="50"/>
      <c r="G28" s="34"/>
      <c r="H28" s="34"/>
      <c r="I28" s="34"/>
      <c r="J28" s="34"/>
      <c r="K28" s="34"/>
      <c r="L28" s="50"/>
      <c r="M28" s="34"/>
      <c r="N28" s="34"/>
      <c r="O28" s="34"/>
      <c r="P28" s="51"/>
      <c r="Q28" s="51"/>
      <c r="R28" s="51"/>
      <c r="S28" s="34"/>
      <c r="T28" s="34"/>
      <c r="U28" s="52" t="str">
        <f aca="false">IF(A28="","",IF(OR(O28="Closed - verified",O28="Withdrawn"),"Closed","Active"))</f>
        <v/>
      </c>
      <c r="V28" s="52" t="str">
        <f aca="false">IF(A28="","",IF(AND(OR(O28="",O28="Open",O28="In remediation",O28="Remediated - pending verification"),ISNUMBER(Q28),Q28&lt;AsOf),"Overdue",""))</f>
        <v/>
      </c>
      <c r="W28" s="62" t="str">
        <f aca="false">IF(A28="","",COUNTIF(TRT_FND,A28))</f>
        <v/>
      </c>
      <c r="X28" s="54" t="str">
        <f aca="false">IF(A28="","",IF(COUNTIF(FND_ID,A28)&gt;1,"CHECK: duplicate ID",IF(B28="","CHECK: Supplier ID missing",IF(COUNTIF(INV_ID,B28)=0,"CHECK: Supplier ID not in inventory",IF(AND(D28&lt;&gt;"",COUNTIF(RSK_ID,D28)=0),"CHECK: Risk ID not found",IF(AND(D28&lt;&gt;"",COUNTIF(RSK_ID,D28)&gt;0,IFERROR(INDEX(RSK_SUP,MATCH(D28,RSK_ID,0)),"")&lt;&gt;B28),"CHECK: Risk belongs to a different supplier",IF(AND(O28="Closed - verified",S28=""),"CHECK: closed without verification reference","OK")))))))</f>
        <v/>
      </c>
      <c r="Y28" s="52" t="str">
        <f aca="false">IF(OR(A28="",B28=""),"",IF(AND(U28="Active",B28=RptSup),B28&amp;"|"&amp;COUNTIFS($B$7:B28,B28,$U$7:U28,"Active"),""))</f>
        <v/>
      </c>
    </row>
    <row r="29" customFormat="false" ht="15" hidden="false" customHeight="false" outlineLevel="0" collapsed="false">
      <c r="A29" s="50"/>
      <c r="B29" s="50"/>
      <c r="C29" s="59" t="str">
        <f aca="false">IF(B29="","",IFERROR(INDEX(INV_NAME,MATCH(B29,INV_ID,0)),"CHECK: Supplier ID not found"))</f>
        <v/>
      </c>
      <c r="D29" s="50"/>
      <c r="E29" s="50"/>
      <c r="F29" s="50"/>
      <c r="G29" s="34"/>
      <c r="H29" s="34"/>
      <c r="I29" s="34"/>
      <c r="J29" s="34"/>
      <c r="K29" s="34"/>
      <c r="L29" s="50"/>
      <c r="M29" s="34"/>
      <c r="N29" s="34"/>
      <c r="O29" s="34"/>
      <c r="P29" s="51"/>
      <c r="Q29" s="51"/>
      <c r="R29" s="51"/>
      <c r="S29" s="34"/>
      <c r="T29" s="34"/>
      <c r="U29" s="52" t="str">
        <f aca="false">IF(A29="","",IF(OR(O29="Closed - verified",O29="Withdrawn"),"Closed","Active"))</f>
        <v/>
      </c>
      <c r="V29" s="52" t="str">
        <f aca="false">IF(A29="","",IF(AND(OR(O29="",O29="Open",O29="In remediation",O29="Remediated - pending verification"),ISNUMBER(Q29),Q29&lt;AsOf),"Overdue",""))</f>
        <v/>
      </c>
      <c r="W29" s="62" t="str">
        <f aca="false">IF(A29="","",COUNTIF(TRT_FND,A29))</f>
        <v/>
      </c>
      <c r="X29" s="54" t="str">
        <f aca="false">IF(A29="","",IF(COUNTIF(FND_ID,A29)&gt;1,"CHECK: duplicate ID",IF(B29="","CHECK: Supplier ID missing",IF(COUNTIF(INV_ID,B29)=0,"CHECK: Supplier ID not in inventory",IF(AND(D29&lt;&gt;"",COUNTIF(RSK_ID,D29)=0),"CHECK: Risk ID not found",IF(AND(D29&lt;&gt;"",COUNTIF(RSK_ID,D29)&gt;0,IFERROR(INDEX(RSK_SUP,MATCH(D29,RSK_ID,0)),"")&lt;&gt;B29),"CHECK: Risk belongs to a different supplier",IF(AND(O29="Closed - verified",S29=""),"CHECK: closed without verification reference","OK")))))))</f>
        <v/>
      </c>
      <c r="Y29" s="52" t="str">
        <f aca="false">IF(OR(A29="",B29=""),"",IF(AND(U29="Active",B29=RptSup),B29&amp;"|"&amp;COUNTIFS($B$7:B29,B29,$U$7:U29,"Active"),""))</f>
        <v/>
      </c>
    </row>
    <row r="30" customFormat="false" ht="15" hidden="false" customHeight="false" outlineLevel="0" collapsed="false">
      <c r="A30" s="50"/>
      <c r="B30" s="50"/>
      <c r="C30" s="59" t="str">
        <f aca="false">IF(B30="","",IFERROR(INDEX(INV_NAME,MATCH(B30,INV_ID,0)),"CHECK: Supplier ID not found"))</f>
        <v/>
      </c>
      <c r="D30" s="50"/>
      <c r="E30" s="50"/>
      <c r="F30" s="50"/>
      <c r="G30" s="34"/>
      <c r="H30" s="34"/>
      <c r="I30" s="34"/>
      <c r="J30" s="34"/>
      <c r="K30" s="34"/>
      <c r="L30" s="50"/>
      <c r="M30" s="34"/>
      <c r="N30" s="34"/>
      <c r="O30" s="34"/>
      <c r="P30" s="51"/>
      <c r="Q30" s="51"/>
      <c r="R30" s="51"/>
      <c r="S30" s="34"/>
      <c r="T30" s="34"/>
      <c r="U30" s="52" t="str">
        <f aca="false">IF(A30="","",IF(OR(O30="Closed - verified",O30="Withdrawn"),"Closed","Active"))</f>
        <v/>
      </c>
      <c r="V30" s="52" t="str">
        <f aca="false">IF(A30="","",IF(AND(OR(O30="",O30="Open",O30="In remediation",O30="Remediated - pending verification"),ISNUMBER(Q30),Q30&lt;AsOf),"Overdue",""))</f>
        <v/>
      </c>
      <c r="W30" s="62" t="str">
        <f aca="false">IF(A30="","",COUNTIF(TRT_FND,A30))</f>
        <v/>
      </c>
      <c r="X30" s="54" t="str">
        <f aca="false">IF(A30="","",IF(COUNTIF(FND_ID,A30)&gt;1,"CHECK: duplicate ID",IF(B30="","CHECK: Supplier ID missing",IF(COUNTIF(INV_ID,B30)=0,"CHECK: Supplier ID not in inventory",IF(AND(D30&lt;&gt;"",COUNTIF(RSK_ID,D30)=0),"CHECK: Risk ID not found",IF(AND(D30&lt;&gt;"",COUNTIF(RSK_ID,D30)&gt;0,IFERROR(INDEX(RSK_SUP,MATCH(D30,RSK_ID,0)),"")&lt;&gt;B30),"CHECK: Risk belongs to a different supplier",IF(AND(O30="Closed - verified",S30=""),"CHECK: closed without verification reference","OK")))))))</f>
        <v/>
      </c>
      <c r="Y30" s="52" t="str">
        <f aca="false">IF(OR(A30="",B30=""),"",IF(AND(U30="Active",B30=RptSup),B30&amp;"|"&amp;COUNTIFS($B$7:B30,B30,$U$7:U30,"Active"),""))</f>
        <v/>
      </c>
    </row>
    <row r="31" customFormat="false" ht="15" hidden="false" customHeight="false" outlineLevel="0" collapsed="false">
      <c r="A31" s="50"/>
      <c r="B31" s="50"/>
      <c r="C31" s="59" t="str">
        <f aca="false">IF(B31="","",IFERROR(INDEX(INV_NAME,MATCH(B31,INV_ID,0)),"CHECK: Supplier ID not found"))</f>
        <v/>
      </c>
      <c r="D31" s="50"/>
      <c r="E31" s="50"/>
      <c r="F31" s="50"/>
      <c r="G31" s="34"/>
      <c r="H31" s="34"/>
      <c r="I31" s="34"/>
      <c r="J31" s="34"/>
      <c r="K31" s="34"/>
      <c r="L31" s="50"/>
      <c r="M31" s="34"/>
      <c r="N31" s="34"/>
      <c r="O31" s="34"/>
      <c r="P31" s="51"/>
      <c r="Q31" s="51"/>
      <c r="R31" s="51"/>
      <c r="S31" s="34"/>
      <c r="T31" s="34"/>
      <c r="U31" s="52" t="str">
        <f aca="false">IF(A31="","",IF(OR(O31="Closed - verified",O31="Withdrawn"),"Closed","Active"))</f>
        <v/>
      </c>
      <c r="V31" s="52" t="str">
        <f aca="false">IF(A31="","",IF(AND(OR(O31="",O31="Open",O31="In remediation",O31="Remediated - pending verification"),ISNUMBER(Q31),Q31&lt;AsOf),"Overdue",""))</f>
        <v/>
      </c>
      <c r="W31" s="62" t="str">
        <f aca="false">IF(A31="","",COUNTIF(TRT_FND,A31))</f>
        <v/>
      </c>
      <c r="X31" s="54" t="str">
        <f aca="false">IF(A31="","",IF(COUNTIF(FND_ID,A31)&gt;1,"CHECK: duplicate ID",IF(B31="","CHECK: Supplier ID missing",IF(COUNTIF(INV_ID,B31)=0,"CHECK: Supplier ID not in inventory",IF(AND(D31&lt;&gt;"",COUNTIF(RSK_ID,D31)=0),"CHECK: Risk ID not found",IF(AND(D31&lt;&gt;"",COUNTIF(RSK_ID,D31)&gt;0,IFERROR(INDEX(RSK_SUP,MATCH(D31,RSK_ID,0)),"")&lt;&gt;B31),"CHECK: Risk belongs to a different supplier",IF(AND(O31="Closed - verified",S31=""),"CHECK: closed without verification reference","OK")))))))</f>
        <v/>
      </c>
      <c r="Y31" s="52" t="str">
        <f aca="false">IF(OR(A31="",B31=""),"",IF(AND(U31="Active",B31=RptSup),B31&amp;"|"&amp;COUNTIFS($B$7:B31,B31,$U$7:U31,"Active"),""))</f>
        <v/>
      </c>
    </row>
    <row r="32" customFormat="false" ht="15" hidden="false" customHeight="false" outlineLevel="0" collapsed="false">
      <c r="A32" s="50"/>
      <c r="B32" s="50"/>
      <c r="C32" s="59" t="str">
        <f aca="false">IF(B32="","",IFERROR(INDEX(INV_NAME,MATCH(B32,INV_ID,0)),"CHECK: Supplier ID not found"))</f>
        <v/>
      </c>
      <c r="D32" s="50"/>
      <c r="E32" s="50"/>
      <c r="F32" s="50"/>
      <c r="G32" s="34"/>
      <c r="H32" s="34"/>
      <c r="I32" s="34"/>
      <c r="J32" s="34"/>
      <c r="K32" s="34"/>
      <c r="L32" s="50"/>
      <c r="M32" s="34"/>
      <c r="N32" s="34"/>
      <c r="O32" s="34"/>
      <c r="P32" s="51"/>
      <c r="Q32" s="51"/>
      <c r="R32" s="51"/>
      <c r="S32" s="34"/>
      <c r="T32" s="34"/>
      <c r="U32" s="52" t="str">
        <f aca="false">IF(A32="","",IF(OR(O32="Closed - verified",O32="Withdrawn"),"Closed","Active"))</f>
        <v/>
      </c>
      <c r="V32" s="52" t="str">
        <f aca="false">IF(A32="","",IF(AND(OR(O32="",O32="Open",O32="In remediation",O32="Remediated - pending verification"),ISNUMBER(Q32),Q32&lt;AsOf),"Overdue",""))</f>
        <v/>
      </c>
      <c r="W32" s="62" t="str">
        <f aca="false">IF(A32="","",COUNTIF(TRT_FND,A32))</f>
        <v/>
      </c>
      <c r="X32" s="54" t="str">
        <f aca="false">IF(A32="","",IF(COUNTIF(FND_ID,A32)&gt;1,"CHECK: duplicate ID",IF(B32="","CHECK: Supplier ID missing",IF(COUNTIF(INV_ID,B32)=0,"CHECK: Supplier ID not in inventory",IF(AND(D32&lt;&gt;"",COUNTIF(RSK_ID,D32)=0),"CHECK: Risk ID not found",IF(AND(D32&lt;&gt;"",COUNTIF(RSK_ID,D32)&gt;0,IFERROR(INDEX(RSK_SUP,MATCH(D32,RSK_ID,0)),"")&lt;&gt;B32),"CHECK: Risk belongs to a different supplier",IF(AND(O32="Closed - verified",S32=""),"CHECK: closed without verification reference","OK")))))))</f>
        <v/>
      </c>
      <c r="Y32" s="52" t="str">
        <f aca="false">IF(OR(A32="",B32=""),"",IF(AND(U32="Active",B32=RptSup),B32&amp;"|"&amp;COUNTIFS($B$7:B32,B32,$U$7:U32,"Active"),""))</f>
        <v/>
      </c>
    </row>
    <row r="33" customFormat="false" ht="15" hidden="false" customHeight="false" outlineLevel="0" collapsed="false">
      <c r="A33" s="50"/>
      <c r="B33" s="50"/>
      <c r="C33" s="59" t="str">
        <f aca="false">IF(B33="","",IFERROR(INDEX(INV_NAME,MATCH(B33,INV_ID,0)),"CHECK: Supplier ID not found"))</f>
        <v/>
      </c>
      <c r="D33" s="50"/>
      <c r="E33" s="50"/>
      <c r="F33" s="50"/>
      <c r="G33" s="34"/>
      <c r="H33" s="34"/>
      <c r="I33" s="34"/>
      <c r="J33" s="34"/>
      <c r="K33" s="34"/>
      <c r="L33" s="50"/>
      <c r="M33" s="34"/>
      <c r="N33" s="34"/>
      <c r="O33" s="34"/>
      <c r="P33" s="51"/>
      <c r="Q33" s="51"/>
      <c r="R33" s="51"/>
      <c r="S33" s="34"/>
      <c r="T33" s="34"/>
      <c r="U33" s="52" t="str">
        <f aca="false">IF(A33="","",IF(OR(O33="Closed - verified",O33="Withdrawn"),"Closed","Active"))</f>
        <v/>
      </c>
      <c r="V33" s="52" t="str">
        <f aca="false">IF(A33="","",IF(AND(OR(O33="",O33="Open",O33="In remediation",O33="Remediated - pending verification"),ISNUMBER(Q33),Q33&lt;AsOf),"Overdue",""))</f>
        <v/>
      </c>
      <c r="W33" s="62" t="str">
        <f aca="false">IF(A33="","",COUNTIF(TRT_FND,A33))</f>
        <v/>
      </c>
      <c r="X33" s="54" t="str">
        <f aca="false">IF(A33="","",IF(COUNTIF(FND_ID,A33)&gt;1,"CHECK: duplicate ID",IF(B33="","CHECK: Supplier ID missing",IF(COUNTIF(INV_ID,B33)=0,"CHECK: Supplier ID not in inventory",IF(AND(D33&lt;&gt;"",COUNTIF(RSK_ID,D33)=0),"CHECK: Risk ID not found",IF(AND(D33&lt;&gt;"",COUNTIF(RSK_ID,D33)&gt;0,IFERROR(INDEX(RSK_SUP,MATCH(D33,RSK_ID,0)),"")&lt;&gt;B33),"CHECK: Risk belongs to a different supplier",IF(AND(O33="Closed - verified",S33=""),"CHECK: closed without verification reference","OK")))))))</f>
        <v/>
      </c>
      <c r="Y33" s="52" t="str">
        <f aca="false">IF(OR(A33="",B33=""),"",IF(AND(U33="Active",B33=RptSup),B33&amp;"|"&amp;COUNTIFS($B$7:B33,B33,$U$7:U33,"Active"),""))</f>
        <v/>
      </c>
    </row>
    <row r="34" customFormat="false" ht="15" hidden="false" customHeight="false" outlineLevel="0" collapsed="false">
      <c r="A34" s="50"/>
      <c r="B34" s="50"/>
      <c r="C34" s="59" t="str">
        <f aca="false">IF(B34="","",IFERROR(INDEX(INV_NAME,MATCH(B34,INV_ID,0)),"CHECK: Supplier ID not found"))</f>
        <v/>
      </c>
      <c r="D34" s="50"/>
      <c r="E34" s="50"/>
      <c r="F34" s="50"/>
      <c r="G34" s="34"/>
      <c r="H34" s="34"/>
      <c r="I34" s="34"/>
      <c r="J34" s="34"/>
      <c r="K34" s="34"/>
      <c r="L34" s="50"/>
      <c r="M34" s="34"/>
      <c r="N34" s="34"/>
      <c r="O34" s="34"/>
      <c r="P34" s="51"/>
      <c r="Q34" s="51"/>
      <c r="R34" s="51"/>
      <c r="S34" s="34"/>
      <c r="T34" s="34"/>
      <c r="U34" s="52" t="str">
        <f aca="false">IF(A34="","",IF(OR(O34="Closed - verified",O34="Withdrawn"),"Closed","Active"))</f>
        <v/>
      </c>
      <c r="V34" s="52" t="str">
        <f aca="false">IF(A34="","",IF(AND(OR(O34="",O34="Open",O34="In remediation",O34="Remediated - pending verification"),ISNUMBER(Q34),Q34&lt;AsOf),"Overdue",""))</f>
        <v/>
      </c>
      <c r="W34" s="62" t="str">
        <f aca="false">IF(A34="","",COUNTIF(TRT_FND,A34))</f>
        <v/>
      </c>
      <c r="X34" s="54" t="str">
        <f aca="false">IF(A34="","",IF(COUNTIF(FND_ID,A34)&gt;1,"CHECK: duplicate ID",IF(B34="","CHECK: Supplier ID missing",IF(COUNTIF(INV_ID,B34)=0,"CHECK: Supplier ID not in inventory",IF(AND(D34&lt;&gt;"",COUNTIF(RSK_ID,D34)=0),"CHECK: Risk ID not found",IF(AND(D34&lt;&gt;"",COUNTIF(RSK_ID,D34)&gt;0,IFERROR(INDEX(RSK_SUP,MATCH(D34,RSK_ID,0)),"")&lt;&gt;B34),"CHECK: Risk belongs to a different supplier",IF(AND(O34="Closed - verified",S34=""),"CHECK: closed without verification reference","OK")))))))</f>
        <v/>
      </c>
      <c r="Y34" s="52" t="str">
        <f aca="false">IF(OR(A34="",B34=""),"",IF(AND(U34="Active",B34=RptSup),B34&amp;"|"&amp;COUNTIFS($B$7:B34,B34,$U$7:U34,"Active"),""))</f>
        <v/>
      </c>
    </row>
    <row r="35" customFormat="false" ht="15" hidden="false" customHeight="false" outlineLevel="0" collapsed="false">
      <c r="A35" s="50"/>
      <c r="B35" s="50"/>
      <c r="C35" s="59" t="str">
        <f aca="false">IF(B35="","",IFERROR(INDEX(INV_NAME,MATCH(B35,INV_ID,0)),"CHECK: Supplier ID not found"))</f>
        <v/>
      </c>
      <c r="D35" s="50"/>
      <c r="E35" s="50"/>
      <c r="F35" s="50"/>
      <c r="G35" s="34"/>
      <c r="H35" s="34"/>
      <c r="I35" s="34"/>
      <c r="J35" s="34"/>
      <c r="K35" s="34"/>
      <c r="L35" s="50"/>
      <c r="M35" s="34"/>
      <c r="N35" s="34"/>
      <c r="O35" s="34"/>
      <c r="P35" s="51"/>
      <c r="Q35" s="51"/>
      <c r="R35" s="51"/>
      <c r="S35" s="34"/>
      <c r="T35" s="34"/>
      <c r="U35" s="52" t="str">
        <f aca="false">IF(A35="","",IF(OR(O35="Closed - verified",O35="Withdrawn"),"Closed","Active"))</f>
        <v/>
      </c>
      <c r="V35" s="52" t="str">
        <f aca="false">IF(A35="","",IF(AND(OR(O35="",O35="Open",O35="In remediation",O35="Remediated - pending verification"),ISNUMBER(Q35),Q35&lt;AsOf),"Overdue",""))</f>
        <v/>
      </c>
      <c r="W35" s="62" t="str">
        <f aca="false">IF(A35="","",COUNTIF(TRT_FND,A35))</f>
        <v/>
      </c>
      <c r="X35" s="54" t="str">
        <f aca="false">IF(A35="","",IF(COUNTIF(FND_ID,A35)&gt;1,"CHECK: duplicate ID",IF(B35="","CHECK: Supplier ID missing",IF(COUNTIF(INV_ID,B35)=0,"CHECK: Supplier ID not in inventory",IF(AND(D35&lt;&gt;"",COUNTIF(RSK_ID,D35)=0),"CHECK: Risk ID not found",IF(AND(D35&lt;&gt;"",COUNTIF(RSK_ID,D35)&gt;0,IFERROR(INDEX(RSK_SUP,MATCH(D35,RSK_ID,0)),"")&lt;&gt;B35),"CHECK: Risk belongs to a different supplier",IF(AND(O35="Closed - verified",S35=""),"CHECK: closed without verification reference","OK")))))))</f>
        <v/>
      </c>
      <c r="Y35" s="52" t="str">
        <f aca="false">IF(OR(A35="",B35=""),"",IF(AND(U35="Active",B35=RptSup),B35&amp;"|"&amp;COUNTIFS($B$7:B35,B35,$U$7:U35,"Active"),""))</f>
        <v/>
      </c>
    </row>
    <row r="36" customFormat="false" ht="15" hidden="false" customHeight="false" outlineLevel="0" collapsed="false">
      <c r="A36" s="50"/>
      <c r="B36" s="50"/>
      <c r="C36" s="59" t="str">
        <f aca="false">IF(B36="","",IFERROR(INDEX(INV_NAME,MATCH(B36,INV_ID,0)),"CHECK: Supplier ID not found"))</f>
        <v/>
      </c>
      <c r="D36" s="50"/>
      <c r="E36" s="50"/>
      <c r="F36" s="50"/>
      <c r="G36" s="34"/>
      <c r="H36" s="34"/>
      <c r="I36" s="34"/>
      <c r="J36" s="34"/>
      <c r="K36" s="34"/>
      <c r="L36" s="50"/>
      <c r="M36" s="34"/>
      <c r="N36" s="34"/>
      <c r="O36" s="34"/>
      <c r="P36" s="51"/>
      <c r="Q36" s="51"/>
      <c r="R36" s="51"/>
      <c r="S36" s="34"/>
      <c r="T36" s="34"/>
      <c r="U36" s="52" t="str">
        <f aca="false">IF(A36="","",IF(OR(O36="Closed - verified",O36="Withdrawn"),"Closed","Active"))</f>
        <v/>
      </c>
      <c r="V36" s="52" t="str">
        <f aca="false">IF(A36="","",IF(AND(OR(O36="",O36="Open",O36="In remediation",O36="Remediated - pending verification"),ISNUMBER(Q36),Q36&lt;AsOf),"Overdue",""))</f>
        <v/>
      </c>
      <c r="W36" s="62" t="str">
        <f aca="false">IF(A36="","",COUNTIF(TRT_FND,A36))</f>
        <v/>
      </c>
      <c r="X36" s="54" t="str">
        <f aca="false">IF(A36="","",IF(COUNTIF(FND_ID,A36)&gt;1,"CHECK: duplicate ID",IF(B36="","CHECK: Supplier ID missing",IF(COUNTIF(INV_ID,B36)=0,"CHECK: Supplier ID not in inventory",IF(AND(D36&lt;&gt;"",COUNTIF(RSK_ID,D36)=0),"CHECK: Risk ID not found",IF(AND(D36&lt;&gt;"",COUNTIF(RSK_ID,D36)&gt;0,IFERROR(INDEX(RSK_SUP,MATCH(D36,RSK_ID,0)),"")&lt;&gt;B36),"CHECK: Risk belongs to a different supplier",IF(AND(O36="Closed - verified",S36=""),"CHECK: closed without verification reference","OK")))))))</f>
        <v/>
      </c>
      <c r="Y36" s="52" t="str">
        <f aca="false">IF(OR(A36="",B36=""),"",IF(AND(U36="Active",B36=RptSup),B36&amp;"|"&amp;COUNTIFS($B$7:B36,B36,$U$7:U36,"Active"),""))</f>
        <v/>
      </c>
    </row>
    <row r="37" customFormat="false" ht="15" hidden="false" customHeight="false" outlineLevel="0" collapsed="false">
      <c r="A37" s="50"/>
      <c r="B37" s="50"/>
      <c r="C37" s="59" t="str">
        <f aca="false">IF(B37="","",IFERROR(INDEX(INV_NAME,MATCH(B37,INV_ID,0)),"CHECK: Supplier ID not found"))</f>
        <v/>
      </c>
      <c r="D37" s="50"/>
      <c r="E37" s="50"/>
      <c r="F37" s="50"/>
      <c r="G37" s="34"/>
      <c r="H37" s="34"/>
      <c r="I37" s="34"/>
      <c r="J37" s="34"/>
      <c r="K37" s="34"/>
      <c r="L37" s="50"/>
      <c r="M37" s="34"/>
      <c r="N37" s="34"/>
      <c r="O37" s="34"/>
      <c r="P37" s="51"/>
      <c r="Q37" s="51"/>
      <c r="R37" s="51"/>
      <c r="S37" s="34"/>
      <c r="T37" s="34"/>
      <c r="U37" s="52" t="str">
        <f aca="false">IF(A37="","",IF(OR(O37="Closed - verified",O37="Withdrawn"),"Closed","Active"))</f>
        <v/>
      </c>
      <c r="V37" s="52" t="str">
        <f aca="false">IF(A37="","",IF(AND(OR(O37="",O37="Open",O37="In remediation",O37="Remediated - pending verification"),ISNUMBER(Q37),Q37&lt;AsOf),"Overdue",""))</f>
        <v/>
      </c>
      <c r="W37" s="62" t="str">
        <f aca="false">IF(A37="","",COUNTIF(TRT_FND,A37))</f>
        <v/>
      </c>
      <c r="X37" s="54" t="str">
        <f aca="false">IF(A37="","",IF(COUNTIF(FND_ID,A37)&gt;1,"CHECK: duplicate ID",IF(B37="","CHECK: Supplier ID missing",IF(COUNTIF(INV_ID,B37)=0,"CHECK: Supplier ID not in inventory",IF(AND(D37&lt;&gt;"",COUNTIF(RSK_ID,D37)=0),"CHECK: Risk ID not found",IF(AND(D37&lt;&gt;"",COUNTIF(RSK_ID,D37)&gt;0,IFERROR(INDEX(RSK_SUP,MATCH(D37,RSK_ID,0)),"")&lt;&gt;B37),"CHECK: Risk belongs to a different supplier",IF(AND(O37="Closed - verified",S37=""),"CHECK: closed without verification reference","OK")))))))</f>
        <v/>
      </c>
      <c r="Y37" s="52" t="str">
        <f aca="false">IF(OR(A37="",B37=""),"",IF(AND(U37="Active",B37=RptSup),B37&amp;"|"&amp;COUNTIFS($B$7:B37,B37,$U$7:U37,"Active"),""))</f>
        <v/>
      </c>
    </row>
    <row r="38" customFormat="false" ht="15" hidden="false" customHeight="false" outlineLevel="0" collapsed="false">
      <c r="A38" s="50"/>
      <c r="B38" s="50"/>
      <c r="C38" s="59" t="str">
        <f aca="false">IF(B38="","",IFERROR(INDEX(INV_NAME,MATCH(B38,INV_ID,0)),"CHECK: Supplier ID not found"))</f>
        <v/>
      </c>
      <c r="D38" s="50"/>
      <c r="E38" s="50"/>
      <c r="F38" s="50"/>
      <c r="G38" s="34"/>
      <c r="H38" s="34"/>
      <c r="I38" s="34"/>
      <c r="J38" s="34"/>
      <c r="K38" s="34"/>
      <c r="L38" s="50"/>
      <c r="M38" s="34"/>
      <c r="N38" s="34"/>
      <c r="O38" s="34"/>
      <c r="P38" s="51"/>
      <c r="Q38" s="51"/>
      <c r="R38" s="51"/>
      <c r="S38" s="34"/>
      <c r="T38" s="34"/>
      <c r="U38" s="52" t="str">
        <f aca="false">IF(A38="","",IF(OR(O38="Closed - verified",O38="Withdrawn"),"Closed","Active"))</f>
        <v/>
      </c>
      <c r="V38" s="52" t="str">
        <f aca="false">IF(A38="","",IF(AND(OR(O38="",O38="Open",O38="In remediation",O38="Remediated - pending verification"),ISNUMBER(Q38),Q38&lt;AsOf),"Overdue",""))</f>
        <v/>
      </c>
      <c r="W38" s="62" t="str">
        <f aca="false">IF(A38="","",COUNTIF(TRT_FND,A38))</f>
        <v/>
      </c>
      <c r="X38" s="54" t="str">
        <f aca="false">IF(A38="","",IF(COUNTIF(FND_ID,A38)&gt;1,"CHECK: duplicate ID",IF(B38="","CHECK: Supplier ID missing",IF(COUNTIF(INV_ID,B38)=0,"CHECK: Supplier ID not in inventory",IF(AND(D38&lt;&gt;"",COUNTIF(RSK_ID,D38)=0),"CHECK: Risk ID not found",IF(AND(D38&lt;&gt;"",COUNTIF(RSK_ID,D38)&gt;0,IFERROR(INDEX(RSK_SUP,MATCH(D38,RSK_ID,0)),"")&lt;&gt;B38),"CHECK: Risk belongs to a different supplier",IF(AND(O38="Closed - verified",S38=""),"CHECK: closed without verification reference","OK")))))))</f>
        <v/>
      </c>
      <c r="Y38" s="52" t="str">
        <f aca="false">IF(OR(A38="",B38=""),"",IF(AND(U38="Active",B38=RptSup),B38&amp;"|"&amp;COUNTIFS($B$7:B38,B38,$U$7:U38,"Active"),""))</f>
        <v/>
      </c>
    </row>
    <row r="39" customFormat="false" ht="15" hidden="false" customHeight="false" outlineLevel="0" collapsed="false">
      <c r="A39" s="50"/>
      <c r="B39" s="50"/>
      <c r="C39" s="59" t="str">
        <f aca="false">IF(B39="","",IFERROR(INDEX(INV_NAME,MATCH(B39,INV_ID,0)),"CHECK: Supplier ID not found"))</f>
        <v/>
      </c>
      <c r="D39" s="50"/>
      <c r="E39" s="50"/>
      <c r="F39" s="50"/>
      <c r="G39" s="34"/>
      <c r="H39" s="34"/>
      <c r="I39" s="34"/>
      <c r="J39" s="34"/>
      <c r="K39" s="34"/>
      <c r="L39" s="50"/>
      <c r="M39" s="34"/>
      <c r="N39" s="34"/>
      <c r="O39" s="34"/>
      <c r="P39" s="51"/>
      <c r="Q39" s="51"/>
      <c r="R39" s="51"/>
      <c r="S39" s="34"/>
      <c r="T39" s="34"/>
      <c r="U39" s="52" t="str">
        <f aca="false">IF(A39="","",IF(OR(O39="Closed - verified",O39="Withdrawn"),"Closed","Active"))</f>
        <v/>
      </c>
      <c r="V39" s="52" t="str">
        <f aca="false">IF(A39="","",IF(AND(OR(O39="",O39="Open",O39="In remediation",O39="Remediated - pending verification"),ISNUMBER(Q39),Q39&lt;AsOf),"Overdue",""))</f>
        <v/>
      </c>
      <c r="W39" s="62" t="str">
        <f aca="false">IF(A39="","",COUNTIF(TRT_FND,A39))</f>
        <v/>
      </c>
      <c r="X39" s="54" t="str">
        <f aca="false">IF(A39="","",IF(COUNTIF(FND_ID,A39)&gt;1,"CHECK: duplicate ID",IF(B39="","CHECK: Supplier ID missing",IF(COUNTIF(INV_ID,B39)=0,"CHECK: Supplier ID not in inventory",IF(AND(D39&lt;&gt;"",COUNTIF(RSK_ID,D39)=0),"CHECK: Risk ID not found",IF(AND(D39&lt;&gt;"",COUNTIF(RSK_ID,D39)&gt;0,IFERROR(INDEX(RSK_SUP,MATCH(D39,RSK_ID,0)),"")&lt;&gt;B39),"CHECK: Risk belongs to a different supplier",IF(AND(O39="Closed - verified",S39=""),"CHECK: closed without verification reference","OK")))))))</f>
        <v/>
      </c>
      <c r="Y39" s="52" t="str">
        <f aca="false">IF(OR(A39="",B39=""),"",IF(AND(U39="Active",B39=RptSup),B39&amp;"|"&amp;COUNTIFS($B$7:B39,B39,$U$7:U39,"Active"),""))</f>
        <v/>
      </c>
    </row>
    <row r="40" customFormat="false" ht="15" hidden="false" customHeight="false" outlineLevel="0" collapsed="false">
      <c r="A40" s="50"/>
      <c r="B40" s="50"/>
      <c r="C40" s="59" t="str">
        <f aca="false">IF(B40="","",IFERROR(INDEX(INV_NAME,MATCH(B40,INV_ID,0)),"CHECK: Supplier ID not found"))</f>
        <v/>
      </c>
      <c r="D40" s="50"/>
      <c r="E40" s="50"/>
      <c r="F40" s="50"/>
      <c r="G40" s="34"/>
      <c r="H40" s="34"/>
      <c r="I40" s="34"/>
      <c r="J40" s="34"/>
      <c r="K40" s="34"/>
      <c r="L40" s="50"/>
      <c r="M40" s="34"/>
      <c r="N40" s="34"/>
      <c r="O40" s="34"/>
      <c r="P40" s="51"/>
      <c r="Q40" s="51"/>
      <c r="R40" s="51"/>
      <c r="S40" s="34"/>
      <c r="T40" s="34"/>
      <c r="U40" s="52" t="str">
        <f aca="false">IF(A40="","",IF(OR(O40="Closed - verified",O40="Withdrawn"),"Closed","Active"))</f>
        <v/>
      </c>
      <c r="V40" s="52" t="str">
        <f aca="false">IF(A40="","",IF(AND(OR(O40="",O40="Open",O40="In remediation",O40="Remediated - pending verification"),ISNUMBER(Q40),Q40&lt;AsOf),"Overdue",""))</f>
        <v/>
      </c>
      <c r="W40" s="62" t="str">
        <f aca="false">IF(A40="","",COUNTIF(TRT_FND,A40))</f>
        <v/>
      </c>
      <c r="X40" s="54" t="str">
        <f aca="false">IF(A40="","",IF(COUNTIF(FND_ID,A40)&gt;1,"CHECK: duplicate ID",IF(B40="","CHECK: Supplier ID missing",IF(COUNTIF(INV_ID,B40)=0,"CHECK: Supplier ID not in inventory",IF(AND(D40&lt;&gt;"",COUNTIF(RSK_ID,D40)=0),"CHECK: Risk ID not found",IF(AND(D40&lt;&gt;"",COUNTIF(RSK_ID,D40)&gt;0,IFERROR(INDEX(RSK_SUP,MATCH(D40,RSK_ID,0)),"")&lt;&gt;B40),"CHECK: Risk belongs to a different supplier",IF(AND(O40="Closed - verified",S40=""),"CHECK: closed without verification reference","OK")))))))</f>
        <v/>
      </c>
      <c r="Y40" s="52" t="str">
        <f aca="false">IF(OR(A40="",B40=""),"",IF(AND(U40="Active",B40=RptSup),B40&amp;"|"&amp;COUNTIFS($B$7:B40,B40,$U$7:U40,"Active"),""))</f>
        <v/>
      </c>
    </row>
    <row r="41" customFormat="false" ht="15" hidden="false" customHeight="false" outlineLevel="0" collapsed="false">
      <c r="A41" s="50"/>
      <c r="B41" s="50"/>
      <c r="C41" s="59" t="str">
        <f aca="false">IF(B41="","",IFERROR(INDEX(INV_NAME,MATCH(B41,INV_ID,0)),"CHECK: Supplier ID not found"))</f>
        <v/>
      </c>
      <c r="D41" s="50"/>
      <c r="E41" s="50"/>
      <c r="F41" s="50"/>
      <c r="G41" s="34"/>
      <c r="H41" s="34"/>
      <c r="I41" s="34"/>
      <c r="J41" s="34"/>
      <c r="K41" s="34"/>
      <c r="L41" s="50"/>
      <c r="M41" s="34"/>
      <c r="N41" s="34"/>
      <c r="O41" s="34"/>
      <c r="P41" s="51"/>
      <c r="Q41" s="51"/>
      <c r="R41" s="51"/>
      <c r="S41" s="34"/>
      <c r="T41" s="34"/>
      <c r="U41" s="52" t="str">
        <f aca="false">IF(A41="","",IF(OR(O41="Closed - verified",O41="Withdrawn"),"Closed","Active"))</f>
        <v/>
      </c>
      <c r="V41" s="52" t="str">
        <f aca="false">IF(A41="","",IF(AND(OR(O41="",O41="Open",O41="In remediation",O41="Remediated - pending verification"),ISNUMBER(Q41),Q41&lt;AsOf),"Overdue",""))</f>
        <v/>
      </c>
      <c r="W41" s="62" t="str">
        <f aca="false">IF(A41="","",COUNTIF(TRT_FND,A41))</f>
        <v/>
      </c>
      <c r="X41" s="54" t="str">
        <f aca="false">IF(A41="","",IF(COUNTIF(FND_ID,A41)&gt;1,"CHECK: duplicate ID",IF(B41="","CHECK: Supplier ID missing",IF(COUNTIF(INV_ID,B41)=0,"CHECK: Supplier ID not in inventory",IF(AND(D41&lt;&gt;"",COUNTIF(RSK_ID,D41)=0),"CHECK: Risk ID not found",IF(AND(D41&lt;&gt;"",COUNTIF(RSK_ID,D41)&gt;0,IFERROR(INDEX(RSK_SUP,MATCH(D41,RSK_ID,0)),"")&lt;&gt;B41),"CHECK: Risk belongs to a different supplier",IF(AND(O41="Closed - verified",S41=""),"CHECK: closed without verification reference","OK")))))))</f>
        <v/>
      </c>
      <c r="Y41" s="52" t="str">
        <f aca="false">IF(OR(A41="",B41=""),"",IF(AND(U41="Active",B41=RptSup),B41&amp;"|"&amp;COUNTIFS($B$7:B41,B41,$U$7:U41,"Active"),""))</f>
        <v/>
      </c>
    </row>
    <row r="42" customFormat="false" ht="15" hidden="false" customHeight="false" outlineLevel="0" collapsed="false">
      <c r="A42" s="50"/>
      <c r="B42" s="50"/>
      <c r="C42" s="59" t="str">
        <f aca="false">IF(B42="","",IFERROR(INDEX(INV_NAME,MATCH(B42,INV_ID,0)),"CHECK: Supplier ID not found"))</f>
        <v/>
      </c>
      <c r="D42" s="50"/>
      <c r="E42" s="50"/>
      <c r="F42" s="50"/>
      <c r="G42" s="34"/>
      <c r="H42" s="34"/>
      <c r="I42" s="34"/>
      <c r="J42" s="34"/>
      <c r="K42" s="34"/>
      <c r="L42" s="50"/>
      <c r="M42" s="34"/>
      <c r="N42" s="34"/>
      <c r="O42" s="34"/>
      <c r="P42" s="51"/>
      <c r="Q42" s="51"/>
      <c r="R42" s="51"/>
      <c r="S42" s="34"/>
      <c r="T42" s="34"/>
      <c r="U42" s="52" t="str">
        <f aca="false">IF(A42="","",IF(OR(O42="Closed - verified",O42="Withdrawn"),"Closed","Active"))</f>
        <v/>
      </c>
      <c r="V42" s="52" t="str">
        <f aca="false">IF(A42="","",IF(AND(OR(O42="",O42="Open",O42="In remediation",O42="Remediated - pending verification"),ISNUMBER(Q42),Q42&lt;AsOf),"Overdue",""))</f>
        <v/>
      </c>
      <c r="W42" s="62" t="str">
        <f aca="false">IF(A42="","",COUNTIF(TRT_FND,A42))</f>
        <v/>
      </c>
      <c r="X42" s="54" t="str">
        <f aca="false">IF(A42="","",IF(COUNTIF(FND_ID,A42)&gt;1,"CHECK: duplicate ID",IF(B42="","CHECK: Supplier ID missing",IF(COUNTIF(INV_ID,B42)=0,"CHECK: Supplier ID not in inventory",IF(AND(D42&lt;&gt;"",COUNTIF(RSK_ID,D42)=0),"CHECK: Risk ID not found",IF(AND(D42&lt;&gt;"",COUNTIF(RSK_ID,D42)&gt;0,IFERROR(INDEX(RSK_SUP,MATCH(D42,RSK_ID,0)),"")&lt;&gt;B42),"CHECK: Risk belongs to a different supplier",IF(AND(O42="Closed - verified",S42=""),"CHECK: closed without verification reference","OK")))))))</f>
        <v/>
      </c>
      <c r="Y42" s="52" t="str">
        <f aca="false">IF(OR(A42="",B42=""),"",IF(AND(U42="Active",B42=RptSup),B42&amp;"|"&amp;COUNTIFS($B$7:B42,B42,$U$7:U42,"Active"),""))</f>
        <v/>
      </c>
    </row>
    <row r="43" customFormat="false" ht="15" hidden="false" customHeight="false" outlineLevel="0" collapsed="false">
      <c r="A43" s="50"/>
      <c r="B43" s="50"/>
      <c r="C43" s="59" t="str">
        <f aca="false">IF(B43="","",IFERROR(INDEX(INV_NAME,MATCH(B43,INV_ID,0)),"CHECK: Supplier ID not found"))</f>
        <v/>
      </c>
      <c r="D43" s="50"/>
      <c r="E43" s="50"/>
      <c r="F43" s="50"/>
      <c r="G43" s="34"/>
      <c r="H43" s="34"/>
      <c r="I43" s="34"/>
      <c r="J43" s="34"/>
      <c r="K43" s="34"/>
      <c r="L43" s="50"/>
      <c r="M43" s="34"/>
      <c r="N43" s="34"/>
      <c r="O43" s="34"/>
      <c r="P43" s="51"/>
      <c r="Q43" s="51"/>
      <c r="R43" s="51"/>
      <c r="S43" s="34"/>
      <c r="T43" s="34"/>
      <c r="U43" s="52" t="str">
        <f aca="false">IF(A43="","",IF(OR(O43="Closed - verified",O43="Withdrawn"),"Closed","Active"))</f>
        <v/>
      </c>
      <c r="V43" s="52" t="str">
        <f aca="false">IF(A43="","",IF(AND(OR(O43="",O43="Open",O43="In remediation",O43="Remediated - pending verification"),ISNUMBER(Q43),Q43&lt;AsOf),"Overdue",""))</f>
        <v/>
      </c>
      <c r="W43" s="62" t="str">
        <f aca="false">IF(A43="","",COUNTIF(TRT_FND,A43))</f>
        <v/>
      </c>
      <c r="X43" s="54" t="str">
        <f aca="false">IF(A43="","",IF(COUNTIF(FND_ID,A43)&gt;1,"CHECK: duplicate ID",IF(B43="","CHECK: Supplier ID missing",IF(COUNTIF(INV_ID,B43)=0,"CHECK: Supplier ID not in inventory",IF(AND(D43&lt;&gt;"",COUNTIF(RSK_ID,D43)=0),"CHECK: Risk ID not found",IF(AND(D43&lt;&gt;"",COUNTIF(RSK_ID,D43)&gt;0,IFERROR(INDEX(RSK_SUP,MATCH(D43,RSK_ID,0)),"")&lt;&gt;B43),"CHECK: Risk belongs to a different supplier",IF(AND(O43="Closed - verified",S43=""),"CHECK: closed without verification reference","OK")))))))</f>
        <v/>
      </c>
      <c r="Y43" s="52" t="str">
        <f aca="false">IF(OR(A43="",B43=""),"",IF(AND(U43="Active",B43=RptSup),B43&amp;"|"&amp;COUNTIFS($B$7:B43,B43,$U$7:U43,"Active"),""))</f>
        <v/>
      </c>
    </row>
    <row r="44" customFormat="false" ht="15" hidden="false" customHeight="false" outlineLevel="0" collapsed="false">
      <c r="A44" s="50"/>
      <c r="B44" s="50"/>
      <c r="C44" s="59" t="str">
        <f aca="false">IF(B44="","",IFERROR(INDEX(INV_NAME,MATCH(B44,INV_ID,0)),"CHECK: Supplier ID not found"))</f>
        <v/>
      </c>
      <c r="D44" s="50"/>
      <c r="E44" s="50"/>
      <c r="F44" s="50"/>
      <c r="G44" s="34"/>
      <c r="H44" s="34"/>
      <c r="I44" s="34"/>
      <c r="J44" s="34"/>
      <c r="K44" s="34"/>
      <c r="L44" s="50"/>
      <c r="M44" s="34"/>
      <c r="N44" s="34"/>
      <c r="O44" s="34"/>
      <c r="P44" s="51"/>
      <c r="Q44" s="51"/>
      <c r="R44" s="51"/>
      <c r="S44" s="34"/>
      <c r="T44" s="34"/>
      <c r="U44" s="52" t="str">
        <f aca="false">IF(A44="","",IF(OR(O44="Closed - verified",O44="Withdrawn"),"Closed","Active"))</f>
        <v/>
      </c>
      <c r="V44" s="52" t="str">
        <f aca="false">IF(A44="","",IF(AND(OR(O44="",O44="Open",O44="In remediation",O44="Remediated - pending verification"),ISNUMBER(Q44),Q44&lt;AsOf),"Overdue",""))</f>
        <v/>
      </c>
      <c r="W44" s="62" t="str">
        <f aca="false">IF(A44="","",COUNTIF(TRT_FND,A44))</f>
        <v/>
      </c>
      <c r="X44" s="54" t="str">
        <f aca="false">IF(A44="","",IF(COUNTIF(FND_ID,A44)&gt;1,"CHECK: duplicate ID",IF(B44="","CHECK: Supplier ID missing",IF(COUNTIF(INV_ID,B44)=0,"CHECK: Supplier ID not in inventory",IF(AND(D44&lt;&gt;"",COUNTIF(RSK_ID,D44)=0),"CHECK: Risk ID not found",IF(AND(D44&lt;&gt;"",COUNTIF(RSK_ID,D44)&gt;0,IFERROR(INDEX(RSK_SUP,MATCH(D44,RSK_ID,0)),"")&lt;&gt;B44),"CHECK: Risk belongs to a different supplier",IF(AND(O44="Closed - verified",S44=""),"CHECK: closed without verification reference","OK")))))))</f>
        <v/>
      </c>
      <c r="Y44" s="52" t="str">
        <f aca="false">IF(OR(A44="",B44=""),"",IF(AND(U44="Active",B44=RptSup),B44&amp;"|"&amp;COUNTIFS($B$7:B44,B44,$U$7:U44,"Active"),""))</f>
        <v/>
      </c>
    </row>
    <row r="45" customFormat="false" ht="15" hidden="false" customHeight="false" outlineLevel="0" collapsed="false">
      <c r="A45" s="50"/>
      <c r="B45" s="50"/>
      <c r="C45" s="59" t="str">
        <f aca="false">IF(B45="","",IFERROR(INDEX(INV_NAME,MATCH(B45,INV_ID,0)),"CHECK: Supplier ID not found"))</f>
        <v/>
      </c>
      <c r="D45" s="50"/>
      <c r="E45" s="50"/>
      <c r="F45" s="50"/>
      <c r="G45" s="34"/>
      <c r="H45" s="34"/>
      <c r="I45" s="34"/>
      <c r="J45" s="34"/>
      <c r="K45" s="34"/>
      <c r="L45" s="50"/>
      <c r="M45" s="34"/>
      <c r="N45" s="34"/>
      <c r="O45" s="34"/>
      <c r="P45" s="51"/>
      <c r="Q45" s="51"/>
      <c r="R45" s="51"/>
      <c r="S45" s="34"/>
      <c r="T45" s="34"/>
      <c r="U45" s="52" t="str">
        <f aca="false">IF(A45="","",IF(OR(O45="Closed - verified",O45="Withdrawn"),"Closed","Active"))</f>
        <v/>
      </c>
      <c r="V45" s="52" t="str">
        <f aca="false">IF(A45="","",IF(AND(OR(O45="",O45="Open",O45="In remediation",O45="Remediated - pending verification"),ISNUMBER(Q45),Q45&lt;AsOf),"Overdue",""))</f>
        <v/>
      </c>
      <c r="W45" s="62" t="str">
        <f aca="false">IF(A45="","",COUNTIF(TRT_FND,A45))</f>
        <v/>
      </c>
      <c r="X45" s="54" t="str">
        <f aca="false">IF(A45="","",IF(COUNTIF(FND_ID,A45)&gt;1,"CHECK: duplicate ID",IF(B45="","CHECK: Supplier ID missing",IF(COUNTIF(INV_ID,B45)=0,"CHECK: Supplier ID not in inventory",IF(AND(D45&lt;&gt;"",COUNTIF(RSK_ID,D45)=0),"CHECK: Risk ID not found",IF(AND(D45&lt;&gt;"",COUNTIF(RSK_ID,D45)&gt;0,IFERROR(INDEX(RSK_SUP,MATCH(D45,RSK_ID,0)),"")&lt;&gt;B45),"CHECK: Risk belongs to a different supplier",IF(AND(O45="Closed - verified",S45=""),"CHECK: closed without verification reference","OK")))))))</f>
        <v/>
      </c>
      <c r="Y45" s="52" t="str">
        <f aca="false">IF(OR(A45="",B45=""),"",IF(AND(U45="Active",B45=RptSup),B45&amp;"|"&amp;COUNTIFS($B$7:B45,B45,$U$7:U45,"Active"),""))</f>
        <v/>
      </c>
    </row>
    <row r="46" customFormat="false" ht="15" hidden="false" customHeight="false" outlineLevel="0" collapsed="false">
      <c r="A46" s="50"/>
      <c r="B46" s="50"/>
      <c r="C46" s="59" t="str">
        <f aca="false">IF(B46="","",IFERROR(INDEX(INV_NAME,MATCH(B46,INV_ID,0)),"CHECK: Supplier ID not found"))</f>
        <v/>
      </c>
      <c r="D46" s="50"/>
      <c r="E46" s="50"/>
      <c r="F46" s="50"/>
      <c r="G46" s="34"/>
      <c r="H46" s="34"/>
      <c r="I46" s="34"/>
      <c r="J46" s="34"/>
      <c r="K46" s="34"/>
      <c r="L46" s="50"/>
      <c r="M46" s="34"/>
      <c r="N46" s="34"/>
      <c r="O46" s="34"/>
      <c r="P46" s="51"/>
      <c r="Q46" s="51"/>
      <c r="R46" s="51"/>
      <c r="S46" s="34"/>
      <c r="T46" s="34"/>
      <c r="U46" s="52" t="str">
        <f aca="false">IF(A46="","",IF(OR(O46="Closed - verified",O46="Withdrawn"),"Closed","Active"))</f>
        <v/>
      </c>
      <c r="V46" s="52" t="str">
        <f aca="false">IF(A46="","",IF(AND(OR(O46="",O46="Open",O46="In remediation",O46="Remediated - pending verification"),ISNUMBER(Q46),Q46&lt;AsOf),"Overdue",""))</f>
        <v/>
      </c>
      <c r="W46" s="62" t="str">
        <f aca="false">IF(A46="","",COUNTIF(TRT_FND,A46))</f>
        <v/>
      </c>
      <c r="X46" s="54" t="str">
        <f aca="false">IF(A46="","",IF(COUNTIF(FND_ID,A46)&gt;1,"CHECK: duplicate ID",IF(B46="","CHECK: Supplier ID missing",IF(COUNTIF(INV_ID,B46)=0,"CHECK: Supplier ID not in inventory",IF(AND(D46&lt;&gt;"",COUNTIF(RSK_ID,D46)=0),"CHECK: Risk ID not found",IF(AND(D46&lt;&gt;"",COUNTIF(RSK_ID,D46)&gt;0,IFERROR(INDEX(RSK_SUP,MATCH(D46,RSK_ID,0)),"")&lt;&gt;B46),"CHECK: Risk belongs to a different supplier",IF(AND(O46="Closed - verified",S46=""),"CHECK: closed without verification reference","OK")))))))</f>
        <v/>
      </c>
      <c r="Y46" s="52" t="str">
        <f aca="false">IF(OR(A46="",B46=""),"",IF(AND(U46="Active",B46=RptSup),B46&amp;"|"&amp;COUNTIFS($B$7:B46,B46,$U$7:U46,"Active"),""))</f>
        <v/>
      </c>
    </row>
    <row r="47" customFormat="false" ht="15" hidden="false" customHeight="false" outlineLevel="0" collapsed="false">
      <c r="A47" s="50"/>
      <c r="B47" s="50"/>
      <c r="C47" s="59" t="str">
        <f aca="false">IF(B47="","",IFERROR(INDEX(INV_NAME,MATCH(B47,INV_ID,0)),"CHECK: Supplier ID not found"))</f>
        <v/>
      </c>
      <c r="D47" s="50"/>
      <c r="E47" s="50"/>
      <c r="F47" s="50"/>
      <c r="G47" s="34"/>
      <c r="H47" s="34"/>
      <c r="I47" s="34"/>
      <c r="J47" s="34"/>
      <c r="K47" s="34"/>
      <c r="L47" s="50"/>
      <c r="M47" s="34"/>
      <c r="N47" s="34"/>
      <c r="O47" s="34"/>
      <c r="P47" s="51"/>
      <c r="Q47" s="51"/>
      <c r="R47" s="51"/>
      <c r="S47" s="34"/>
      <c r="T47" s="34"/>
      <c r="U47" s="52" t="str">
        <f aca="false">IF(A47="","",IF(OR(O47="Closed - verified",O47="Withdrawn"),"Closed","Active"))</f>
        <v/>
      </c>
      <c r="V47" s="52" t="str">
        <f aca="false">IF(A47="","",IF(AND(OR(O47="",O47="Open",O47="In remediation",O47="Remediated - pending verification"),ISNUMBER(Q47),Q47&lt;AsOf),"Overdue",""))</f>
        <v/>
      </c>
      <c r="W47" s="62" t="str">
        <f aca="false">IF(A47="","",COUNTIF(TRT_FND,A47))</f>
        <v/>
      </c>
      <c r="X47" s="54" t="str">
        <f aca="false">IF(A47="","",IF(COUNTIF(FND_ID,A47)&gt;1,"CHECK: duplicate ID",IF(B47="","CHECK: Supplier ID missing",IF(COUNTIF(INV_ID,B47)=0,"CHECK: Supplier ID not in inventory",IF(AND(D47&lt;&gt;"",COUNTIF(RSK_ID,D47)=0),"CHECK: Risk ID not found",IF(AND(D47&lt;&gt;"",COUNTIF(RSK_ID,D47)&gt;0,IFERROR(INDEX(RSK_SUP,MATCH(D47,RSK_ID,0)),"")&lt;&gt;B47),"CHECK: Risk belongs to a different supplier",IF(AND(O47="Closed - verified",S47=""),"CHECK: closed without verification reference","OK")))))))</f>
        <v/>
      </c>
      <c r="Y47" s="52" t="str">
        <f aca="false">IF(OR(A47="",B47=""),"",IF(AND(U47="Active",B47=RptSup),B47&amp;"|"&amp;COUNTIFS($B$7:B47,B47,$U$7:U47,"Active"),""))</f>
        <v/>
      </c>
    </row>
    <row r="48" customFormat="false" ht="15" hidden="false" customHeight="false" outlineLevel="0" collapsed="false">
      <c r="A48" s="50"/>
      <c r="B48" s="50"/>
      <c r="C48" s="59" t="str">
        <f aca="false">IF(B48="","",IFERROR(INDEX(INV_NAME,MATCH(B48,INV_ID,0)),"CHECK: Supplier ID not found"))</f>
        <v/>
      </c>
      <c r="D48" s="50"/>
      <c r="E48" s="50"/>
      <c r="F48" s="50"/>
      <c r="G48" s="34"/>
      <c r="H48" s="34"/>
      <c r="I48" s="34"/>
      <c r="J48" s="34"/>
      <c r="K48" s="34"/>
      <c r="L48" s="50"/>
      <c r="M48" s="34"/>
      <c r="N48" s="34"/>
      <c r="O48" s="34"/>
      <c r="P48" s="51"/>
      <c r="Q48" s="51"/>
      <c r="R48" s="51"/>
      <c r="S48" s="34"/>
      <c r="T48" s="34"/>
      <c r="U48" s="52" t="str">
        <f aca="false">IF(A48="","",IF(OR(O48="Closed - verified",O48="Withdrawn"),"Closed","Active"))</f>
        <v/>
      </c>
      <c r="V48" s="52" t="str">
        <f aca="false">IF(A48="","",IF(AND(OR(O48="",O48="Open",O48="In remediation",O48="Remediated - pending verification"),ISNUMBER(Q48),Q48&lt;AsOf),"Overdue",""))</f>
        <v/>
      </c>
      <c r="W48" s="62" t="str">
        <f aca="false">IF(A48="","",COUNTIF(TRT_FND,A48))</f>
        <v/>
      </c>
      <c r="X48" s="54" t="str">
        <f aca="false">IF(A48="","",IF(COUNTIF(FND_ID,A48)&gt;1,"CHECK: duplicate ID",IF(B48="","CHECK: Supplier ID missing",IF(COUNTIF(INV_ID,B48)=0,"CHECK: Supplier ID not in inventory",IF(AND(D48&lt;&gt;"",COUNTIF(RSK_ID,D48)=0),"CHECK: Risk ID not found",IF(AND(D48&lt;&gt;"",COUNTIF(RSK_ID,D48)&gt;0,IFERROR(INDEX(RSK_SUP,MATCH(D48,RSK_ID,0)),"")&lt;&gt;B48),"CHECK: Risk belongs to a different supplier",IF(AND(O48="Closed - verified",S48=""),"CHECK: closed without verification reference","OK")))))))</f>
        <v/>
      </c>
      <c r="Y48" s="52" t="str">
        <f aca="false">IF(OR(A48="",B48=""),"",IF(AND(U48="Active",B48=RptSup),B48&amp;"|"&amp;COUNTIFS($B$7:B48,B48,$U$7:U48,"Active"),""))</f>
        <v/>
      </c>
    </row>
    <row r="49" customFormat="false" ht="15" hidden="false" customHeight="false" outlineLevel="0" collapsed="false">
      <c r="A49" s="50"/>
      <c r="B49" s="50"/>
      <c r="C49" s="59" t="str">
        <f aca="false">IF(B49="","",IFERROR(INDEX(INV_NAME,MATCH(B49,INV_ID,0)),"CHECK: Supplier ID not found"))</f>
        <v/>
      </c>
      <c r="D49" s="50"/>
      <c r="E49" s="50"/>
      <c r="F49" s="50"/>
      <c r="G49" s="34"/>
      <c r="H49" s="34"/>
      <c r="I49" s="34"/>
      <c r="J49" s="34"/>
      <c r="K49" s="34"/>
      <c r="L49" s="50"/>
      <c r="M49" s="34"/>
      <c r="N49" s="34"/>
      <c r="O49" s="34"/>
      <c r="P49" s="51"/>
      <c r="Q49" s="51"/>
      <c r="R49" s="51"/>
      <c r="S49" s="34"/>
      <c r="T49" s="34"/>
      <c r="U49" s="52" t="str">
        <f aca="false">IF(A49="","",IF(OR(O49="Closed - verified",O49="Withdrawn"),"Closed","Active"))</f>
        <v/>
      </c>
      <c r="V49" s="52" t="str">
        <f aca="false">IF(A49="","",IF(AND(OR(O49="",O49="Open",O49="In remediation",O49="Remediated - pending verification"),ISNUMBER(Q49),Q49&lt;AsOf),"Overdue",""))</f>
        <v/>
      </c>
      <c r="W49" s="62" t="str">
        <f aca="false">IF(A49="","",COUNTIF(TRT_FND,A49))</f>
        <v/>
      </c>
      <c r="X49" s="54" t="str">
        <f aca="false">IF(A49="","",IF(COUNTIF(FND_ID,A49)&gt;1,"CHECK: duplicate ID",IF(B49="","CHECK: Supplier ID missing",IF(COUNTIF(INV_ID,B49)=0,"CHECK: Supplier ID not in inventory",IF(AND(D49&lt;&gt;"",COUNTIF(RSK_ID,D49)=0),"CHECK: Risk ID not found",IF(AND(D49&lt;&gt;"",COUNTIF(RSK_ID,D49)&gt;0,IFERROR(INDEX(RSK_SUP,MATCH(D49,RSK_ID,0)),"")&lt;&gt;B49),"CHECK: Risk belongs to a different supplier",IF(AND(O49="Closed - verified",S49=""),"CHECK: closed without verification reference","OK")))))))</f>
        <v/>
      </c>
      <c r="Y49" s="52" t="str">
        <f aca="false">IF(OR(A49="",B49=""),"",IF(AND(U49="Active",B49=RptSup),B49&amp;"|"&amp;COUNTIFS($B$7:B49,B49,$U$7:U49,"Active"),""))</f>
        <v/>
      </c>
    </row>
    <row r="50" customFormat="false" ht="15" hidden="false" customHeight="false" outlineLevel="0" collapsed="false">
      <c r="A50" s="50"/>
      <c r="B50" s="50"/>
      <c r="C50" s="59" t="str">
        <f aca="false">IF(B50="","",IFERROR(INDEX(INV_NAME,MATCH(B50,INV_ID,0)),"CHECK: Supplier ID not found"))</f>
        <v/>
      </c>
      <c r="D50" s="50"/>
      <c r="E50" s="50"/>
      <c r="F50" s="50"/>
      <c r="G50" s="34"/>
      <c r="H50" s="34"/>
      <c r="I50" s="34"/>
      <c r="J50" s="34"/>
      <c r="K50" s="34"/>
      <c r="L50" s="50"/>
      <c r="M50" s="34"/>
      <c r="N50" s="34"/>
      <c r="O50" s="34"/>
      <c r="P50" s="51"/>
      <c r="Q50" s="51"/>
      <c r="R50" s="51"/>
      <c r="S50" s="34"/>
      <c r="T50" s="34"/>
      <c r="U50" s="52" t="str">
        <f aca="false">IF(A50="","",IF(OR(O50="Closed - verified",O50="Withdrawn"),"Closed","Active"))</f>
        <v/>
      </c>
      <c r="V50" s="52" t="str">
        <f aca="false">IF(A50="","",IF(AND(OR(O50="",O50="Open",O50="In remediation",O50="Remediated - pending verification"),ISNUMBER(Q50),Q50&lt;AsOf),"Overdue",""))</f>
        <v/>
      </c>
      <c r="W50" s="62" t="str">
        <f aca="false">IF(A50="","",COUNTIF(TRT_FND,A50))</f>
        <v/>
      </c>
      <c r="X50" s="54" t="str">
        <f aca="false">IF(A50="","",IF(COUNTIF(FND_ID,A50)&gt;1,"CHECK: duplicate ID",IF(B50="","CHECK: Supplier ID missing",IF(COUNTIF(INV_ID,B50)=0,"CHECK: Supplier ID not in inventory",IF(AND(D50&lt;&gt;"",COUNTIF(RSK_ID,D50)=0),"CHECK: Risk ID not found",IF(AND(D50&lt;&gt;"",COUNTIF(RSK_ID,D50)&gt;0,IFERROR(INDEX(RSK_SUP,MATCH(D50,RSK_ID,0)),"")&lt;&gt;B50),"CHECK: Risk belongs to a different supplier",IF(AND(O50="Closed - verified",S50=""),"CHECK: closed without verification reference","OK")))))))</f>
        <v/>
      </c>
      <c r="Y50" s="52" t="str">
        <f aca="false">IF(OR(A50="",B50=""),"",IF(AND(U50="Active",B50=RptSup),B50&amp;"|"&amp;COUNTIFS($B$7:B50,B50,$U$7:U50,"Active"),""))</f>
        <v/>
      </c>
    </row>
    <row r="51" customFormat="false" ht="15" hidden="false" customHeight="false" outlineLevel="0" collapsed="false">
      <c r="A51" s="50"/>
      <c r="B51" s="50"/>
      <c r="C51" s="59" t="str">
        <f aca="false">IF(B51="","",IFERROR(INDEX(INV_NAME,MATCH(B51,INV_ID,0)),"CHECK: Supplier ID not found"))</f>
        <v/>
      </c>
      <c r="D51" s="50"/>
      <c r="E51" s="50"/>
      <c r="F51" s="50"/>
      <c r="G51" s="34"/>
      <c r="H51" s="34"/>
      <c r="I51" s="34"/>
      <c r="J51" s="34"/>
      <c r="K51" s="34"/>
      <c r="L51" s="50"/>
      <c r="M51" s="34"/>
      <c r="N51" s="34"/>
      <c r="O51" s="34"/>
      <c r="P51" s="51"/>
      <c r="Q51" s="51"/>
      <c r="R51" s="51"/>
      <c r="S51" s="34"/>
      <c r="T51" s="34"/>
      <c r="U51" s="52" t="str">
        <f aca="false">IF(A51="","",IF(OR(O51="Closed - verified",O51="Withdrawn"),"Closed","Active"))</f>
        <v/>
      </c>
      <c r="V51" s="52" t="str">
        <f aca="false">IF(A51="","",IF(AND(OR(O51="",O51="Open",O51="In remediation",O51="Remediated - pending verification"),ISNUMBER(Q51),Q51&lt;AsOf),"Overdue",""))</f>
        <v/>
      </c>
      <c r="W51" s="62" t="str">
        <f aca="false">IF(A51="","",COUNTIF(TRT_FND,A51))</f>
        <v/>
      </c>
      <c r="X51" s="54" t="str">
        <f aca="false">IF(A51="","",IF(COUNTIF(FND_ID,A51)&gt;1,"CHECK: duplicate ID",IF(B51="","CHECK: Supplier ID missing",IF(COUNTIF(INV_ID,B51)=0,"CHECK: Supplier ID not in inventory",IF(AND(D51&lt;&gt;"",COUNTIF(RSK_ID,D51)=0),"CHECK: Risk ID not found",IF(AND(D51&lt;&gt;"",COUNTIF(RSK_ID,D51)&gt;0,IFERROR(INDEX(RSK_SUP,MATCH(D51,RSK_ID,0)),"")&lt;&gt;B51),"CHECK: Risk belongs to a different supplier",IF(AND(O51="Closed - verified",S51=""),"CHECK: closed without verification reference","OK")))))))</f>
        <v/>
      </c>
      <c r="Y51" s="52" t="str">
        <f aca="false">IF(OR(A51="",B51=""),"",IF(AND(U51="Active",B51=RptSup),B51&amp;"|"&amp;COUNTIFS($B$7:B51,B51,$U$7:U51,"Active"),""))</f>
        <v/>
      </c>
    </row>
    <row r="52" customFormat="false" ht="15" hidden="false" customHeight="false" outlineLevel="0" collapsed="false">
      <c r="A52" s="50"/>
      <c r="B52" s="50"/>
      <c r="C52" s="59" t="str">
        <f aca="false">IF(B52="","",IFERROR(INDEX(INV_NAME,MATCH(B52,INV_ID,0)),"CHECK: Supplier ID not found"))</f>
        <v/>
      </c>
      <c r="D52" s="50"/>
      <c r="E52" s="50"/>
      <c r="F52" s="50"/>
      <c r="G52" s="34"/>
      <c r="H52" s="34"/>
      <c r="I52" s="34"/>
      <c r="J52" s="34"/>
      <c r="K52" s="34"/>
      <c r="L52" s="50"/>
      <c r="M52" s="34"/>
      <c r="N52" s="34"/>
      <c r="O52" s="34"/>
      <c r="P52" s="51"/>
      <c r="Q52" s="51"/>
      <c r="R52" s="51"/>
      <c r="S52" s="34"/>
      <c r="T52" s="34"/>
      <c r="U52" s="52" t="str">
        <f aca="false">IF(A52="","",IF(OR(O52="Closed - verified",O52="Withdrawn"),"Closed","Active"))</f>
        <v/>
      </c>
      <c r="V52" s="52" t="str">
        <f aca="false">IF(A52="","",IF(AND(OR(O52="",O52="Open",O52="In remediation",O52="Remediated - pending verification"),ISNUMBER(Q52),Q52&lt;AsOf),"Overdue",""))</f>
        <v/>
      </c>
      <c r="W52" s="62" t="str">
        <f aca="false">IF(A52="","",COUNTIF(TRT_FND,A52))</f>
        <v/>
      </c>
      <c r="X52" s="54" t="str">
        <f aca="false">IF(A52="","",IF(COUNTIF(FND_ID,A52)&gt;1,"CHECK: duplicate ID",IF(B52="","CHECK: Supplier ID missing",IF(COUNTIF(INV_ID,B52)=0,"CHECK: Supplier ID not in inventory",IF(AND(D52&lt;&gt;"",COUNTIF(RSK_ID,D52)=0),"CHECK: Risk ID not found",IF(AND(D52&lt;&gt;"",COUNTIF(RSK_ID,D52)&gt;0,IFERROR(INDEX(RSK_SUP,MATCH(D52,RSK_ID,0)),"")&lt;&gt;B52),"CHECK: Risk belongs to a different supplier",IF(AND(O52="Closed - verified",S52=""),"CHECK: closed without verification reference","OK")))))))</f>
        <v/>
      </c>
      <c r="Y52" s="52" t="str">
        <f aca="false">IF(OR(A52="",B52=""),"",IF(AND(U52="Active",B52=RptSup),B52&amp;"|"&amp;COUNTIFS($B$7:B52,B52,$U$7:U52,"Active"),""))</f>
        <v/>
      </c>
    </row>
    <row r="53" customFormat="false" ht="15" hidden="false" customHeight="false" outlineLevel="0" collapsed="false">
      <c r="A53" s="50"/>
      <c r="B53" s="50"/>
      <c r="C53" s="59" t="str">
        <f aca="false">IF(B53="","",IFERROR(INDEX(INV_NAME,MATCH(B53,INV_ID,0)),"CHECK: Supplier ID not found"))</f>
        <v/>
      </c>
      <c r="D53" s="50"/>
      <c r="E53" s="50"/>
      <c r="F53" s="50"/>
      <c r="G53" s="34"/>
      <c r="H53" s="34"/>
      <c r="I53" s="34"/>
      <c r="J53" s="34"/>
      <c r="K53" s="34"/>
      <c r="L53" s="50"/>
      <c r="M53" s="34"/>
      <c r="N53" s="34"/>
      <c r="O53" s="34"/>
      <c r="P53" s="51"/>
      <c r="Q53" s="51"/>
      <c r="R53" s="51"/>
      <c r="S53" s="34"/>
      <c r="T53" s="34"/>
      <c r="U53" s="52" t="str">
        <f aca="false">IF(A53="","",IF(OR(O53="Closed - verified",O53="Withdrawn"),"Closed","Active"))</f>
        <v/>
      </c>
      <c r="V53" s="52" t="str">
        <f aca="false">IF(A53="","",IF(AND(OR(O53="",O53="Open",O53="In remediation",O53="Remediated - pending verification"),ISNUMBER(Q53),Q53&lt;AsOf),"Overdue",""))</f>
        <v/>
      </c>
      <c r="W53" s="62" t="str">
        <f aca="false">IF(A53="","",COUNTIF(TRT_FND,A53))</f>
        <v/>
      </c>
      <c r="X53" s="54" t="str">
        <f aca="false">IF(A53="","",IF(COUNTIF(FND_ID,A53)&gt;1,"CHECK: duplicate ID",IF(B53="","CHECK: Supplier ID missing",IF(COUNTIF(INV_ID,B53)=0,"CHECK: Supplier ID not in inventory",IF(AND(D53&lt;&gt;"",COUNTIF(RSK_ID,D53)=0),"CHECK: Risk ID not found",IF(AND(D53&lt;&gt;"",COUNTIF(RSK_ID,D53)&gt;0,IFERROR(INDEX(RSK_SUP,MATCH(D53,RSK_ID,0)),"")&lt;&gt;B53),"CHECK: Risk belongs to a different supplier",IF(AND(O53="Closed - verified",S53=""),"CHECK: closed without verification reference","OK")))))))</f>
        <v/>
      </c>
      <c r="Y53" s="52" t="str">
        <f aca="false">IF(OR(A53="",B53=""),"",IF(AND(U53="Active",B53=RptSup),B53&amp;"|"&amp;COUNTIFS($B$7:B53,B53,$U$7:U53,"Active"),""))</f>
        <v/>
      </c>
    </row>
    <row r="54" customFormat="false" ht="15" hidden="false" customHeight="false" outlineLevel="0" collapsed="false">
      <c r="A54" s="50"/>
      <c r="B54" s="50"/>
      <c r="C54" s="59" t="str">
        <f aca="false">IF(B54="","",IFERROR(INDEX(INV_NAME,MATCH(B54,INV_ID,0)),"CHECK: Supplier ID not found"))</f>
        <v/>
      </c>
      <c r="D54" s="50"/>
      <c r="E54" s="50"/>
      <c r="F54" s="50"/>
      <c r="G54" s="34"/>
      <c r="H54" s="34"/>
      <c r="I54" s="34"/>
      <c r="J54" s="34"/>
      <c r="K54" s="34"/>
      <c r="L54" s="50"/>
      <c r="M54" s="34"/>
      <c r="N54" s="34"/>
      <c r="O54" s="34"/>
      <c r="P54" s="51"/>
      <c r="Q54" s="51"/>
      <c r="R54" s="51"/>
      <c r="S54" s="34"/>
      <c r="T54" s="34"/>
      <c r="U54" s="52" t="str">
        <f aca="false">IF(A54="","",IF(OR(O54="Closed - verified",O54="Withdrawn"),"Closed","Active"))</f>
        <v/>
      </c>
      <c r="V54" s="52" t="str">
        <f aca="false">IF(A54="","",IF(AND(OR(O54="",O54="Open",O54="In remediation",O54="Remediated - pending verification"),ISNUMBER(Q54),Q54&lt;AsOf),"Overdue",""))</f>
        <v/>
      </c>
      <c r="W54" s="62" t="str">
        <f aca="false">IF(A54="","",COUNTIF(TRT_FND,A54))</f>
        <v/>
      </c>
      <c r="X54" s="54" t="str">
        <f aca="false">IF(A54="","",IF(COUNTIF(FND_ID,A54)&gt;1,"CHECK: duplicate ID",IF(B54="","CHECK: Supplier ID missing",IF(COUNTIF(INV_ID,B54)=0,"CHECK: Supplier ID not in inventory",IF(AND(D54&lt;&gt;"",COUNTIF(RSK_ID,D54)=0),"CHECK: Risk ID not found",IF(AND(D54&lt;&gt;"",COUNTIF(RSK_ID,D54)&gt;0,IFERROR(INDEX(RSK_SUP,MATCH(D54,RSK_ID,0)),"")&lt;&gt;B54),"CHECK: Risk belongs to a different supplier",IF(AND(O54="Closed - verified",S54=""),"CHECK: closed without verification reference","OK")))))))</f>
        <v/>
      </c>
      <c r="Y54" s="52" t="str">
        <f aca="false">IF(OR(A54="",B54=""),"",IF(AND(U54="Active",B54=RptSup),B54&amp;"|"&amp;COUNTIFS($B$7:B54,B54,$U$7:U54,"Active"),""))</f>
        <v/>
      </c>
    </row>
    <row r="55" customFormat="false" ht="15" hidden="false" customHeight="false" outlineLevel="0" collapsed="false">
      <c r="A55" s="50"/>
      <c r="B55" s="50"/>
      <c r="C55" s="59" t="str">
        <f aca="false">IF(B55="","",IFERROR(INDEX(INV_NAME,MATCH(B55,INV_ID,0)),"CHECK: Supplier ID not found"))</f>
        <v/>
      </c>
      <c r="D55" s="50"/>
      <c r="E55" s="50"/>
      <c r="F55" s="50"/>
      <c r="G55" s="34"/>
      <c r="H55" s="34"/>
      <c r="I55" s="34"/>
      <c r="J55" s="34"/>
      <c r="K55" s="34"/>
      <c r="L55" s="50"/>
      <c r="M55" s="34"/>
      <c r="N55" s="34"/>
      <c r="O55" s="34"/>
      <c r="P55" s="51"/>
      <c r="Q55" s="51"/>
      <c r="R55" s="51"/>
      <c r="S55" s="34"/>
      <c r="T55" s="34"/>
      <c r="U55" s="52" t="str">
        <f aca="false">IF(A55="","",IF(OR(O55="Closed - verified",O55="Withdrawn"),"Closed","Active"))</f>
        <v/>
      </c>
      <c r="V55" s="52" t="str">
        <f aca="false">IF(A55="","",IF(AND(OR(O55="",O55="Open",O55="In remediation",O55="Remediated - pending verification"),ISNUMBER(Q55),Q55&lt;AsOf),"Overdue",""))</f>
        <v/>
      </c>
      <c r="W55" s="62" t="str">
        <f aca="false">IF(A55="","",COUNTIF(TRT_FND,A55))</f>
        <v/>
      </c>
      <c r="X55" s="54" t="str">
        <f aca="false">IF(A55="","",IF(COUNTIF(FND_ID,A55)&gt;1,"CHECK: duplicate ID",IF(B55="","CHECK: Supplier ID missing",IF(COUNTIF(INV_ID,B55)=0,"CHECK: Supplier ID not in inventory",IF(AND(D55&lt;&gt;"",COUNTIF(RSK_ID,D55)=0),"CHECK: Risk ID not found",IF(AND(D55&lt;&gt;"",COUNTIF(RSK_ID,D55)&gt;0,IFERROR(INDEX(RSK_SUP,MATCH(D55,RSK_ID,0)),"")&lt;&gt;B55),"CHECK: Risk belongs to a different supplier",IF(AND(O55="Closed - verified",S55=""),"CHECK: closed without verification reference","OK")))))))</f>
        <v/>
      </c>
      <c r="Y55" s="52" t="str">
        <f aca="false">IF(OR(A55="",B55=""),"",IF(AND(U55="Active",B55=RptSup),B55&amp;"|"&amp;COUNTIFS($B$7:B55,B55,$U$7:U55,"Active"),""))</f>
        <v/>
      </c>
    </row>
    <row r="56" customFormat="false" ht="15" hidden="false" customHeight="false" outlineLevel="0" collapsed="false">
      <c r="A56" s="50"/>
      <c r="B56" s="50"/>
      <c r="C56" s="59" t="str">
        <f aca="false">IF(B56="","",IFERROR(INDEX(INV_NAME,MATCH(B56,INV_ID,0)),"CHECK: Supplier ID not found"))</f>
        <v/>
      </c>
      <c r="D56" s="50"/>
      <c r="E56" s="50"/>
      <c r="F56" s="50"/>
      <c r="G56" s="34"/>
      <c r="H56" s="34"/>
      <c r="I56" s="34"/>
      <c r="J56" s="34"/>
      <c r="K56" s="34"/>
      <c r="L56" s="50"/>
      <c r="M56" s="34"/>
      <c r="N56" s="34"/>
      <c r="O56" s="34"/>
      <c r="P56" s="51"/>
      <c r="Q56" s="51"/>
      <c r="R56" s="51"/>
      <c r="S56" s="34"/>
      <c r="T56" s="34"/>
      <c r="U56" s="52" t="str">
        <f aca="false">IF(A56="","",IF(OR(O56="Closed - verified",O56="Withdrawn"),"Closed","Active"))</f>
        <v/>
      </c>
      <c r="V56" s="52" t="str">
        <f aca="false">IF(A56="","",IF(AND(OR(O56="",O56="Open",O56="In remediation",O56="Remediated - pending verification"),ISNUMBER(Q56),Q56&lt;AsOf),"Overdue",""))</f>
        <v/>
      </c>
      <c r="W56" s="62" t="str">
        <f aca="false">IF(A56="","",COUNTIF(TRT_FND,A56))</f>
        <v/>
      </c>
      <c r="X56" s="54" t="str">
        <f aca="false">IF(A56="","",IF(COUNTIF(FND_ID,A56)&gt;1,"CHECK: duplicate ID",IF(B56="","CHECK: Supplier ID missing",IF(COUNTIF(INV_ID,B56)=0,"CHECK: Supplier ID not in inventory",IF(AND(D56&lt;&gt;"",COUNTIF(RSK_ID,D56)=0),"CHECK: Risk ID not found",IF(AND(D56&lt;&gt;"",COUNTIF(RSK_ID,D56)&gt;0,IFERROR(INDEX(RSK_SUP,MATCH(D56,RSK_ID,0)),"")&lt;&gt;B56),"CHECK: Risk belongs to a different supplier",IF(AND(O56="Closed - verified",S56=""),"CHECK: closed without verification reference","OK")))))))</f>
        <v/>
      </c>
      <c r="Y56" s="52" t="str">
        <f aca="false">IF(OR(A56="",B56=""),"",IF(AND(U56="Active",B56=RptSup),B56&amp;"|"&amp;COUNTIFS($B$7:B56,B56,$U$7:U56,"Active"),""))</f>
        <v/>
      </c>
    </row>
    <row r="57" customFormat="false" ht="15" hidden="false" customHeight="false" outlineLevel="0" collapsed="false">
      <c r="A57" s="50"/>
      <c r="B57" s="50"/>
      <c r="C57" s="59" t="str">
        <f aca="false">IF(B57="","",IFERROR(INDEX(INV_NAME,MATCH(B57,INV_ID,0)),"CHECK: Supplier ID not found"))</f>
        <v/>
      </c>
      <c r="D57" s="50"/>
      <c r="E57" s="50"/>
      <c r="F57" s="50"/>
      <c r="G57" s="34"/>
      <c r="H57" s="34"/>
      <c r="I57" s="34"/>
      <c r="J57" s="34"/>
      <c r="K57" s="34"/>
      <c r="L57" s="50"/>
      <c r="M57" s="34"/>
      <c r="N57" s="34"/>
      <c r="O57" s="34"/>
      <c r="P57" s="51"/>
      <c r="Q57" s="51"/>
      <c r="R57" s="51"/>
      <c r="S57" s="34"/>
      <c r="T57" s="34"/>
      <c r="U57" s="52" t="str">
        <f aca="false">IF(A57="","",IF(OR(O57="Closed - verified",O57="Withdrawn"),"Closed","Active"))</f>
        <v/>
      </c>
      <c r="V57" s="52" t="str">
        <f aca="false">IF(A57="","",IF(AND(OR(O57="",O57="Open",O57="In remediation",O57="Remediated - pending verification"),ISNUMBER(Q57),Q57&lt;AsOf),"Overdue",""))</f>
        <v/>
      </c>
      <c r="W57" s="62" t="str">
        <f aca="false">IF(A57="","",COUNTIF(TRT_FND,A57))</f>
        <v/>
      </c>
      <c r="X57" s="54" t="str">
        <f aca="false">IF(A57="","",IF(COUNTIF(FND_ID,A57)&gt;1,"CHECK: duplicate ID",IF(B57="","CHECK: Supplier ID missing",IF(COUNTIF(INV_ID,B57)=0,"CHECK: Supplier ID not in inventory",IF(AND(D57&lt;&gt;"",COUNTIF(RSK_ID,D57)=0),"CHECK: Risk ID not found",IF(AND(D57&lt;&gt;"",COUNTIF(RSK_ID,D57)&gt;0,IFERROR(INDEX(RSK_SUP,MATCH(D57,RSK_ID,0)),"")&lt;&gt;B57),"CHECK: Risk belongs to a different supplier",IF(AND(O57="Closed - verified",S57=""),"CHECK: closed without verification reference","OK")))))))</f>
        <v/>
      </c>
      <c r="Y57" s="52" t="str">
        <f aca="false">IF(OR(A57="",B57=""),"",IF(AND(U57="Active",B57=RptSup),B57&amp;"|"&amp;COUNTIFS($B$7:B57,B57,$U$7:U57,"Active"),""))</f>
        <v/>
      </c>
    </row>
    <row r="58" customFormat="false" ht="15" hidden="false" customHeight="false" outlineLevel="0" collapsed="false">
      <c r="A58" s="50"/>
      <c r="B58" s="50"/>
      <c r="C58" s="59" t="str">
        <f aca="false">IF(B58="","",IFERROR(INDEX(INV_NAME,MATCH(B58,INV_ID,0)),"CHECK: Supplier ID not found"))</f>
        <v/>
      </c>
      <c r="D58" s="50"/>
      <c r="E58" s="50"/>
      <c r="F58" s="50"/>
      <c r="G58" s="34"/>
      <c r="H58" s="34"/>
      <c r="I58" s="34"/>
      <c r="J58" s="34"/>
      <c r="K58" s="34"/>
      <c r="L58" s="50"/>
      <c r="M58" s="34"/>
      <c r="N58" s="34"/>
      <c r="O58" s="34"/>
      <c r="P58" s="51"/>
      <c r="Q58" s="51"/>
      <c r="R58" s="51"/>
      <c r="S58" s="34"/>
      <c r="T58" s="34"/>
      <c r="U58" s="52" t="str">
        <f aca="false">IF(A58="","",IF(OR(O58="Closed - verified",O58="Withdrawn"),"Closed","Active"))</f>
        <v/>
      </c>
      <c r="V58" s="52" t="str">
        <f aca="false">IF(A58="","",IF(AND(OR(O58="",O58="Open",O58="In remediation",O58="Remediated - pending verification"),ISNUMBER(Q58),Q58&lt;AsOf),"Overdue",""))</f>
        <v/>
      </c>
      <c r="W58" s="62" t="str">
        <f aca="false">IF(A58="","",COUNTIF(TRT_FND,A58))</f>
        <v/>
      </c>
      <c r="X58" s="54" t="str">
        <f aca="false">IF(A58="","",IF(COUNTIF(FND_ID,A58)&gt;1,"CHECK: duplicate ID",IF(B58="","CHECK: Supplier ID missing",IF(COUNTIF(INV_ID,B58)=0,"CHECK: Supplier ID not in inventory",IF(AND(D58&lt;&gt;"",COUNTIF(RSK_ID,D58)=0),"CHECK: Risk ID not found",IF(AND(D58&lt;&gt;"",COUNTIF(RSK_ID,D58)&gt;0,IFERROR(INDEX(RSK_SUP,MATCH(D58,RSK_ID,0)),"")&lt;&gt;B58),"CHECK: Risk belongs to a different supplier",IF(AND(O58="Closed - verified",S58=""),"CHECK: closed without verification reference","OK")))))))</f>
        <v/>
      </c>
      <c r="Y58" s="52" t="str">
        <f aca="false">IF(OR(A58="",B58=""),"",IF(AND(U58="Active",B58=RptSup),B58&amp;"|"&amp;COUNTIFS($B$7:B58,B58,$U$7:U58,"Active"),""))</f>
        <v/>
      </c>
    </row>
    <row r="59" customFormat="false" ht="15" hidden="false" customHeight="false" outlineLevel="0" collapsed="false">
      <c r="A59" s="50"/>
      <c r="B59" s="50"/>
      <c r="C59" s="59" t="str">
        <f aca="false">IF(B59="","",IFERROR(INDEX(INV_NAME,MATCH(B59,INV_ID,0)),"CHECK: Supplier ID not found"))</f>
        <v/>
      </c>
      <c r="D59" s="50"/>
      <c r="E59" s="50"/>
      <c r="F59" s="50"/>
      <c r="G59" s="34"/>
      <c r="H59" s="34"/>
      <c r="I59" s="34"/>
      <c r="J59" s="34"/>
      <c r="K59" s="34"/>
      <c r="L59" s="50"/>
      <c r="M59" s="34"/>
      <c r="N59" s="34"/>
      <c r="O59" s="34"/>
      <c r="P59" s="51"/>
      <c r="Q59" s="51"/>
      <c r="R59" s="51"/>
      <c r="S59" s="34"/>
      <c r="T59" s="34"/>
      <c r="U59" s="52" t="str">
        <f aca="false">IF(A59="","",IF(OR(O59="Closed - verified",O59="Withdrawn"),"Closed","Active"))</f>
        <v/>
      </c>
      <c r="V59" s="52" t="str">
        <f aca="false">IF(A59="","",IF(AND(OR(O59="",O59="Open",O59="In remediation",O59="Remediated - pending verification"),ISNUMBER(Q59),Q59&lt;AsOf),"Overdue",""))</f>
        <v/>
      </c>
      <c r="W59" s="62" t="str">
        <f aca="false">IF(A59="","",COUNTIF(TRT_FND,A59))</f>
        <v/>
      </c>
      <c r="X59" s="54" t="str">
        <f aca="false">IF(A59="","",IF(COUNTIF(FND_ID,A59)&gt;1,"CHECK: duplicate ID",IF(B59="","CHECK: Supplier ID missing",IF(COUNTIF(INV_ID,B59)=0,"CHECK: Supplier ID not in inventory",IF(AND(D59&lt;&gt;"",COUNTIF(RSK_ID,D59)=0),"CHECK: Risk ID not found",IF(AND(D59&lt;&gt;"",COUNTIF(RSK_ID,D59)&gt;0,IFERROR(INDEX(RSK_SUP,MATCH(D59,RSK_ID,0)),"")&lt;&gt;B59),"CHECK: Risk belongs to a different supplier",IF(AND(O59="Closed - verified",S59=""),"CHECK: closed without verification reference","OK")))))))</f>
        <v/>
      </c>
      <c r="Y59" s="52" t="str">
        <f aca="false">IF(OR(A59="",B59=""),"",IF(AND(U59="Active",B59=RptSup),B59&amp;"|"&amp;COUNTIFS($B$7:B59,B59,$U$7:U59,"Active"),""))</f>
        <v/>
      </c>
    </row>
    <row r="60" customFormat="false" ht="15" hidden="false" customHeight="false" outlineLevel="0" collapsed="false">
      <c r="A60" s="50"/>
      <c r="B60" s="50"/>
      <c r="C60" s="59" t="str">
        <f aca="false">IF(B60="","",IFERROR(INDEX(INV_NAME,MATCH(B60,INV_ID,0)),"CHECK: Supplier ID not found"))</f>
        <v/>
      </c>
      <c r="D60" s="50"/>
      <c r="E60" s="50"/>
      <c r="F60" s="50"/>
      <c r="G60" s="34"/>
      <c r="H60" s="34"/>
      <c r="I60" s="34"/>
      <c r="J60" s="34"/>
      <c r="K60" s="34"/>
      <c r="L60" s="50"/>
      <c r="M60" s="34"/>
      <c r="N60" s="34"/>
      <c r="O60" s="34"/>
      <c r="P60" s="51"/>
      <c r="Q60" s="51"/>
      <c r="R60" s="51"/>
      <c r="S60" s="34"/>
      <c r="T60" s="34"/>
      <c r="U60" s="52" t="str">
        <f aca="false">IF(A60="","",IF(OR(O60="Closed - verified",O60="Withdrawn"),"Closed","Active"))</f>
        <v/>
      </c>
      <c r="V60" s="52" t="str">
        <f aca="false">IF(A60="","",IF(AND(OR(O60="",O60="Open",O60="In remediation",O60="Remediated - pending verification"),ISNUMBER(Q60),Q60&lt;AsOf),"Overdue",""))</f>
        <v/>
      </c>
      <c r="W60" s="62" t="str">
        <f aca="false">IF(A60="","",COUNTIF(TRT_FND,A60))</f>
        <v/>
      </c>
      <c r="X60" s="54" t="str">
        <f aca="false">IF(A60="","",IF(COUNTIF(FND_ID,A60)&gt;1,"CHECK: duplicate ID",IF(B60="","CHECK: Supplier ID missing",IF(COUNTIF(INV_ID,B60)=0,"CHECK: Supplier ID not in inventory",IF(AND(D60&lt;&gt;"",COUNTIF(RSK_ID,D60)=0),"CHECK: Risk ID not found",IF(AND(D60&lt;&gt;"",COUNTIF(RSK_ID,D60)&gt;0,IFERROR(INDEX(RSK_SUP,MATCH(D60,RSK_ID,0)),"")&lt;&gt;B60),"CHECK: Risk belongs to a different supplier",IF(AND(O60="Closed - verified",S60=""),"CHECK: closed without verification reference","OK")))))))</f>
        <v/>
      </c>
      <c r="Y60" s="52" t="str">
        <f aca="false">IF(OR(A60="",B60=""),"",IF(AND(U60="Active",B60=RptSup),B60&amp;"|"&amp;COUNTIFS($B$7:B60,B60,$U$7:U60,"Active"),""))</f>
        <v/>
      </c>
    </row>
    <row r="61" customFormat="false" ht="15" hidden="false" customHeight="false" outlineLevel="0" collapsed="false">
      <c r="A61" s="50"/>
      <c r="B61" s="50"/>
      <c r="C61" s="59" t="str">
        <f aca="false">IF(B61="","",IFERROR(INDEX(INV_NAME,MATCH(B61,INV_ID,0)),"CHECK: Supplier ID not found"))</f>
        <v/>
      </c>
      <c r="D61" s="50"/>
      <c r="E61" s="50"/>
      <c r="F61" s="50"/>
      <c r="G61" s="34"/>
      <c r="H61" s="34"/>
      <c r="I61" s="34"/>
      <c r="J61" s="34"/>
      <c r="K61" s="34"/>
      <c r="L61" s="50"/>
      <c r="M61" s="34"/>
      <c r="N61" s="34"/>
      <c r="O61" s="34"/>
      <c r="P61" s="51"/>
      <c r="Q61" s="51"/>
      <c r="R61" s="51"/>
      <c r="S61" s="34"/>
      <c r="T61" s="34"/>
      <c r="U61" s="52" t="str">
        <f aca="false">IF(A61="","",IF(OR(O61="Closed - verified",O61="Withdrawn"),"Closed","Active"))</f>
        <v/>
      </c>
      <c r="V61" s="52" t="str">
        <f aca="false">IF(A61="","",IF(AND(OR(O61="",O61="Open",O61="In remediation",O61="Remediated - pending verification"),ISNUMBER(Q61),Q61&lt;AsOf),"Overdue",""))</f>
        <v/>
      </c>
      <c r="W61" s="62" t="str">
        <f aca="false">IF(A61="","",COUNTIF(TRT_FND,A61))</f>
        <v/>
      </c>
      <c r="X61" s="54" t="str">
        <f aca="false">IF(A61="","",IF(COUNTIF(FND_ID,A61)&gt;1,"CHECK: duplicate ID",IF(B61="","CHECK: Supplier ID missing",IF(COUNTIF(INV_ID,B61)=0,"CHECK: Supplier ID not in inventory",IF(AND(D61&lt;&gt;"",COUNTIF(RSK_ID,D61)=0),"CHECK: Risk ID not found",IF(AND(D61&lt;&gt;"",COUNTIF(RSK_ID,D61)&gt;0,IFERROR(INDEX(RSK_SUP,MATCH(D61,RSK_ID,0)),"")&lt;&gt;B61),"CHECK: Risk belongs to a different supplier",IF(AND(O61="Closed - verified",S61=""),"CHECK: closed without verification reference","OK")))))))</f>
        <v/>
      </c>
      <c r="Y61" s="52" t="str">
        <f aca="false">IF(OR(A61="",B61=""),"",IF(AND(U61="Active",B61=RptSup),B61&amp;"|"&amp;COUNTIFS($B$7:B61,B61,$U$7:U61,"Active"),""))</f>
        <v/>
      </c>
    </row>
    <row r="62" customFormat="false" ht="15" hidden="false" customHeight="false" outlineLevel="0" collapsed="false">
      <c r="A62" s="50"/>
      <c r="B62" s="50"/>
      <c r="C62" s="59" t="str">
        <f aca="false">IF(B62="","",IFERROR(INDEX(INV_NAME,MATCH(B62,INV_ID,0)),"CHECK: Supplier ID not found"))</f>
        <v/>
      </c>
      <c r="D62" s="50"/>
      <c r="E62" s="50"/>
      <c r="F62" s="50"/>
      <c r="G62" s="34"/>
      <c r="H62" s="34"/>
      <c r="I62" s="34"/>
      <c r="J62" s="34"/>
      <c r="K62" s="34"/>
      <c r="L62" s="50"/>
      <c r="M62" s="34"/>
      <c r="N62" s="34"/>
      <c r="O62" s="34"/>
      <c r="P62" s="51"/>
      <c r="Q62" s="51"/>
      <c r="R62" s="51"/>
      <c r="S62" s="34"/>
      <c r="T62" s="34"/>
      <c r="U62" s="52" t="str">
        <f aca="false">IF(A62="","",IF(OR(O62="Closed - verified",O62="Withdrawn"),"Closed","Active"))</f>
        <v/>
      </c>
      <c r="V62" s="52" t="str">
        <f aca="false">IF(A62="","",IF(AND(OR(O62="",O62="Open",O62="In remediation",O62="Remediated - pending verification"),ISNUMBER(Q62),Q62&lt;AsOf),"Overdue",""))</f>
        <v/>
      </c>
      <c r="W62" s="62" t="str">
        <f aca="false">IF(A62="","",COUNTIF(TRT_FND,A62))</f>
        <v/>
      </c>
      <c r="X62" s="54" t="str">
        <f aca="false">IF(A62="","",IF(COUNTIF(FND_ID,A62)&gt;1,"CHECK: duplicate ID",IF(B62="","CHECK: Supplier ID missing",IF(COUNTIF(INV_ID,B62)=0,"CHECK: Supplier ID not in inventory",IF(AND(D62&lt;&gt;"",COUNTIF(RSK_ID,D62)=0),"CHECK: Risk ID not found",IF(AND(D62&lt;&gt;"",COUNTIF(RSK_ID,D62)&gt;0,IFERROR(INDEX(RSK_SUP,MATCH(D62,RSK_ID,0)),"")&lt;&gt;B62),"CHECK: Risk belongs to a different supplier",IF(AND(O62="Closed - verified",S62=""),"CHECK: closed without verification reference","OK")))))))</f>
        <v/>
      </c>
      <c r="Y62" s="52" t="str">
        <f aca="false">IF(OR(A62="",B62=""),"",IF(AND(U62="Active",B62=RptSup),B62&amp;"|"&amp;COUNTIFS($B$7:B62,B62,$U$7:U62,"Active"),""))</f>
        <v/>
      </c>
    </row>
    <row r="63" customFormat="false" ht="15" hidden="false" customHeight="false" outlineLevel="0" collapsed="false">
      <c r="A63" s="50"/>
      <c r="B63" s="50"/>
      <c r="C63" s="59" t="str">
        <f aca="false">IF(B63="","",IFERROR(INDEX(INV_NAME,MATCH(B63,INV_ID,0)),"CHECK: Supplier ID not found"))</f>
        <v/>
      </c>
      <c r="D63" s="50"/>
      <c r="E63" s="50"/>
      <c r="F63" s="50"/>
      <c r="G63" s="34"/>
      <c r="H63" s="34"/>
      <c r="I63" s="34"/>
      <c r="J63" s="34"/>
      <c r="K63" s="34"/>
      <c r="L63" s="50"/>
      <c r="M63" s="34"/>
      <c r="N63" s="34"/>
      <c r="O63" s="34"/>
      <c r="P63" s="51"/>
      <c r="Q63" s="51"/>
      <c r="R63" s="51"/>
      <c r="S63" s="34"/>
      <c r="T63" s="34"/>
      <c r="U63" s="52" t="str">
        <f aca="false">IF(A63="","",IF(OR(O63="Closed - verified",O63="Withdrawn"),"Closed","Active"))</f>
        <v/>
      </c>
      <c r="V63" s="52" t="str">
        <f aca="false">IF(A63="","",IF(AND(OR(O63="",O63="Open",O63="In remediation",O63="Remediated - pending verification"),ISNUMBER(Q63),Q63&lt;AsOf),"Overdue",""))</f>
        <v/>
      </c>
      <c r="W63" s="62" t="str">
        <f aca="false">IF(A63="","",COUNTIF(TRT_FND,A63))</f>
        <v/>
      </c>
      <c r="X63" s="54" t="str">
        <f aca="false">IF(A63="","",IF(COUNTIF(FND_ID,A63)&gt;1,"CHECK: duplicate ID",IF(B63="","CHECK: Supplier ID missing",IF(COUNTIF(INV_ID,B63)=0,"CHECK: Supplier ID not in inventory",IF(AND(D63&lt;&gt;"",COUNTIF(RSK_ID,D63)=0),"CHECK: Risk ID not found",IF(AND(D63&lt;&gt;"",COUNTIF(RSK_ID,D63)&gt;0,IFERROR(INDEX(RSK_SUP,MATCH(D63,RSK_ID,0)),"")&lt;&gt;B63),"CHECK: Risk belongs to a different supplier",IF(AND(O63="Closed - verified",S63=""),"CHECK: closed without verification reference","OK")))))))</f>
        <v/>
      </c>
      <c r="Y63" s="52" t="str">
        <f aca="false">IF(OR(A63="",B63=""),"",IF(AND(U63="Active",B63=RptSup),B63&amp;"|"&amp;COUNTIFS($B$7:B63,B63,$U$7:U63,"Active"),""))</f>
        <v/>
      </c>
    </row>
    <row r="64" customFormat="false" ht="15" hidden="false" customHeight="false" outlineLevel="0" collapsed="false">
      <c r="A64" s="50"/>
      <c r="B64" s="50"/>
      <c r="C64" s="59" t="str">
        <f aca="false">IF(B64="","",IFERROR(INDEX(INV_NAME,MATCH(B64,INV_ID,0)),"CHECK: Supplier ID not found"))</f>
        <v/>
      </c>
      <c r="D64" s="50"/>
      <c r="E64" s="50"/>
      <c r="F64" s="50"/>
      <c r="G64" s="34"/>
      <c r="H64" s="34"/>
      <c r="I64" s="34"/>
      <c r="J64" s="34"/>
      <c r="K64" s="34"/>
      <c r="L64" s="50"/>
      <c r="M64" s="34"/>
      <c r="N64" s="34"/>
      <c r="O64" s="34"/>
      <c r="P64" s="51"/>
      <c r="Q64" s="51"/>
      <c r="R64" s="51"/>
      <c r="S64" s="34"/>
      <c r="T64" s="34"/>
      <c r="U64" s="52" t="str">
        <f aca="false">IF(A64="","",IF(OR(O64="Closed - verified",O64="Withdrawn"),"Closed","Active"))</f>
        <v/>
      </c>
      <c r="V64" s="52" t="str">
        <f aca="false">IF(A64="","",IF(AND(OR(O64="",O64="Open",O64="In remediation",O64="Remediated - pending verification"),ISNUMBER(Q64),Q64&lt;AsOf),"Overdue",""))</f>
        <v/>
      </c>
      <c r="W64" s="62" t="str">
        <f aca="false">IF(A64="","",COUNTIF(TRT_FND,A64))</f>
        <v/>
      </c>
      <c r="X64" s="54" t="str">
        <f aca="false">IF(A64="","",IF(COUNTIF(FND_ID,A64)&gt;1,"CHECK: duplicate ID",IF(B64="","CHECK: Supplier ID missing",IF(COUNTIF(INV_ID,B64)=0,"CHECK: Supplier ID not in inventory",IF(AND(D64&lt;&gt;"",COUNTIF(RSK_ID,D64)=0),"CHECK: Risk ID not found",IF(AND(D64&lt;&gt;"",COUNTIF(RSK_ID,D64)&gt;0,IFERROR(INDEX(RSK_SUP,MATCH(D64,RSK_ID,0)),"")&lt;&gt;B64),"CHECK: Risk belongs to a different supplier",IF(AND(O64="Closed - verified",S64=""),"CHECK: closed without verification reference","OK")))))))</f>
        <v/>
      </c>
      <c r="Y64" s="52" t="str">
        <f aca="false">IF(OR(A64="",B64=""),"",IF(AND(U64="Active",B64=RptSup),B64&amp;"|"&amp;COUNTIFS($B$7:B64,B64,$U$7:U64,"Active"),""))</f>
        <v/>
      </c>
    </row>
    <row r="65" customFormat="false" ht="15" hidden="false" customHeight="false" outlineLevel="0" collapsed="false">
      <c r="A65" s="50"/>
      <c r="B65" s="50"/>
      <c r="C65" s="59" t="str">
        <f aca="false">IF(B65="","",IFERROR(INDEX(INV_NAME,MATCH(B65,INV_ID,0)),"CHECK: Supplier ID not found"))</f>
        <v/>
      </c>
      <c r="D65" s="50"/>
      <c r="E65" s="50"/>
      <c r="F65" s="50"/>
      <c r="G65" s="34"/>
      <c r="H65" s="34"/>
      <c r="I65" s="34"/>
      <c r="J65" s="34"/>
      <c r="K65" s="34"/>
      <c r="L65" s="50"/>
      <c r="M65" s="34"/>
      <c r="N65" s="34"/>
      <c r="O65" s="34"/>
      <c r="P65" s="51"/>
      <c r="Q65" s="51"/>
      <c r="R65" s="51"/>
      <c r="S65" s="34"/>
      <c r="T65" s="34"/>
      <c r="U65" s="52" t="str">
        <f aca="false">IF(A65="","",IF(OR(O65="Closed - verified",O65="Withdrawn"),"Closed","Active"))</f>
        <v/>
      </c>
      <c r="V65" s="52" t="str">
        <f aca="false">IF(A65="","",IF(AND(OR(O65="",O65="Open",O65="In remediation",O65="Remediated - pending verification"),ISNUMBER(Q65),Q65&lt;AsOf),"Overdue",""))</f>
        <v/>
      </c>
      <c r="W65" s="62" t="str">
        <f aca="false">IF(A65="","",COUNTIF(TRT_FND,A65))</f>
        <v/>
      </c>
      <c r="X65" s="54" t="str">
        <f aca="false">IF(A65="","",IF(COUNTIF(FND_ID,A65)&gt;1,"CHECK: duplicate ID",IF(B65="","CHECK: Supplier ID missing",IF(COUNTIF(INV_ID,B65)=0,"CHECK: Supplier ID not in inventory",IF(AND(D65&lt;&gt;"",COUNTIF(RSK_ID,D65)=0),"CHECK: Risk ID not found",IF(AND(D65&lt;&gt;"",COUNTIF(RSK_ID,D65)&gt;0,IFERROR(INDEX(RSK_SUP,MATCH(D65,RSK_ID,0)),"")&lt;&gt;B65),"CHECK: Risk belongs to a different supplier",IF(AND(O65="Closed - verified",S65=""),"CHECK: closed without verification reference","OK")))))))</f>
        <v/>
      </c>
      <c r="Y65" s="52" t="str">
        <f aca="false">IF(OR(A65="",B65=""),"",IF(AND(U65="Active",B65=RptSup),B65&amp;"|"&amp;COUNTIFS($B$7:B65,B65,$U$7:U65,"Active"),""))</f>
        <v/>
      </c>
    </row>
    <row r="66" customFormat="false" ht="15" hidden="false" customHeight="false" outlineLevel="0" collapsed="false">
      <c r="A66" s="50"/>
      <c r="B66" s="50"/>
      <c r="C66" s="59" t="str">
        <f aca="false">IF(B66="","",IFERROR(INDEX(INV_NAME,MATCH(B66,INV_ID,0)),"CHECK: Supplier ID not found"))</f>
        <v/>
      </c>
      <c r="D66" s="50"/>
      <c r="E66" s="50"/>
      <c r="F66" s="50"/>
      <c r="G66" s="34"/>
      <c r="H66" s="34"/>
      <c r="I66" s="34"/>
      <c r="J66" s="34"/>
      <c r="K66" s="34"/>
      <c r="L66" s="50"/>
      <c r="M66" s="34"/>
      <c r="N66" s="34"/>
      <c r="O66" s="34"/>
      <c r="P66" s="51"/>
      <c r="Q66" s="51"/>
      <c r="R66" s="51"/>
      <c r="S66" s="34"/>
      <c r="T66" s="34"/>
      <c r="U66" s="52" t="str">
        <f aca="false">IF(A66="","",IF(OR(O66="Closed - verified",O66="Withdrawn"),"Closed","Active"))</f>
        <v/>
      </c>
      <c r="V66" s="52" t="str">
        <f aca="false">IF(A66="","",IF(AND(OR(O66="",O66="Open",O66="In remediation",O66="Remediated - pending verification"),ISNUMBER(Q66),Q66&lt;AsOf),"Overdue",""))</f>
        <v/>
      </c>
      <c r="W66" s="62" t="str">
        <f aca="false">IF(A66="","",COUNTIF(TRT_FND,A66))</f>
        <v/>
      </c>
      <c r="X66" s="54" t="str">
        <f aca="false">IF(A66="","",IF(COUNTIF(FND_ID,A66)&gt;1,"CHECK: duplicate ID",IF(B66="","CHECK: Supplier ID missing",IF(COUNTIF(INV_ID,B66)=0,"CHECK: Supplier ID not in inventory",IF(AND(D66&lt;&gt;"",COUNTIF(RSK_ID,D66)=0),"CHECK: Risk ID not found",IF(AND(D66&lt;&gt;"",COUNTIF(RSK_ID,D66)&gt;0,IFERROR(INDEX(RSK_SUP,MATCH(D66,RSK_ID,0)),"")&lt;&gt;B66),"CHECK: Risk belongs to a different supplier",IF(AND(O66="Closed - verified",S66=""),"CHECK: closed without verification reference","OK")))))))</f>
        <v/>
      </c>
      <c r="Y66" s="52" t="str">
        <f aca="false">IF(OR(A66="",B66=""),"",IF(AND(U66="Active",B66=RptSup),B66&amp;"|"&amp;COUNTIFS($B$7:B66,B66,$U$7:U66,"Active"),""))</f>
        <v/>
      </c>
    </row>
    <row r="67" customFormat="false" ht="15" hidden="false" customHeight="false" outlineLevel="0" collapsed="false">
      <c r="A67" s="50"/>
      <c r="B67" s="50"/>
      <c r="C67" s="59" t="str">
        <f aca="false">IF(B67="","",IFERROR(INDEX(INV_NAME,MATCH(B67,INV_ID,0)),"CHECK: Supplier ID not found"))</f>
        <v/>
      </c>
      <c r="D67" s="50"/>
      <c r="E67" s="50"/>
      <c r="F67" s="50"/>
      <c r="G67" s="34"/>
      <c r="H67" s="34"/>
      <c r="I67" s="34"/>
      <c r="J67" s="34"/>
      <c r="K67" s="34"/>
      <c r="L67" s="50"/>
      <c r="M67" s="34"/>
      <c r="N67" s="34"/>
      <c r="O67" s="34"/>
      <c r="P67" s="51"/>
      <c r="Q67" s="51"/>
      <c r="R67" s="51"/>
      <c r="S67" s="34"/>
      <c r="T67" s="34"/>
      <c r="U67" s="52" t="str">
        <f aca="false">IF(A67="","",IF(OR(O67="Closed - verified",O67="Withdrawn"),"Closed","Active"))</f>
        <v/>
      </c>
      <c r="V67" s="52" t="str">
        <f aca="false">IF(A67="","",IF(AND(OR(O67="",O67="Open",O67="In remediation",O67="Remediated - pending verification"),ISNUMBER(Q67),Q67&lt;AsOf),"Overdue",""))</f>
        <v/>
      </c>
      <c r="W67" s="62" t="str">
        <f aca="false">IF(A67="","",COUNTIF(TRT_FND,A67))</f>
        <v/>
      </c>
      <c r="X67" s="54" t="str">
        <f aca="false">IF(A67="","",IF(COUNTIF(FND_ID,A67)&gt;1,"CHECK: duplicate ID",IF(B67="","CHECK: Supplier ID missing",IF(COUNTIF(INV_ID,B67)=0,"CHECK: Supplier ID not in inventory",IF(AND(D67&lt;&gt;"",COUNTIF(RSK_ID,D67)=0),"CHECK: Risk ID not found",IF(AND(D67&lt;&gt;"",COUNTIF(RSK_ID,D67)&gt;0,IFERROR(INDEX(RSK_SUP,MATCH(D67,RSK_ID,0)),"")&lt;&gt;B67),"CHECK: Risk belongs to a different supplier",IF(AND(O67="Closed - verified",S67=""),"CHECK: closed without verification reference","OK")))))))</f>
        <v/>
      </c>
      <c r="Y67" s="52" t="str">
        <f aca="false">IF(OR(A67="",B67=""),"",IF(AND(U67="Active",B67=RptSup),B67&amp;"|"&amp;COUNTIFS($B$7:B67,B67,$U$7:U67,"Active"),""))</f>
        <v/>
      </c>
    </row>
    <row r="68" customFormat="false" ht="15" hidden="false" customHeight="false" outlineLevel="0" collapsed="false">
      <c r="A68" s="50"/>
      <c r="B68" s="50"/>
      <c r="C68" s="59" t="str">
        <f aca="false">IF(B68="","",IFERROR(INDEX(INV_NAME,MATCH(B68,INV_ID,0)),"CHECK: Supplier ID not found"))</f>
        <v/>
      </c>
      <c r="D68" s="50"/>
      <c r="E68" s="50"/>
      <c r="F68" s="50"/>
      <c r="G68" s="34"/>
      <c r="H68" s="34"/>
      <c r="I68" s="34"/>
      <c r="J68" s="34"/>
      <c r="K68" s="34"/>
      <c r="L68" s="50"/>
      <c r="M68" s="34"/>
      <c r="N68" s="34"/>
      <c r="O68" s="34"/>
      <c r="P68" s="51"/>
      <c r="Q68" s="51"/>
      <c r="R68" s="51"/>
      <c r="S68" s="34"/>
      <c r="T68" s="34"/>
      <c r="U68" s="52" t="str">
        <f aca="false">IF(A68="","",IF(OR(O68="Closed - verified",O68="Withdrawn"),"Closed","Active"))</f>
        <v/>
      </c>
      <c r="V68" s="52" t="str">
        <f aca="false">IF(A68="","",IF(AND(OR(O68="",O68="Open",O68="In remediation",O68="Remediated - pending verification"),ISNUMBER(Q68),Q68&lt;AsOf),"Overdue",""))</f>
        <v/>
      </c>
      <c r="W68" s="62" t="str">
        <f aca="false">IF(A68="","",COUNTIF(TRT_FND,A68))</f>
        <v/>
      </c>
      <c r="X68" s="54" t="str">
        <f aca="false">IF(A68="","",IF(COUNTIF(FND_ID,A68)&gt;1,"CHECK: duplicate ID",IF(B68="","CHECK: Supplier ID missing",IF(COUNTIF(INV_ID,B68)=0,"CHECK: Supplier ID not in inventory",IF(AND(D68&lt;&gt;"",COUNTIF(RSK_ID,D68)=0),"CHECK: Risk ID not found",IF(AND(D68&lt;&gt;"",COUNTIF(RSK_ID,D68)&gt;0,IFERROR(INDEX(RSK_SUP,MATCH(D68,RSK_ID,0)),"")&lt;&gt;B68),"CHECK: Risk belongs to a different supplier",IF(AND(O68="Closed - verified",S68=""),"CHECK: closed without verification reference","OK")))))))</f>
        <v/>
      </c>
      <c r="Y68" s="52" t="str">
        <f aca="false">IF(OR(A68="",B68=""),"",IF(AND(U68="Active",B68=RptSup),B68&amp;"|"&amp;COUNTIFS($B$7:B68,B68,$U$7:U68,"Active"),""))</f>
        <v/>
      </c>
    </row>
    <row r="69" customFormat="false" ht="15" hidden="false" customHeight="false" outlineLevel="0" collapsed="false">
      <c r="A69" s="50"/>
      <c r="B69" s="50"/>
      <c r="C69" s="59" t="str">
        <f aca="false">IF(B69="","",IFERROR(INDEX(INV_NAME,MATCH(B69,INV_ID,0)),"CHECK: Supplier ID not found"))</f>
        <v/>
      </c>
      <c r="D69" s="50"/>
      <c r="E69" s="50"/>
      <c r="F69" s="50"/>
      <c r="G69" s="34"/>
      <c r="H69" s="34"/>
      <c r="I69" s="34"/>
      <c r="J69" s="34"/>
      <c r="K69" s="34"/>
      <c r="L69" s="50"/>
      <c r="M69" s="34"/>
      <c r="N69" s="34"/>
      <c r="O69" s="34"/>
      <c r="P69" s="51"/>
      <c r="Q69" s="51"/>
      <c r="R69" s="51"/>
      <c r="S69" s="34"/>
      <c r="T69" s="34"/>
      <c r="U69" s="52" t="str">
        <f aca="false">IF(A69="","",IF(OR(O69="Closed - verified",O69="Withdrawn"),"Closed","Active"))</f>
        <v/>
      </c>
      <c r="V69" s="52" t="str">
        <f aca="false">IF(A69="","",IF(AND(OR(O69="",O69="Open",O69="In remediation",O69="Remediated - pending verification"),ISNUMBER(Q69),Q69&lt;AsOf),"Overdue",""))</f>
        <v/>
      </c>
      <c r="W69" s="62" t="str">
        <f aca="false">IF(A69="","",COUNTIF(TRT_FND,A69))</f>
        <v/>
      </c>
      <c r="X69" s="54" t="str">
        <f aca="false">IF(A69="","",IF(COUNTIF(FND_ID,A69)&gt;1,"CHECK: duplicate ID",IF(B69="","CHECK: Supplier ID missing",IF(COUNTIF(INV_ID,B69)=0,"CHECK: Supplier ID not in inventory",IF(AND(D69&lt;&gt;"",COUNTIF(RSK_ID,D69)=0),"CHECK: Risk ID not found",IF(AND(D69&lt;&gt;"",COUNTIF(RSK_ID,D69)&gt;0,IFERROR(INDEX(RSK_SUP,MATCH(D69,RSK_ID,0)),"")&lt;&gt;B69),"CHECK: Risk belongs to a different supplier",IF(AND(O69="Closed - verified",S69=""),"CHECK: closed without verification reference","OK")))))))</f>
        <v/>
      </c>
      <c r="Y69" s="52" t="str">
        <f aca="false">IF(OR(A69="",B69=""),"",IF(AND(U69="Active",B69=RptSup),B69&amp;"|"&amp;COUNTIFS($B$7:B69,B69,$U$7:U69,"Active"),""))</f>
        <v/>
      </c>
    </row>
    <row r="70" customFormat="false" ht="15" hidden="false" customHeight="false" outlineLevel="0" collapsed="false">
      <c r="A70" s="50"/>
      <c r="B70" s="50"/>
      <c r="C70" s="59" t="str">
        <f aca="false">IF(B70="","",IFERROR(INDEX(INV_NAME,MATCH(B70,INV_ID,0)),"CHECK: Supplier ID not found"))</f>
        <v/>
      </c>
      <c r="D70" s="50"/>
      <c r="E70" s="50"/>
      <c r="F70" s="50"/>
      <c r="G70" s="34"/>
      <c r="H70" s="34"/>
      <c r="I70" s="34"/>
      <c r="J70" s="34"/>
      <c r="K70" s="34"/>
      <c r="L70" s="50"/>
      <c r="M70" s="34"/>
      <c r="N70" s="34"/>
      <c r="O70" s="34"/>
      <c r="P70" s="51"/>
      <c r="Q70" s="51"/>
      <c r="R70" s="51"/>
      <c r="S70" s="34"/>
      <c r="T70" s="34"/>
      <c r="U70" s="52" t="str">
        <f aca="false">IF(A70="","",IF(OR(O70="Closed - verified",O70="Withdrawn"),"Closed","Active"))</f>
        <v/>
      </c>
      <c r="V70" s="52" t="str">
        <f aca="false">IF(A70="","",IF(AND(OR(O70="",O70="Open",O70="In remediation",O70="Remediated - pending verification"),ISNUMBER(Q70),Q70&lt;AsOf),"Overdue",""))</f>
        <v/>
      </c>
      <c r="W70" s="62" t="str">
        <f aca="false">IF(A70="","",COUNTIF(TRT_FND,A70))</f>
        <v/>
      </c>
      <c r="X70" s="54" t="str">
        <f aca="false">IF(A70="","",IF(COUNTIF(FND_ID,A70)&gt;1,"CHECK: duplicate ID",IF(B70="","CHECK: Supplier ID missing",IF(COUNTIF(INV_ID,B70)=0,"CHECK: Supplier ID not in inventory",IF(AND(D70&lt;&gt;"",COUNTIF(RSK_ID,D70)=0),"CHECK: Risk ID not found",IF(AND(D70&lt;&gt;"",COUNTIF(RSK_ID,D70)&gt;0,IFERROR(INDEX(RSK_SUP,MATCH(D70,RSK_ID,0)),"")&lt;&gt;B70),"CHECK: Risk belongs to a different supplier",IF(AND(O70="Closed - verified",S70=""),"CHECK: closed without verification reference","OK")))))))</f>
        <v/>
      </c>
      <c r="Y70" s="52" t="str">
        <f aca="false">IF(OR(A70="",B70=""),"",IF(AND(U70="Active",B70=RptSup),B70&amp;"|"&amp;COUNTIFS($B$7:B70,B70,$U$7:U70,"Active"),""))</f>
        <v/>
      </c>
    </row>
    <row r="71" customFormat="false" ht="15" hidden="false" customHeight="false" outlineLevel="0" collapsed="false">
      <c r="A71" s="50"/>
      <c r="B71" s="50"/>
      <c r="C71" s="59" t="str">
        <f aca="false">IF(B71="","",IFERROR(INDEX(INV_NAME,MATCH(B71,INV_ID,0)),"CHECK: Supplier ID not found"))</f>
        <v/>
      </c>
      <c r="D71" s="50"/>
      <c r="E71" s="50"/>
      <c r="F71" s="50"/>
      <c r="G71" s="34"/>
      <c r="H71" s="34"/>
      <c r="I71" s="34"/>
      <c r="J71" s="34"/>
      <c r="K71" s="34"/>
      <c r="L71" s="50"/>
      <c r="M71" s="34"/>
      <c r="N71" s="34"/>
      <c r="O71" s="34"/>
      <c r="P71" s="51"/>
      <c r="Q71" s="51"/>
      <c r="R71" s="51"/>
      <c r="S71" s="34"/>
      <c r="T71" s="34"/>
      <c r="U71" s="52" t="str">
        <f aca="false">IF(A71="","",IF(OR(O71="Closed - verified",O71="Withdrawn"),"Closed","Active"))</f>
        <v/>
      </c>
      <c r="V71" s="52" t="str">
        <f aca="false">IF(A71="","",IF(AND(OR(O71="",O71="Open",O71="In remediation",O71="Remediated - pending verification"),ISNUMBER(Q71),Q71&lt;AsOf),"Overdue",""))</f>
        <v/>
      </c>
      <c r="W71" s="62" t="str">
        <f aca="false">IF(A71="","",COUNTIF(TRT_FND,A71))</f>
        <v/>
      </c>
      <c r="X71" s="54" t="str">
        <f aca="false">IF(A71="","",IF(COUNTIF(FND_ID,A71)&gt;1,"CHECK: duplicate ID",IF(B71="","CHECK: Supplier ID missing",IF(COUNTIF(INV_ID,B71)=0,"CHECK: Supplier ID not in inventory",IF(AND(D71&lt;&gt;"",COUNTIF(RSK_ID,D71)=0),"CHECK: Risk ID not found",IF(AND(D71&lt;&gt;"",COUNTIF(RSK_ID,D71)&gt;0,IFERROR(INDEX(RSK_SUP,MATCH(D71,RSK_ID,0)),"")&lt;&gt;B71),"CHECK: Risk belongs to a different supplier",IF(AND(O71="Closed - verified",S71=""),"CHECK: closed without verification reference","OK")))))))</f>
        <v/>
      </c>
      <c r="Y71" s="52" t="str">
        <f aca="false">IF(OR(A71="",B71=""),"",IF(AND(U71="Active",B71=RptSup),B71&amp;"|"&amp;COUNTIFS($B$7:B71,B71,$U$7:U71,"Active"),""))</f>
        <v/>
      </c>
    </row>
    <row r="72" customFormat="false" ht="15" hidden="false" customHeight="false" outlineLevel="0" collapsed="false">
      <c r="A72" s="50"/>
      <c r="B72" s="50"/>
      <c r="C72" s="59" t="str">
        <f aca="false">IF(B72="","",IFERROR(INDEX(INV_NAME,MATCH(B72,INV_ID,0)),"CHECK: Supplier ID not found"))</f>
        <v/>
      </c>
      <c r="D72" s="50"/>
      <c r="E72" s="50"/>
      <c r="F72" s="50"/>
      <c r="G72" s="34"/>
      <c r="H72" s="34"/>
      <c r="I72" s="34"/>
      <c r="J72" s="34"/>
      <c r="K72" s="34"/>
      <c r="L72" s="50"/>
      <c r="M72" s="34"/>
      <c r="N72" s="34"/>
      <c r="O72" s="34"/>
      <c r="P72" s="51"/>
      <c r="Q72" s="51"/>
      <c r="R72" s="51"/>
      <c r="S72" s="34"/>
      <c r="T72" s="34"/>
      <c r="U72" s="52" t="str">
        <f aca="false">IF(A72="","",IF(OR(O72="Closed - verified",O72="Withdrawn"),"Closed","Active"))</f>
        <v/>
      </c>
      <c r="V72" s="52" t="str">
        <f aca="false">IF(A72="","",IF(AND(OR(O72="",O72="Open",O72="In remediation",O72="Remediated - pending verification"),ISNUMBER(Q72),Q72&lt;AsOf),"Overdue",""))</f>
        <v/>
      </c>
      <c r="W72" s="62" t="str">
        <f aca="false">IF(A72="","",COUNTIF(TRT_FND,A72))</f>
        <v/>
      </c>
      <c r="X72" s="54" t="str">
        <f aca="false">IF(A72="","",IF(COUNTIF(FND_ID,A72)&gt;1,"CHECK: duplicate ID",IF(B72="","CHECK: Supplier ID missing",IF(COUNTIF(INV_ID,B72)=0,"CHECK: Supplier ID not in inventory",IF(AND(D72&lt;&gt;"",COUNTIF(RSK_ID,D72)=0),"CHECK: Risk ID not found",IF(AND(D72&lt;&gt;"",COUNTIF(RSK_ID,D72)&gt;0,IFERROR(INDEX(RSK_SUP,MATCH(D72,RSK_ID,0)),"")&lt;&gt;B72),"CHECK: Risk belongs to a different supplier",IF(AND(O72="Closed - verified",S72=""),"CHECK: closed without verification reference","OK")))))))</f>
        <v/>
      </c>
      <c r="Y72" s="52" t="str">
        <f aca="false">IF(OR(A72="",B72=""),"",IF(AND(U72="Active",B72=RptSup),B72&amp;"|"&amp;COUNTIFS($B$7:B72,B72,$U$7:U72,"Active"),""))</f>
        <v/>
      </c>
    </row>
    <row r="73" customFormat="false" ht="15" hidden="false" customHeight="false" outlineLevel="0" collapsed="false">
      <c r="A73" s="50"/>
      <c r="B73" s="50"/>
      <c r="C73" s="59" t="str">
        <f aca="false">IF(B73="","",IFERROR(INDEX(INV_NAME,MATCH(B73,INV_ID,0)),"CHECK: Supplier ID not found"))</f>
        <v/>
      </c>
      <c r="D73" s="50"/>
      <c r="E73" s="50"/>
      <c r="F73" s="50"/>
      <c r="G73" s="34"/>
      <c r="H73" s="34"/>
      <c r="I73" s="34"/>
      <c r="J73" s="34"/>
      <c r="K73" s="34"/>
      <c r="L73" s="50"/>
      <c r="M73" s="34"/>
      <c r="N73" s="34"/>
      <c r="O73" s="34"/>
      <c r="P73" s="51"/>
      <c r="Q73" s="51"/>
      <c r="R73" s="51"/>
      <c r="S73" s="34"/>
      <c r="T73" s="34"/>
      <c r="U73" s="52" t="str">
        <f aca="false">IF(A73="","",IF(OR(O73="Closed - verified",O73="Withdrawn"),"Closed","Active"))</f>
        <v/>
      </c>
      <c r="V73" s="52" t="str">
        <f aca="false">IF(A73="","",IF(AND(OR(O73="",O73="Open",O73="In remediation",O73="Remediated - pending verification"),ISNUMBER(Q73),Q73&lt;AsOf),"Overdue",""))</f>
        <v/>
      </c>
      <c r="W73" s="62" t="str">
        <f aca="false">IF(A73="","",COUNTIF(TRT_FND,A73))</f>
        <v/>
      </c>
      <c r="X73" s="54" t="str">
        <f aca="false">IF(A73="","",IF(COUNTIF(FND_ID,A73)&gt;1,"CHECK: duplicate ID",IF(B73="","CHECK: Supplier ID missing",IF(COUNTIF(INV_ID,B73)=0,"CHECK: Supplier ID not in inventory",IF(AND(D73&lt;&gt;"",COUNTIF(RSK_ID,D73)=0),"CHECK: Risk ID not found",IF(AND(D73&lt;&gt;"",COUNTIF(RSK_ID,D73)&gt;0,IFERROR(INDEX(RSK_SUP,MATCH(D73,RSK_ID,0)),"")&lt;&gt;B73),"CHECK: Risk belongs to a different supplier",IF(AND(O73="Closed - verified",S73=""),"CHECK: closed without verification reference","OK")))))))</f>
        <v/>
      </c>
      <c r="Y73" s="52" t="str">
        <f aca="false">IF(OR(A73="",B73=""),"",IF(AND(U73="Active",B73=RptSup),B73&amp;"|"&amp;COUNTIFS($B$7:B73,B73,$U$7:U73,"Active"),""))</f>
        <v/>
      </c>
    </row>
    <row r="74" customFormat="false" ht="15" hidden="false" customHeight="false" outlineLevel="0" collapsed="false">
      <c r="A74" s="50"/>
      <c r="B74" s="50"/>
      <c r="C74" s="59" t="str">
        <f aca="false">IF(B74="","",IFERROR(INDEX(INV_NAME,MATCH(B74,INV_ID,0)),"CHECK: Supplier ID not found"))</f>
        <v/>
      </c>
      <c r="D74" s="50"/>
      <c r="E74" s="50"/>
      <c r="F74" s="50"/>
      <c r="G74" s="34"/>
      <c r="H74" s="34"/>
      <c r="I74" s="34"/>
      <c r="J74" s="34"/>
      <c r="K74" s="34"/>
      <c r="L74" s="50"/>
      <c r="M74" s="34"/>
      <c r="N74" s="34"/>
      <c r="O74" s="34"/>
      <c r="P74" s="51"/>
      <c r="Q74" s="51"/>
      <c r="R74" s="51"/>
      <c r="S74" s="34"/>
      <c r="T74" s="34"/>
      <c r="U74" s="52" t="str">
        <f aca="false">IF(A74="","",IF(OR(O74="Closed - verified",O74="Withdrawn"),"Closed","Active"))</f>
        <v/>
      </c>
      <c r="V74" s="52" t="str">
        <f aca="false">IF(A74="","",IF(AND(OR(O74="",O74="Open",O74="In remediation",O74="Remediated - pending verification"),ISNUMBER(Q74),Q74&lt;AsOf),"Overdue",""))</f>
        <v/>
      </c>
      <c r="W74" s="62" t="str">
        <f aca="false">IF(A74="","",COUNTIF(TRT_FND,A74))</f>
        <v/>
      </c>
      <c r="X74" s="54" t="str">
        <f aca="false">IF(A74="","",IF(COUNTIF(FND_ID,A74)&gt;1,"CHECK: duplicate ID",IF(B74="","CHECK: Supplier ID missing",IF(COUNTIF(INV_ID,B74)=0,"CHECK: Supplier ID not in inventory",IF(AND(D74&lt;&gt;"",COUNTIF(RSK_ID,D74)=0),"CHECK: Risk ID not found",IF(AND(D74&lt;&gt;"",COUNTIF(RSK_ID,D74)&gt;0,IFERROR(INDEX(RSK_SUP,MATCH(D74,RSK_ID,0)),"")&lt;&gt;B74),"CHECK: Risk belongs to a different supplier",IF(AND(O74="Closed - verified",S74=""),"CHECK: closed without verification reference","OK")))))))</f>
        <v/>
      </c>
      <c r="Y74" s="52" t="str">
        <f aca="false">IF(OR(A74="",B74=""),"",IF(AND(U74="Active",B74=RptSup),B74&amp;"|"&amp;COUNTIFS($B$7:B74,B74,$U$7:U74,"Active"),""))</f>
        <v/>
      </c>
    </row>
    <row r="75" customFormat="false" ht="15" hidden="false" customHeight="false" outlineLevel="0" collapsed="false">
      <c r="A75" s="50"/>
      <c r="B75" s="50"/>
      <c r="C75" s="59" t="str">
        <f aca="false">IF(B75="","",IFERROR(INDEX(INV_NAME,MATCH(B75,INV_ID,0)),"CHECK: Supplier ID not found"))</f>
        <v/>
      </c>
      <c r="D75" s="50"/>
      <c r="E75" s="50"/>
      <c r="F75" s="50"/>
      <c r="G75" s="34"/>
      <c r="H75" s="34"/>
      <c r="I75" s="34"/>
      <c r="J75" s="34"/>
      <c r="K75" s="34"/>
      <c r="L75" s="50"/>
      <c r="M75" s="34"/>
      <c r="N75" s="34"/>
      <c r="O75" s="34"/>
      <c r="P75" s="51"/>
      <c r="Q75" s="51"/>
      <c r="R75" s="51"/>
      <c r="S75" s="34"/>
      <c r="T75" s="34"/>
      <c r="U75" s="52" t="str">
        <f aca="false">IF(A75="","",IF(OR(O75="Closed - verified",O75="Withdrawn"),"Closed","Active"))</f>
        <v/>
      </c>
      <c r="V75" s="52" t="str">
        <f aca="false">IF(A75="","",IF(AND(OR(O75="",O75="Open",O75="In remediation",O75="Remediated - pending verification"),ISNUMBER(Q75),Q75&lt;AsOf),"Overdue",""))</f>
        <v/>
      </c>
      <c r="W75" s="62" t="str">
        <f aca="false">IF(A75="","",COUNTIF(TRT_FND,A75))</f>
        <v/>
      </c>
      <c r="X75" s="54" t="str">
        <f aca="false">IF(A75="","",IF(COUNTIF(FND_ID,A75)&gt;1,"CHECK: duplicate ID",IF(B75="","CHECK: Supplier ID missing",IF(COUNTIF(INV_ID,B75)=0,"CHECK: Supplier ID not in inventory",IF(AND(D75&lt;&gt;"",COUNTIF(RSK_ID,D75)=0),"CHECK: Risk ID not found",IF(AND(D75&lt;&gt;"",COUNTIF(RSK_ID,D75)&gt;0,IFERROR(INDEX(RSK_SUP,MATCH(D75,RSK_ID,0)),"")&lt;&gt;B75),"CHECK: Risk belongs to a different supplier",IF(AND(O75="Closed - verified",S75=""),"CHECK: closed without verification reference","OK")))))))</f>
        <v/>
      </c>
      <c r="Y75" s="52" t="str">
        <f aca="false">IF(OR(A75="",B75=""),"",IF(AND(U75="Active",B75=RptSup),B75&amp;"|"&amp;COUNTIFS($B$7:B75,B75,$U$7:U75,"Active"),""))</f>
        <v/>
      </c>
    </row>
    <row r="76" customFormat="false" ht="15" hidden="false" customHeight="false" outlineLevel="0" collapsed="false">
      <c r="A76" s="50"/>
      <c r="B76" s="50"/>
      <c r="C76" s="59" t="str">
        <f aca="false">IF(B76="","",IFERROR(INDEX(INV_NAME,MATCH(B76,INV_ID,0)),"CHECK: Supplier ID not found"))</f>
        <v/>
      </c>
      <c r="D76" s="50"/>
      <c r="E76" s="50"/>
      <c r="F76" s="50"/>
      <c r="G76" s="34"/>
      <c r="H76" s="34"/>
      <c r="I76" s="34"/>
      <c r="J76" s="34"/>
      <c r="K76" s="34"/>
      <c r="L76" s="50"/>
      <c r="M76" s="34"/>
      <c r="N76" s="34"/>
      <c r="O76" s="34"/>
      <c r="P76" s="51"/>
      <c r="Q76" s="51"/>
      <c r="R76" s="51"/>
      <c r="S76" s="34"/>
      <c r="T76" s="34"/>
      <c r="U76" s="52" t="str">
        <f aca="false">IF(A76="","",IF(OR(O76="Closed - verified",O76="Withdrawn"),"Closed","Active"))</f>
        <v/>
      </c>
      <c r="V76" s="52" t="str">
        <f aca="false">IF(A76="","",IF(AND(OR(O76="",O76="Open",O76="In remediation",O76="Remediated - pending verification"),ISNUMBER(Q76),Q76&lt;AsOf),"Overdue",""))</f>
        <v/>
      </c>
      <c r="W76" s="62" t="str">
        <f aca="false">IF(A76="","",COUNTIF(TRT_FND,A76))</f>
        <v/>
      </c>
      <c r="X76" s="54" t="str">
        <f aca="false">IF(A76="","",IF(COUNTIF(FND_ID,A76)&gt;1,"CHECK: duplicate ID",IF(B76="","CHECK: Supplier ID missing",IF(COUNTIF(INV_ID,B76)=0,"CHECK: Supplier ID not in inventory",IF(AND(D76&lt;&gt;"",COUNTIF(RSK_ID,D76)=0),"CHECK: Risk ID not found",IF(AND(D76&lt;&gt;"",COUNTIF(RSK_ID,D76)&gt;0,IFERROR(INDEX(RSK_SUP,MATCH(D76,RSK_ID,0)),"")&lt;&gt;B76),"CHECK: Risk belongs to a different supplier",IF(AND(O76="Closed - verified",S76=""),"CHECK: closed without verification reference","OK")))))))</f>
        <v/>
      </c>
      <c r="Y76" s="52" t="str">
        <f aca="false">IF(OR(A76="",B76=""),"",IF(AND(U76="Active",B76=RptSup),B76&amp;"|"&amp;COUNTIFS($B$7:B76,B76,$U$7:U76,"Active"),""))</f>
        <v/>
      </c>
    </row>
    <row r="77" customFormat="false" ht="15" hidden="false" customHeight="false" outlineLevel="0" collapsed="false">
      <c r="A77" s="50"/>
      <c r="B77" s="50"/>
      <c r="C77" s="59" t="str">
        <f aca="false">IF(B77="","",IFERROR(INDEX(INV_NAME,MATCH(B77,INV_ID,0)),"CHECK: Supplier ID not found"))</f>
        <v/>
      </c>
      <c r="D77" s="50"/>
      <c r="E77" s="50"/>
      <c r="F77" s="50"/>
      <c r="G77" s="34"/>
      <c r="H77" s="34"/>
      <c r="I77" s="34"/>
      <c r="J77" s="34"/>
      <c r="K77" s="34"/>
      <c r="L77" s="50"/>
      <c r="M77" s="34"/>
      <c r="N77" s="34"/>
      <c r="O77" s="34"/>
      <c r="P77" s="51"/>
      <c r="Q77" s="51"/>
      <c r="R77" s="51"/>
      <c r="S77" s="34"/>
      <c r="T77" s="34"/>
      <c r="U77" s="52" t="str">
        <f aca="false">IF(A77="","",IF(OR(O77="Closed - verified",O77="Withdrawn"),"Closed","Active"))</f>
        <v/>
      </c>
      <c r="V77" s="52" t="str">
        <f aca="false">IF(A77="","",IF(AND(OR(O77="",O77="Open",O77="In remediation",O77="Remediated - pending verification"),ISNUMBER(Q77),Q77&lt;AsOf),"Overdue",""))</f>
        <v/>
      </c>
      <c r="W77" s="62" t="str">
        <f aca="false">IF(A77="","",COUNTIF(TRT_FND,A77))</f>
        <v/>
      </c>
      <c r="X77" s="54" t="str">
        <f aca="false">IF(A77="","",IF(COUNTIF(FND_ID,A77)&gt;1,"CHECK: duplicate ID",IF(B77="","CHECK: Supplier ID missing",IF(COUNTIF(INV_ID,B77)=0,"CHECK: Supplier ID not in inventory",IF(AND(D77&lt;&gt;"",COUNTIF(RSK_ID,D77)=0),"CHECK: Risk ID not found",IF(AND(D77&lt;&gt;"",COUNTIF(RSK_ID,D77)&gt;0,IFERROR(INDEX(RSK_SUP,MATCH(D77,RSK_ID,0)),"")&lt;&gt;B77),"CHECK: Risk belongs to a different supplier",IF(AND(O77="Closed - verified",S77=""),"CHECK: closed without verification reference","OK")))))))</f>
        <v/>
      </c>
      <c r="Y77" s="52" t="str">
        <f aca="false">IF(OR(A77="",B77=""),"",IF(AND(U77="Active",B77=RptSup),B77&amp;"|"&amp;COUNTIFS($B$7:B77,B77,$U$7:U77,"Active"),""))</f>
        <v/>
      </c>
    </row>
    <row r="78" customFormat="false" ht="15" hidden="false" customHeight="false" outlineLevel="0" collapsed="false">
      <c r="A78" s="50"/>
      <c r="B78" s="50"/>
      <c r="C78" s="59" t="str">
        <f aca="false">IF(B78="","",IFERROR(INDEX(INV_NAME,MATCH(B78,INV_ID,0)),"CHECK: Supplier ID not found"))</f>
        <v/>
      </c>
      <c r="D78" s="50"/>
      <c r="E78" s="50"/>
      <c r="F78" s="50"/>
      <c r="G78" s="34"/>
      <c r="H78" s="34"/>
      <c r="I78" s="34"/>
      <c r="J78" s="34"/>
      <c r="K78" s="34"/>
      <c r="L78" s="50"/>
      <c r="M78" s="34"/>
      <c r="N78" s="34"/>
      <c r="O78" s="34"/>
      <c r="P78" s="51"/>
      <c r="Q78" s="51"/>
      <c r="R78" s="51"/>
      <c r="S78" s="34"/>
      <c r="T78" s="34"/>
      <c r="U78" s="52" t="str">
        <f aca="false">IF(A78="","",IF(OR(O78="Closed - verified",O78="Withdrawn"),"Closed","Active"))</f>
        <v/>
      </c>
      <c r="V78" s="52" t="str">
        <f aca="false">IF(A78="","",IF(AND(OR(O78="",O78="Open",O78="In remediation",O78="Remediated - pending verification"),ISNUMBER(Q78),Q78&lt;AsOf),"Overdue",""))</f>
        <v/>
      </c>
      <c r="W78" s="62" t="str">
        <f aca="false">IF(A78="","",COUNTIF(TRT_FND,A78))</f>
        <v/>
      </c>
      <c r="X78" s="54" t="str">
        <f aca="false">IF(A78="","",IF(COUNTIF(FND_ID,A78)&gt;1,"CHECK: duplicate ID",IF(B78="","CHECK: Supplier ID missing",IF(COUNTIF(INV_ID,B78)=0,"CHECK: Supplier ID not in inventory",IF(AND(D78&lt;&gt;"",COUNTIF(RSK_ID,D78)=0),"CHECK: Risk ID not found",IF(AND(D78&lt;&gt;"",COUNTIF(RSK_ID,D78)&gt;0,IFERROR(INDEX(RSK_SUP,MATCH(D78,RSK_ID,0)),"")&lt;&gt;B78),"CHECK: Risk belongs to a different supplier",IF(AND(O78="Closed - verified",S78=""),"CHECK: closed without verification reference","OK")))))))</f>
        <v/>
      </c>
      <c r="Y78" s="52" t="str">
        <f aca="false">IF(OR(A78="",B78=""),"",IF(AND(U78="Active",B78=RptSup),B78&amp;"|"&amp;COUNTIFS($B$7:B78,B78,$U$7:U78,"Active"),""))</f>
        <v/>
      </c>
    </row>
    <row r="79" customFormat="false" ht="15" hidden="false" customHeight="false" outlineLevel="0" collapsed="false">
      <c r="A79" s="50"/>
      <c r="B79" s="50"/>
      <c r="C79" s="59" t="str">
        <f aca="false">IF(B79="","",IFERROR(INDEX(INV_NAME,MATCH(B79,INV_ID,0)),"CHECK: Supplier ID not found"))</f>
        <v/>
      </c>
      <c r="D79" s="50"/>
      <c r="E79" s="50"/>
      <c r="F79" s="50"/>
      <c r="G79" s="34"/>
      <c r="H79" s="34"/>
      <c r="I79" s="34"/>
      <c r="J79" s="34"/>
      <c r="K79" s="34"/>
      <c r="L79" s="50"/>
      <c r="M79" s="34"/>
      <c r="N79" s="34"/>
      <c r="O79" s="34"/>
      <c r="P79" s="51"/>
      <c r="Q79" s="51"/>
      <c r="R79" s="51"/>
      <c r="S79" s="34"/>
      <c r="T79" s="34"/>
      <c r="U79" s="52" t="str">
        <f aca="false">IF(A79="","",IF(OR(O79="Closed - verified",O79="Withdrawn"),"Closed","Active"))</f>
        <v/>
      </c>
      <c r="V79" s="52" t="str">
        <f aca="false">IF(A79="","",IF(AND(OR(O79="",O79="Open",O79="In remediation",O79="Remediated - pending verification"),ISNUMBER(Q79),Q79&lt;AsOf),"Overdue",""))</f>
        <v/>
      </c>
      <c r="W79" s="62" t="str">
        <f aca="false">IF(A79="","",COUNTIF(TRT_FND,A79))</f>
        <v/>
      </c>
      <c r="X79" s="54" t="str">
        <f aca="false">IF(A79="","",IF(COUNTIF(FND_ID,A79)&gt;1,"CHECK: duplicate ID",IF(B79="","CHECK: Supplier ID missing",IF(COUNTIF(INV_ID,B79)=0,"CHECK: Supplier ID not in inventory",IF(AND(D79&lt;&gt;"",COUNTIF(RSK_ID,D79)=0),"CHECK: Risk ID not found",IF(AND(D79&lt;&gt;"",COUNTIF(RSK_ID,D79)&gt;0,IFERROR(INDEX(RSK_SUP,MATCH(D79,RSK_ID,0)),"")&lt;&gt;B79),"CHECK: Risk belongs to a different supplier",IF(AND(O79="Closed - verified",S79=""),"CHECK: closed without verification reference","OK")))))))</f>
        <v/>
      </c>
      <c r="Y79" s="52" t="str">
        <f aca="false">IF(OR(A79="",B79=""),"",IF(AND(U79="Active",B79=RptSup),B79&amp;"|"&amp;COUNTIFS($B$7:B79,B79,$U$7:U79,"Active"),""))</f>
        <v/>
      </c>
    </row>
    <row r="80" customFormat="false" ht="15" hidden="false" customHeight="false" outlineLevel="0" collapsed="false">
      <c r="A80" s="50"/>
      <c r="B80" s="50"/>
      <c r="C80" s="59" t="str">
        <f aca="false">IF(B80="","",IFERROR(INDEX(INV_NAME,MATCH(B80,INV_ID,0)),"CHECK: Supplier ID not found"))</f>
        <v/>
      </c>
      <c r="D80" s="50"/>
      <c r="E80" s="50"/>
      <c r="F80" s="50"/>
      <c r="G80" s="34"/>
      <c r="H80" s="34"/>
      <c r="I80" s="34"/>
      <c r="J80" s="34"/>
      <c r="K80" s="34"/>
      <c r="L80" s="50"/>
      <c r="M80" s="34"/>
      <c r="N80" s="34"/>
      <c r="O80" s="34"/>
      <c r="P80" s="51"/>
      <c r="Q80" s="51"/>
      <c r="R80" s="51"/>
      <c r="S80" s="34"/>
      <c r="T80" s="34"/>
      <c r="U80" s="52" t="str">
        <f aca="false">IF(A80="","",IF(OR(O80="Closed - verified",O80="Withdrawn"),"Closed","Active"))</f>
        <v/>
      </c>
      <c r="V80" s="52" t="str">
        <f aca="false">IF(A80="","",IF(AND(OR(O80="",O80="Open",O80="In remediation",O80="Remediated - pending verification"),ISNUMBER(Q80),Q80&lt;AsOf),"Overdue",""))</f>
        <v/>
      </c>
      <c r="W80" s="62" t="str">
        <f aca="false">IF(A80="","",COUNTIF(TRT_FND,A80))</f>
        <v/>
      </c>
      <c r="X80" s="54" t="str">
        <f aca="false">IF(A80="","",IF(COUNTIF(FND_ID,A80)&gt;1,"CHECK: duplicate ID",IF(B80="","CHECK: Supplier ID missing",IF(COUNTIF(INV_ID,B80)=0,"CHECK: Supplier ID not in inventory",IF(AND(D80&lt;&gt;"",COUNTIF(RSK_ID,D80)=0),"CHECK: Risk ID not found",IF(AND(D80&lt;&gt;"",COUNTIF(RSK_ID,D80)&gt;0,IFERROR(INDEX(RSK_SUP,MATCH(D80,RSK_ID,0)),"")&lt;&gt;B80),"CHECK: Risk belongs to a different supplier",IF(AND(O80="Closed - verified",S80=""),"CHECK: closed without verification reference","OK")))))))</f>
        <v/>
      </c>
      <c r="Y80" s="52" t="str">
        <f aca="false">IF(OR(A80="",B80=""),"",IF(AND(U80="Active",B80=RptSup),B80&amp;"|"&amp;COUNTIFS($B$7:B80,B80,$U$7:U80,"Active"),""))</f>
        <v/>
      </c>
    </row>
    <row r="81" customFormat="false" ht="15" hidden="false" customHeight="false" outlineLevel="0" collapsed="false">
      <c r="A81" s="50"/>
      <c r="B81" s="50"/>
      <c r="C81" s="59" t="str">
        <f aca="false">IF(B81="","",IFERROR(INDEX(INV_NAME,MATCH(B81,INV_ID,0)),"CHECK: Supplier ID not found"))</f>
        <v/>
      </c>
      <c r="D81" s="50"/>
      <c r="E81" s="50"/>
      <c r="F81" s="50"/>
      <c r="G81" s="34"/>
      <c r="H81" s="34"/>
      <c r="I81" s="34"/>
      <c r="J81" s="34"/>
      <c r="K81" s="34"/>
      <c r="L81" s="50"/>
      <c r="M81" s="34"/>
      <c r="N81" s="34"/>
      <c r="O81" s="34"/>
      <c r="P81" s="51"/>
      <c r="Q81" s="51"/>
      <c r="R81" s="51"/>
      <c r="S81" s="34"/>
      <c r="T81" s="34"/>
      <c r="U81" s="52" t="str">
        <f aca="false">IF(A81="","",IF(OR(O81="Closed - verified",O81="Withdrawn"),"Closed","Active"))</f>
        <v/>
      </c>
      <c r="V81" s="52" t="str">
        <f aca="false">IF(A81="","",IF(AND(OR(O81="",O81="Open",O81="In remediation",O81="Remediated - pending verification"),ISNUMBER(Q81),Q81&lt;AsOf),"Overdue",""))</f>
        <v/>
      </c>
      <c r="W81" s="62" t="str">
        <f aca="false">IF(A81="","",COUNTIF(TRT_FND,A81))</f>
        <v/>
      </c>
      <c r="X81" s="54" t="str">
        <f aca="false">IF(A81="","",IF(COUNTIF(FND_ID,A81)&gt;1,"CHECK: duplicate ID",IF(B81="","CHECK: Supplier ID missing",IF(COUNTIF(INV_ID,B81)=0,"CHECK: Supplier ID not in inventory",IF(AND(D81&lt;&gt;"",COUNTIF(RSK_ID,D81)=0),"CHECK: Risk ID not found",IF(AND(D81&lt;&gt;"",COUNTIF(RSK_ID,D81)&gt;0,IFERROR(INDEX(RSK_SUP,MATCH(D81,RSK_ID,0)),"")&lt;&gt;B81),"CHECK: Risk belongs to a different supplier",IF(AND(O81="Closed - verified",S81=""),"CHECK: closed without verification reference","OK")))))))</f>
        <v/>
      </c>
      <c r="Y81" s="52" t="str">
        <f aca="false">IF(OR(A81="",B81=""),"",IF(AND(U81="Active",B81=RptSup),B81&amp;"|"&amp;COUNTIFS($B$7:B81,B81,$U$7:U81,"Active"),""))</f>
        <v/>
      </c>
    </row>
    <row r="82" customFormat="false" ht="15" hidden="false" customHeight="false" outlineLevel="0" collapsed="false">
      <c r="A82" s="50"/>
      <c r="B82" s="50"/>
      <c r="C82" s="59" t="str">
        <f aca="false">IF(B82="","",IFERROR(INDEX(INV_NAME,MATCH(B82,INV_ID,0)),"CHECK: Supplier ID not found"))</f>
        <v/>
      </c>
      <c r="D82" s="50"/>
      <c r="E82" s="50"/>
      <c r="F82" s="50"/>
      <c r="G82" s="34"/>
      <c r="H82" s="34"/>
      <c r="I82" s="34"/>
      <c r="J82" s="34"/>
      <c r="K82" s="34"/>
      <c r="L82" s="50"/>
      <c r="M82" s="34"/>
      <c r="N82" s="34"/>
      <c r="O82" s="34"/>
      <c r="P82" s="51"/>
      <c r="Q82" s="51"/>
      <c r="R82" s="51"/>
      <c r="S82" s="34"/>
      <c r="T82" s="34"/>
      <c r="U82" s="52" t="str">
        <f aca="false">IF(A82="","",IF(OR(O82="Closed - verified",O82="Withdrawn"),"Closed","Active"))</f>
        <v/>
      </c>
      <c r="V82" s="52" t="str">
        <f aca="false">IF(A82="","",IF(AND(OR(O82="",O82="Open",O82="In remediation",O82="Remediated - pending verification"),ISNUMBER(Q82),Q82&lt;AsOf),"Overdue",""))</f>
        <v/>
      </c>
      <c r="W82" s="62" t="str">
        <f aca="false">IF(A82="","",COUNTIF(TRT_FND,A82))</f>
        <v/>
      </c>
      <c r="X82" s="54" t="str">
        <f aca="false">IF(A82="","",IF(COUNTIF(FND_ID,A82)&gt;1,"CHECK: duplicate ID",IF(B82="","CHECK: Supplier ID missing",IF(COUNTIF(INV_ID,B82)=0,"CHECK: Supplier ID not in inventory",IF(AND(D82&lt;&gt;"",COUNTIF(RSK_ID,D82)=0),"CHECK: Risk ID not found",IF(AND(D82&lt;&gt;"",COUNTIF(RSK_ID,D82)&gt;0,IFERROR(INDEX(RSK_SUP,MATCH(D82,RSK_ID,0)),"")&lt;&gt;B82),"CHECK: Risk belongs to a different supplier",IF(AND(O82="Closed - verified",S82=""),"CHECK: closed without verification reference","OK")))))))</f>
        <v/>
      </c>
      <c r="Y82" s="52" t="str">
        <f aca="false">IF(OR(A82="",B82=""),"",IF(AND(U82="Active",B82=RptSup),B82&amp;"|"&amp;COUNTIFS($B$7:B82,B82,$U$7:U82,"Active"),""))</f>
        <v/>
      </c>
    </row>
    <row r="83" customFormat="false" ht="15" hidden="false" customHeight="false" outlineLevel="0" collapsed="false">
      <c r="A83" s="50"/>
      <c r="B83" s="50"/>
      <c r="C83" s="59" t="str">
        <f aca="false">IF(B83="","",IFERROR(INDEX(INV_NAME,MATCH(B83,INV_ID,0)),"CHECK: Supplier ID not found"))</f>
        <v/>
      </c>
      <c r="D83" s="50"/>
      <c r="E83" s="50"/>
      <c r="F83" s="50"/>
      <c r="G83" s="34"/>
      <c r="H83" s="34"/>
      <c r="I83" s="34"/>
      <c r="J83" s="34"/>
      <c r="K83" s="34"/>
      <c r="L83" s="50"/>
      <c r="M83" s="34"/>
      <c r="N83" s="34"/>
      <c r="O83" s="34"/>
      <c r="P83" s="51"/>
      <c r="Q83" s="51"/>
      <c r="R83" s="51"/>
      <c r="S83" s="34"/>
      <c r="T83" s="34"/>
      <c r="U83" s="52" t="str">
        <f aca="false">IF(A83="","",IF(OR(O83="Closed - verified",O83="Withdrawn"),"Closed","Active"))</f>
        <v/>
      </c>
      <c r="V83" s="52" t="str">
        <f aca="false">IF(A83="","",IF(AND(OR(O83="",O83="Open",O83="In remediation",O83="Remediated - pending verification"),ISNUMBER(Q83),Q83&lt;AsOf),"Overdue",""))</f>
        <v/>
      </c>
      <c r="W83" s="62" t="str">
        <f aca="false">IF(A83="","",COUNTIF(TRT_FND,A83))</f>
        <v/>
      </c>
      <c r="X83" s="54" t="str">
        <f aca="false">IF(A83="","",IF(COUNTIF(FND_ID,A83)&gt;1,"CHECK: duplicate ID",IF(B83="","CHECK: Supplier ID missing",IF(COUNTIF(INV_ID,B83)=0,"CHECK: Supplier ID not in inventory",IF(AND(D83&lt;&gt;"",COUNTIF(RSK_ID,D83)=0),"CHECK: Risk ID not found",IF(AND(D83&lt;&gt;"",COUNTIF(RSK_ID,D83)&gt;0,IFERROR(INDEX(RSK_SUP,MATCH(D83,RSK_ID,0)),"")&lt;&gt;B83),"CHECK: Risk belongs to a different supplier",IF(AND(O83="Closed - verified",S83=""),"CHECK: closed without verification reference","OK")))))))</f>
        <v/>
      </c>
      <c r="Y83" s="52" t="str">
        <f aca="false">IF(OR(A83="",B83=""),"",IF(AND(U83="Active",B83=RptSup),B83&amp;"|"&amp;COUNTIFS($B$7:B83,B83,$U$7:U83,"Active"),""))</f>
        <v/>
      </c>
    </row>
    <row r="84" customFormat="false" ht="15" hidden="false" customHeight="false" outlineLevel="0" collapsed="false">
      <c r="A84" s="50"/>
      <c r="B84" s="50"/>
      <c r="C84" s="59" t="str">
        <f aca="false">IF(B84="","",IFERROR(INDEX(INV_NAME,MATCH(B84,INV_ID,0)),"CHECK: Supplier ID not found"))</f>
        <v/>
      </c>
      <c r="D84" s="50"/>
      <c r="E84" s="50"/>
      <c r="F84" s="50"/>
      <c r="G84" s="34"/>
      <c r="H84" s="34"/>
      <c r="I84" s="34"/>
      <c r="J84" s="34"/>
      <c r="K84" s="34"/>
      <c r="L84" s="50"/>
      <c r="M84" s="34"/>
      <c r="N84" s="34"/>
      <c r="O84" s="34"/>
      <c r="P84" s="51"/>
      <c r="Q84" s="51"/>
      <c r="R84" s="51"/>
      <c r="S84" s="34"/>
      <c r="T84" s="34"/>
      <c r="U84" s="52" t="str">
        <f aca="false">IF(A84="","",IF(OR(O84="Closed - verified",O84="Withdrawn"),"Closed","Active"))</f>
        <v/>
      </c>
      <c r="V84" s="52" t="str">
        <f aca="false">IF(A84="","",IF(AND(OR(O84="",O84="Open",O84="In remediation",O84="Remediated - pending verification"),ISNUMBER(Q84),Q84&lt;AsOf),"Overdue",""))</f>
        <v/>
      </c>
      <c r="W84" s="62" t="str">
        <f aca="false">IF(A84="","",COUNTIF(TRT_FND,A84))</f>
        <v/>
      </c>
      <c r="X84" s="54" t="str">
        <f aca="false">IF(A84="","",IF(COUNTIF(FND_ID,A84)&gt;1,"CHECK: duplicate ID",IF(B84="","CHECK: Supplier ID missing",IF(COUNTIF(INV_ID,B84)=0,"CHECK: Supplier ID not in inventory",IF(AND(D84&lt;&gt;"",COUNTIF(RSK_ID,D84)=0),"CHECK: Risk ID not found",IF(AND(D84&lt;&gt;"",COUNTIF(RSK_ID,D84)&gt;0,IFERROR(INDEX(RSK_SUP,MATCH(D84,RSK_ID,0)),"")&lt;&gt;B84),"CHECK: Risk belongs to a different supplier",IF(AND(O84="Closed - verified",S84=""),"CHECK: closed without verification reference","OK")))))))</f>
        <v/>
      </c>
      <c r="Y84" s="52" t="str">
        <f aca="false">IF(OR(A84="",B84=""),"",IF(AND(U84="Active",B84=RptSup),B84&amp;"|"&amp;COUNTIFS($B$7:B84,B84,$U$7:U84,"Active"),""))</f>
        <v/>
      </c>
    </row>
    <row r="85" customFormat="false" ht="15" hidden="false" customHeight="false" outlineLevel="0" collapsed="false">
      <c r="A85" s="50"/>
      <c r="B85" s="50"/>
      <c r="C85" s="59" t="str">
        <f aca="false">IF(B85="","",IFERROR(INDEX(INV_NAME,MATCH(B85,INV_ID,0)),"CHECK: Supplier ID not found"))</f>
        <v/>
      </c>
      <c r="D85" s="50"/>
      <c r="E85" s="50"/>
      <c r="F85" s="50"/>
      <c r="G85" s="34"/>
      <c r="H85" s="34"/>
      <c r="I85" s="34"/>
      <c r="J85" s="34"/>
      <c r="K85" s="34"/>
      <c r="L85" s="50"/>
      <c r="M85" s="34"/>
      <c r="N85" s="34"/>
      <c r="O85" s="34"/>
      <c r="P85" s="51"/>
      <c r="Q85" s="51"/>
      <c r="R85" s="51"/>
      <c r="S85" s="34"/>
      <c r="T85" s="34"/>
      <c r="U85" s="52" t="str">
        <f aca="false">IF(A85="","",IF(OR(O85="Closed - verified",O85="Withdrawn"),"Closed","Active"))</f>
        <v/>
      </c>
      <c r="V85" s="52" t="str">
        <f aca="false">IF(A85="","",IF(AND(OR(O85="",O85="Open",O85="In remediation",O85="Remediated - pending verification"),ISNUMBER(Q85),Q85&lt;AsOf),"Overdue",""))</f>
        <v/>
      </c>
      <c r="W85" s="62" t="str">
        <f aca="false">IF(A85="","",COUNTIF(TRT_FND,A85))</f>
        <v/>
      </c>
      <c r="X85" s="54" t="str">
        <f aca="false">IF(A85="","",IF(COUNTIF(FND_ID,A85)&gt;1,"CHECK: duplicate ID",IF(B85="","CHECK: Supplier ID missing",IF(COUNTIF(INV_ID,B85)=0,"CHECK: Supplier ID not in inventory",IF(AND(D85&lt;&gt;"",COUNTIF(RSK_ID,D85)=0),"CHECK: Risk ID not found",IF(AND(D85&lt;&gt;"",COUNTIF(RSK_ID,D85)&gt;0,IFERROR(INDEX(RSK_SUP,MATCH(D85,RSK_ID,0)),"")&lt;&gt;B85),"CHECK: Risk belongs to a different supplier",IF(AND(O85="Closed - verified",S85=""),"CHECK: closed without verification reference","OK")))))))</f>
        <v/>
      </c>
      <c r="Y85" s="52" t="str">
        <f aca="false">IF(OR(A85="",B85=""),"",IF(AND(U85="Active",B85=RptSup),B85&amp;"|"&amp;COUNTIFS($B$7:B85,B85,$U$7:U85,"Active"),""))</f>
        <v/>
      </c>
    </row>
    <row r="86" customFormat="false" ht="15" hidden="false" customHeight="false" outlineLevel="0" collapsed="false">
      <c r="A86" s="50"/>
      <c r="B86" s="50"/>
      <c r="C86" s="59" t="str">
        <f aca="false">IF(B86="","",IFERROR(INDEX(INV_NAME,MATCH(B86,INV_ID,0)),"CHECK: Supplier ID not found"))</f>
        <v/>
      </c>
      <c r="D86" s="50"/>
      <c r="E86" s="50"/>
      <c r="F86" s="50"/>
      <c r="G86" s="34"/>
      <c r="H86" s="34"/>
      <c r="I86" s="34"/>
      <c r="J86" s="34"/>
      <c r="K86" s="34"/>
      <c r="L86" s="50"/>
      <c r="M86" s="34"/>
      <c r="N86" s="34"/>
      <c r="O86" s="34"/>
      <c r="P86" s="51"/>
      <c r="Q86" s="51"/>
      <c r="R86" s="51"/>
      <c r="S86" s="34"/>
      <c r="T86" s="34"/>
      <c r="U86" s="52" t="str">
        <f aca="false">IF(A86="","",IF(OR(O86="Closed - verified",O86="Withdrawn"),"Closed","Active"))</f>
        <v/>
      </c>
      <c r="V86" s="52" t="str">
        <f aca="false">IF(A86="","",IF(AND(OR(O86="",O86="Open",O86="In remediation",O86="Remediated - pending verification"),ISNUMBER(Q86),Q86&lt;AsOf),"Overdue",""))</f>
        <v/>
      </c>
      <c r="W86" s="62" t="str">
        <f aca="false">IF(A86="","",COUNTIF(TRT_FND,A86))</f>
        <v/>
      </c>
      <c r="X86" s="54" t="str">
        <f aca="false">IF(A86="","",IF(COUNTIF(FND_ID,A86)&gt;1,"CHECK: duplicate ID",IF(B86="","CHECK: Supplier ID missing",IF(COUNTIF(INV_ID,B86)=0,"CHECK: Supplier ID not in inventory",IF(AND(D86&lt;&gt;"",COUNTIF(RSK_ID,D86)=0),"CHECK: Risk ID not found",IF(AND(D86&lt;&gt;"",COUNTIF(RSK_ID,D86)&gt;0,IFERROR(INDEX(RSK_SUP,MATCH(D86,RSK_ID,0)),"")&lt;&gt;B86),"CHECK: Risk belongs to a different supplier",IF(AND(O86="Closed - verified",S86=""),"CHECK: closed without verification reference","OK")))))))</f>
        <v/>
      </c>
      <c r="Y86" s="52" t="str">
        <f aca="false">IF(OR(A86="",B86=""),"",IF(AND(U86="Active",B86=RptSup),B86&amp;"|"&amp;COUNTIFS($B$7:B86,B86,$U$7:U86,"Active"),""))</f>
        <v/>
      </c>
    </row>
    <row r="87" customFormat="false" ht="15" hidden="false" customHeight="false" outlineLevel="0" collapsed="false">
      <c r="A87" s="50"/>
      <c r="B87" s="50"/>
      <c r="C87" s="59" t="str">
        <f aca="false">IF(B87="","",IFERROR(INDEX(INV_NAME,MATCH(B87,INV_ID,0)),"CHECK: Supplier ID not found"))</f>
        <v/>
      </c>
      <c r="D87" s="50"/>
      <c r="E87" s="50"/>
      <c r="F87" s="50"/>
      <c r="G87" s="34"/>
      <c r="H87" s="34"/>
      <c r="I87" s="34"/>
      <c r="J87" s="34"/>
      <c r="K87" s="34"/>
      <c r="L87" s="50"/>
      <c r="M87" s="34"/>
      <c r="N87" s="34"/>
      <c r="O87" s="34"/>
      <c r="P87" s="51"/>
      <c r="Q87" s="51"/>
      <c r="R87" s="51"/>
      <c r="S87" s="34"/>
      <c r="T87" s="34"/>
      <c r="U87" s="52" t="str">
        <f aca="false">IF(A87="","",IF(OR(O87="Closed - verified",O87="Withdrawn"),"Closed","Active"))</f>
        <v/>
      </c>
      <c r="V87" s="52" t="str">
        <f aca="false">IF(A87="","",IF(AND(OR(O87="",O87="Open",O87="In remediation",O87="Remediated - pending verification"),ISNUMBER(Q87),Q87&lt;AsOf),"Overdue",""))</f>
        <v/>
      </c>
      <c r="W87" s="62" t="str">
        <f aca="false">IF(A87="","",COUNTIF(TRT_FND,A87))</f>
        <v/>
      </c>
      <c r="X87" s="54" t="str">
        <f aca="false">IF(A87="","",IF(COUNTIF(FND_ID,A87)&gt;1,"CHECK: duplicate ID",IF(B87="","CHECK: Supplier ID missing",IF(COUNTIF(INV_ID,B87)=0,"CHECK: Supplier ID not in inventory",IF(AND(D87&lt;&gt;"",COUNTIF(RSK_ID,D87)=0),"CHECK: Risk ID not found",IF(AND(D87&lt;&gt;"",COUNTIF(RSK_ID,D87)&gt;0,IFERROR(INDEX(RSK_SUP,MATCH(D87,RSK_ID,0)),"")&lt;&gt;B87),"CHECK: Risk belongs to a different supplier",IF(AND(O87="Closed - verified",S87=""),"CHECK: closed without verification reference","OK")))))))</f>
        <v/>
      </c>
      <c r="Y87" s="52" t="str">
        <f aca="false">IF(OR(A87="",B87=""),"",IF(AND(U87="Active",B87=RptSup),B87&amp;"|"&amp;COUNTIFS($B$7:B87,B87,$U$7:U87,"Active"),""))</f>
        <v/>
      </c>
    </row>
    <row r="88" customFormat="false" ht="15" hidden="false" customHeight="false" outlineLevel="0" collapsed="false">
      <c r="A88" s="50"/>
      <c r="B88" s="50"/>
      <c r="C88" s="59" t="str">
        <f aca="false">IF(B88="","",IFERROR(INDEX(INV_NAME,MATCH(B88,INV_ID,0)),"CHECK: Supplier ID not found"))</f>
        <v/>
      </c>
      <c r="D88" s="50"/>
      <c r="E88" s="50"/>
      <c r="F88" s="50"/>
      <c r="G88" s="34"/>
      <c r="H88" s="34"/>
      <c r="I88" s="34"/>
      <c r="J88" s="34"/>
      <c r="K88" s="34"/>
      <c r="L88" s="50"/>
      <c r="M88" s="34"/>
      <c r="N88" s="34"/>
      <c r="O88" s="34"/>
      <c r="P88" s="51"/>
      <c r="Q88" s="51"/>
      <c r="R88" s="51"/>
      <c r="S88" s="34"/>
      <c r="T88" s="34"/>
      <c r="U88" s="52" t="str">
        <f aca="false">IF(A88="","",IF(OR(O88="Closed - verified",O88="Withdrawn"),"Closed","Active"))</f>
        <v/>
      </c>
      <c r="V88" s="52" t="str">
        <f aca="false">IF(A88="","",IF(AND(OR(O88="",O88="Open",O88="In remediation",O88="Remediated - pending verification"),ISNUMBER(Q88),Q88&lt;AsOf),"Overdue",""))</f>
        <v/>
      </c>
      <c r="W88" s="62" t="str">
        <f aca="false">IF(A88="","",COUNTIF(TRT_FND,A88))</f>
        <v/>
      </c>
      <c r="X88" s="54" t="str">
        <f aca="false">IF(A88="","",IF(COUNTIF(FND_ID,A88)&gt;1,"CHECK: duplicate ID",IF(B88="","CHECK: Supplier ID missing",IF(COUNTIF(INV_ID,B88)=0,"CHECK: Supplier ID not in inventory",IF(AND(D88&lt;&gt;"",COUNTIF(RSK_ID,D88)=0),"CHECK: Risk ID not found",IF(AND(D88&lt;&gt;"",COUNTIF(RSK_ID,D88)&gt;0,IFERROR(INDEX(RSK_SUP,MATCH(D88,RSK_ID,0)),"")&lt;&gt;B88),"CHECK: Risk belongs to a different supplier",IF(AND(O88="Closed - verified",S88=""),"CHECK: closed without verification reference","OK")))))))</f>
        <v/>
      </c>
      <c r="Y88" s="52" t="str">
        <f aca="false">IF(OR(A88="",B88=""),"",IF(AND(U88="Active",B88=RptSup),B88&amp;"|"&amp;COUNTIFS($B$7:B88,B88,$U$7:U88,"Active"),""))</f>
        <v/>
      </c>
    </row>
    <row r="89" customFormat="false" ht="15" hidden="false" customHeight="false" outlineLevel="0" collapsed="false">
      <c r="A89" s="50"/>
      <c r="B89" s="50"/>
      <c r="C89" s="59" t="str">
        <f aca="false">IF(B89="","",IFERROR(INDEX(INV_NAME,MATCH(B89,INV_ID,0)),"CHECK: Supplier ID not found"))</f>
        <v/>
      </c>
      <c r="D89" s="50"/>
      <c r="E89" s="50"/>
      <c r="F89" s="50"/>
      <c r="G89" s="34"/>
      <c r="H89" s="34"/>
      <c r="I89" s="34"/>
      <c r="J89" s="34"/>
      <c r="K89" s="34"/>
      <c r="L89" s="50"/>
      <c r="M89" s="34"/>
      <c r="N89" s="34"/>
      <c r="O89" s="34"/>
      <c r="P89" s="51"/>
      <c r="Q89" s="51"/>
      <c r="R89" s="51"/>
      <c r="S89" s="34"/>
      <c r="T89" s="34"/>
      <c r="U89" s="52" t="str">
        <f aca="false">IF(A89="","",IF(OR(O89="Closed - verified",O89="Withdrawn"),"Closed","Active"))</f>
        <v/>
      </c>
      <c r="V89" s="52" t="str">
        <f aca="false">IF(A89="","",IF(AND(OR(O89="",O89="Open",O89="In remediation",O89="Remediated - pending verification"),ISNUMBER(Q89),Q89&lt;AsOf),"Overdue",""))</f>
        <v/>
      </c>
      <c r="W89" s="62" t="str">
        <f aca="false">IF(A89="","",COUNTIF(TRT_FND,A89))</f>
        <v/>
      </c>
      <c r="X89" s="54" t="str">
        <f aca="false">IF(A89="","",IF(COUNTIF(FND_ID,A89)&gt;1,"CHECK: duplicate ID",IF(B89="","CHECK: Supplier ID missing",IF(COUNTIF(INV_ID,B89)=0,"CHECK: Supplier ID not in inventory",IF(AND(D89&lt;&gt;"",COUNTIF(RSK_ID,D89)=0),"CHECK: Risk ID not found",IF(AND(D89&lt;&gt;"",COUNTIF(RSK_ID,D89)&gt;0,IFERROR(INDEX(RSK_SUP,MATCH(D89,RSK_ID,0)),"")&lt;&gt;B89),"CHECK: Risk belongs to a different supplier",IF(AND(O89="Closed - verified",S89=""),"CHECK: closed without verification reference","OK")))))))</f>
        <v/>
      </c>
      <c r="Y89" s="52" t="str">
        <f aca="false">IF(OR(A89="",B89=""),"",IF(AND(U89="Active",B89=RptSup),B89&amp;"|"&amp;COUNTIFS($B$7:B89,B89,$U$7:U89,"Active"),""))</f>
        <v/>
      </c>
    </row>
    <row r="90" customFormat="false" ht="15" hidden="false" customHeight="false" outlineLevel="0" collapsed="false">
      <c r="A90" s="50"/>
      <c r="B90" s="50"/>
      <c r="C90" s="59" t="str">
        <f aca="false">IF(B90="","",IFERROR(INDEX(INV_NAME,MATCH(B90,INV_ID,0)),"CHECK: Supplier ID not found"))</f>
        <v/>
      </c>
      <c r="D90" s="50"/>
      <c r="E90" s="50"/>
      <c r="F90" s="50"/>
      <c r="G90" s="34"/>
      <c r="H90" s="34"/>
      <c r="I90" s="34"/>
      <c r="J90" s="34"/>
      <c r="K90" s="34"/>
      <c r="L90" s="50"/>
      <c r="M90" s="34"/>
      <c r="N90" s="34"/>
      <c r="O90" s="34"/>
      <c r="P90" s="51"/>
      <c r="Q90" s="51"/>
      <c r="R90" s="51"/>
      <c r="S90" s="34"/>
      <c r="T90" s="34"/>
      <c r="U90" s="52" t="str">
        <f aca="false">IF(A90="","",IF(OR(O90="Closed - verified",O90="Withdrawn"),"Closed","Active"))</f>
        <v/>
      </c>
      <c r="V90" s="52" t="str">
        <f aca="false">IF(A90="","",IF(AND(OR(O90="",O90="Open",O90="In remediation",O90="Remediated - pending verification"),ISNUMBER(Q90),Q90&lt;AsOf),"Overdue",""))</f>
        <v/>
      </c>
      <c r="W90" s="62" t="str">
        <f aca="false">IF(A90="","",COUNTIF(TRT_FND,A90))</f>
        <v/>
      </c>
      <c r="X90" s="54" t="str">
        <f aca="false">IF(A90="","",IF(COUNTIF(FND_ID,A90)&gt;1,"CHECK: duplicate ID",IF(B90="","CHECK: Supplier ID missing",IF(COUNTIF(INV_ID,B90)=0,"CHECK: Supplier ID not in inventory",IF(AND(D90&lt;&gt;"",COUNTIF(RSK_ID,D90)=0),"CHECK: Risk ID not found",IF(AND(D90&lt;&gt;"",COUNTIF(RSK_ID,D90)&gt;0,IFERROR(INDEX(RSK_SUP,MATCH(D90,RSK_ID,0)),"")&lt;&gt;B90),"CHECK: Risk belongs to a different supplier",IF(AND(O90="Closed - verified",S90=""),"CHECK: closed without verification reference","OK")))))))</f>
        <v/>
      </c>
      <c r="Y90" s="52" t="str">
        <f aca="false">IF(OR(A90="",B90=""),"",IF(AND(U90="Active",B90=RptSup),B90&amp;"|"&amp;COUNTIFS($B$7:B90,B90,$U$7:U90,"Active"),""))</f>
        <v/>
      </c>
    </row>
    <row r="91" customFormat="false" ht="15" hidden="false" customHeight="false" outlineLevel="0" collapsed="false">
      <c r="A91" s="50"/>
      <c r="B91" s="50"/>
      <c r="C91" s="59" t="str">
        <f aca="false">IF(B91="","",IFERROR(INDEX(INV_NAME,MATCH(B91,INV_ID,0)),"CHECK: Supplier ID not found"))</f>
        <v/>
      </c>
      <c r="D91" s="50"/>
      <c r="E91" s="50"/>
      <c r="F91" s="50"/>
      <c r="G91" s="34"/>
      <c r="H91" s="34"/>
      <c r="I91" s="34"/>
      <c r="J91" s="34"/>
      <c r="K91" s="34"/>
      <c r="L91" s="50"/>
      <c r="M91" s="34"/>
      <c r="N91" s="34"/>
      <c r="O91" s="34"/>
      <c r="P91" s="51"/>
      <c r="Q91" s="51"/>
      <c r="R91" s="51"/>
      <c r="S91" s="34"/>
      <c r="T91" s="34"/>
      <c r="U91" s="52" t="str">
        <f aca="false">IF(A91="","",IF(OR(O91="Closed - verified",O91="Withdrawn"),"Closed","Active"))</f>
        <v/>
      </c>
      <c r="V91" s="52" t="str">
        <f aca="false">IF(A91="","",IF(AND(OR(O91="",O91="Open",O91="In remediation",O91="Remediated - pending verification"),ISNUMBER(Q91),Q91&lt;AsOf),"Overdue",""))</f>
        <v/>
      </c>
      <c r="W91" s="62" t="str">
        <f aca="false">IF(A91="","",COUNTIF(TRT_FND,A91))</f>
        <v/>
      </c>
      <c r="X91" s="54" t="str">
        <f aca="false">IF(A91="","",IF(COUNTIF(FND_ID,A91)&gt;1,"CHECK: duplicate ID",IF(B91="","CHECK: Supplier ID missing",IF(COUNTIF(INV_ID,B91)=0,"CHECK: Supplier ID not in inventory",IF(AND(D91&lt;&gt;"",COUNTIF(RSK_ID,D91)=0),"CHECK: Risk ID not found",IF(AND(D91&lt;&gt;"",COUNTIF(RSK_ID,D91)&gt;0,IFERROR(INDEX(RSK_SUP,MATCH(D91,RSK_ID,0)),"")&lt;&gt;B91),"CHECK: Risk belongs to a different supplier",IF(AND(O91="Closed - verified",S91=""),"CHECK: closed without verification reference","OK")))))))</f>
        <v/>
      </c>
      <c r="Y91" s="52" t="str">
        <f aca="false">IF(OR(A91="",B91=""),"",IF(AND(U91="Active",B91=RptSup),B91&amp;"|"&amp;COUNTIFS($B$7:B91,B91,$U$7:U91,"Active"),""))</f>
        <v/>
      </c>
    </row>
    <row r="92" customFormat="false" ht="15" hidden="false" customHeight="false" outlineLevel="0" collapsed="false">
      <c r="A92" s="50"/>
      <c r="B92" s="50"/>
      <c r="C92" s="59" t="str">
        <f aca="false">IF(B92="","",IFERROR(INDEX(INV_NAME,MATCH(B92,INV_ID,0)),"CHECK: Supplier ID not found"))</f>
        <v/>
      </c>
      <c r="D92" s="50"/>
      <c r="E92" s="50"/>
      <c r="F92" s="50"/>
      <c r="G92" s="34"/>
      <c r="H92" s="34"/>
      <c r="I92" s="34"/>
      <c r="J92" s="34"/>
      <c r="K92" s="34"/>
      <c r="L92" s="50"/>
      <c r="M92" s="34"/>
      <c r="N92" s="34"/>
      <c r="O92" s="34"/>
      <c r="P92" s="51"/>
      <c r="Q92" s="51"/>
      <c r="R92" s="51"/>
      <c r="S92" s="34"/>
      <c r="T92" s="34"/>
      <c r="U92" s="52" t="str">
        <f aca="false">IF(A92="","",IF(OR(O92="Closed - verified",O92="Withdrawn"),"Closed","Active"))</f>
        <v/>
      </c>
      <c r="V92" s="52" t="str">
        <f aca="false">IF(A92="","",IF(AND(OR(O92="",O92="Open",O92="In remediation",O92="Remediated - pending verification"),ISNUMBER(Q92),Q92&lt;AsOf),"Overdue",""))</f>
        <v/>
      </c>
      <c r="W92" s="62" t="str">
        <f aca="false">IF(A92="","",COUNTIF(TRT_FND,A92))</f>
        <v/>
      </c>
      <c r="X92" s="54" t="str">
        <f aca="false">IF(A92="","",IF(COUNTIF(FND_ID,A92)&gt;1,"CHECK: duplicate ID",IF(B92="","CHECK: Supplier ID missing",IF(COUNTIF(INV_ID,B92)=0,"CHECK: Supplier ID not in inventory",IF(AND(D92&lt;&gt;"",COUNTIF(RSK_ID,D92)=0),"CHECK: Risk ID not found",IF(AND(D92&lt;&gt;"",COUNTIF(RSK_ID,D92)&gt;0,IFERROR(INDEX(RSK_SUP,MATCH(D92,RSK_ID,0)),"")&lt;&gt;B92),"CHECK: Risk belongs to a different supplier",IF(AND(O92="Closed - verified",S92=""),"CHECK: closed without verification reference","OK")))))))</f>
        <v/>
      </c>
      <c r="Y92" s="52" t="str">
        <f aca="false">IF(OR(A92="",B92=""),"",IF(AND(U92="Active",B92=RptSup),B92&amp;"|"&amp;COUNTIFS($B$7:B92,B92,$U$7:U92,"Active"),""))</f>
        <v/>
      </c>
    </row>
    <row r="93" customFormat="false" ht="15" hidden="false" customHeight="false" outlineLevel="0" collapsed="false">
      <c r="A93" s="50"/>
      <c r="B93" s="50"/>
      <c r="C93" s="59" t="str">
        <f aca="false">IF(B93="","",IFERROR(INDEX(INV_NAME,MATCH(B93,INV_ID,0)),"CHECK: Supplier ID not found"))</f>
        <v/>
      </c>
      <c r="D93" s="50"/>
      <c r="E93" s="50"/>
      <c r="F93" s="50"/>
      <c r="G93" s="34"/>
      <c r="H93" s="34"/>
      <c r="I93" s="34"/>
      <c r="J93" s="34"/>
      <c r="K93" s="34"/>
      <c r="L93" s="50"/>
      <c r="M93" s="34"/>
      <c r="N93" s="34"/>
      <c r="O93" s="34"/>
      <c r="P93" s="51"/>
      <c r="Q93" s="51"/>
      <c r="R93" s="51"/>
      <c r="S93" s="34"/>
      <c r="T93" s="34"/>
      <c r="U93" s="52" t="str">
        <f aca="false">IF(A93="","",IF(OR(O93="Closed - verified",O93="Withdrawn"),"Closed","Active"))</f>
        <v/>
      </c>
      <c r="V93" s="52" t="str">
        <f aca="false">IF(A93="","",IF(AND(OR(O93="",O93="Open",O93="In remediation",O93="Remediated - pending verification"),ISNUMBER(Q93),Q93&lt;AsOf),"Overdue",""))</f>
        <v/>
      </c>
      <c r="W93" s="62" t="str">
        <f aca="false">IF(A93="","",COUNTIF(TRT_FND,A93))</f>
        <v/>
      </c>
      <c r="X93" s="54" t="str">
        <f aca="false">IF(A93="","",IF(COUNTIF(FND_ID,A93)&gt;1,"CHECK: duplicate ID",IF(B93="","CHECK: Supplier ID missing",IF(COUNTIF(INV_ID,B93)=0,"CHECK: Supplier ID not in inventory",IF(AND(D93&lt;&gt;"",COUNTIF(RSK_ID,D93)=0),"CHECK: Risk ID not found",IF(AND(D93&lt;&gt;"",COUNTIF(RSK_ID,D93)&gt;0,IFERROR(INDEX(RSK_SUP,MATCH(D93,RSK_ID,0)),"")&lt;&gt;B93),"CHECK: Risk belongs to a different supplier",IF(AND(O93="Closed - verified",S93=""),"CHECK: closed without verification reference","OK")))))))</f>
        <v/>
      </c>
      <c r="Y93" s="52" t="str">
        <f aca="false">IF(OR(A93="",B93=""),"",IF(AND(U93="Active",B93=RptSup),B93&amp;"|"&amp;COUNTIFS($B$7:B93,B93,$U$7:U93,"Active"),""))</f>
        <v/>
      </c>
    </row>
    <row r="94" customFormat="false" ht="15" hidden="false" customHeight="false" outlineLevel="0" collapsed="false">
      <c r="A94" s="50"/>
      <c r="B94" s="50"/>
      <c r="C94" s="59" t="str">
        <f aca="false">IF(B94="","",IFERROR(INDEX(INV_NAME,MATCH(B94,INV_ID,0)),"CHECK: Supplier ID not found"))</f>
        <v/>
      </c>
      <c r="D94" s="50"/>
      <c r="E94" s="50"/>
      <c r="F94" s="50"/>
      <c r="G94" s="34"/>
      <c r="H94" s="34"/>
      <c r="I94" s="34"/>
      <c r="J94" s="34"/>
      <c r="K94" s="34"/>
      <c r="L94" s="50"/>
      <c r="M94" s="34"/>
      <c r="N94" s="34"/>
      <c r="O94" s="34"/>
      <c r="P94" s="51"/>
      <c r="Q94" s="51"/>
      <c r="R94" s="51"/>
      <c r="S94" s="34"/>
      <c r="T94" s="34"/>
      <c r="U94" s="52" t="str">
        <f aca="false">IF(A94="","",IF(OR(O94="Closed - verified",O94="Withdrawn"),"Closed","Active"))</f>
        <v/>
      </c>
      <c r="V94" s="52" t="str">
        <f aca="false">IF(A94="","",IF(AND(OR(O94="",O94="Open",O94="In remediation",O94="Remediated - pending verification"),ISNUMBER(Q94),Q94&lt;AsOf),"Overdue",""))</f>
        <v/>
      </c>
      <c r="W94" s="62" t="str">
        <f aca="false">IF(A94="","",COUNTIF(TRT_FND,A94))</f>
        <v/>
      </c>
      <c r="X94" s="54" t="str">
        <f aca="false">IF(A94="","",IF(COUNTIF(FND_ID,A94)&gt;1,"CHECK: duplicate ID",IF(B94="","CHECK: Supplier ID missing",IF(COUNTIF(INV_ID,B94)=0,"CHECK: Supplier ID not in inventory",IF(AND(D94&lt;&gt;"",COUNTIF(RSK_ID,D94)=0),"CHECK: Risk ID not found",IF(AND(D94&lt;&gt;"",COUNTIF(RSK_ID,D94)&gt;0,IFERROR(INDEX(RSK_SUP,MATCH(D94,RSK_ID,0)),"")&lt;&gt;B94),"CHECK: Risk belongs to a different supplier",IF(AND(O94="Closed - verified",S94=""),"CHECK: closed without verification reference","OK")))))))</f>
        <v/>
      </c>
      <c r="Y94" s="52" t="str">
        <f aca="false">IF(OR(A94="",B94=""),"",IF(AND(U94="Active",B94=RptSup),B94&amp;"|"&amp;COUNTIFS($B$7:B94,B94,$U$7:U94,"Active"),""))</f>
        <v/>
      </c>
    </row>
    <row r="95" customFormat="false" ht="15" hidden="false" customHeight="false" outlineLevel="0" collapsed="false">
      <c r="A95" s="50"/>
      <c r="B95" s="50"/>
      <c r="C95" s="59" t="str">
        <f aca="false">IF(B95="","",IFERROR(INDEX(INV_NAME,MATCH(B95,INV_ID,0)),"CHECK: Supplier ID not found"))</f>
        <v/>
      </c>
      <c r="D95" s="50"/>
      <c r="E95" s="50"/>
      <c r="F95" s="50"/>
      <c r="G95" s="34"/>
      <c r="H95" s="34"/>
      <c r="I95" s="34"/>
      <c r="J95" s="34"/>
      <c r="K95" s="34"/>
      <c r="L95" s="50"/>
      <c r="M95" s="34"/>
      <c r="N95" s="34"/>
      <c r="O95" s="34"/>
      <c r="P95" s="51"/>
      <c r="Q95" s="51"/>
      <c r="R95" s="51"/>
      <c r="S95" s="34"/>
      <c r="T95" s="34"/>
      <c r="U95" s="52" t="str">
        <f aca="false">IF(A95="","",IF(OR(O95="Closed - verified",O95="Withdrawn"),"Closed","Active"))</f>
        <v/>
      </c>
      <c r="V95" s="52" t="str">
        <f aca="false">IF(A95="","",IF(AND(OR(O95="",O95="Open",O95="In remediation",O95="Remediated - pending verification"),ISNUMBER(Q95),Q95&lt;AsOf),"Overdue",""))</f>
        <v/>
      </c>
      <c r="W95" s="62" t="str">
        <f aca="false">IF(A95="","",COUNTIF(TRT_FND,A95))</f>
        <v/>
      </c>
      <c r="X95" s="54" t="str">
        <f aca="false">IF(A95="","",IF(COUNTIF(FND_ID,A95)&gt;1,"CHECK: duplicate ID",IF(B95="","CHECK: Supplier ID missing",IF(COUNTIF(INV_ID,B95)=0,"CHECK: Supplier ID not in inventory",IF(AND(D95&lt;&gt;"",COUNTIF(RSK_ID,D95)=0),"CHECK: Risk ID not found",IF(AND(D95&lt;&gt;"",COUNTIF(RSK_ID,D95)&gt;0,IFERROR(INDEX(RSK_SUP,MATCH(D95,RSK_ID,0)),"")&lt;&gt;B95),"CHECK: Risk belongs to a different supplier",IF(AND(O95="Closed - verified",S95=""),"CHECK: closed without verification reference","OK")))))))</f>
        <v/>
      </c>
      <c r="Y95" s="52" t="str">
        <f aca="false">IF(OR(A95="",B95=""),"",IF(AND(U95="Active",B95=RptSup),B95&amp;"|"&amp;COUNTIFS($B$7:B95,B95,$U$7:U95,"Active"),""))</f>
        <v/>
      </c>
    </row>
    <row r="96" customFormat="false" ht="15" hidden="false" customHeight="false" outlineLevel="0" collapsed="false">
      <c r="A96" s="50"/>
      <c r="B96" s="50"/>
      <c r="C96" s="59" t="str">
        <f aca="false">IF(B96="","",IFERROR(INDEX(INV_NAME,MATCH(B96,INV_ID,0)),"CHECK: Supplier ID not found"))</f>
        <v/>
      </c>
      <c r="D96" s="50"/>
      <c r="E96" s="50"/>
      <c r="F96" s="50"/>
      <c r="G96" s="34"/>
      <c r="H96" s="34"/>
      <c r="I96" s="34"/>
      <c r="J96" s="34"/>
      <c r="K96" s="34"/>
      <c r="L96" s="50"/>
      <c r="M96" s="34"/>
      <c r="N96" s="34"/>
      <c r="O96" s="34"/>
      <c r="P96" s="51"/>
      <c r="Q96" s="51"/>
      <c r="R96" s="51"/>
      <c r="S96" s="34"/>
      <c r="T96" s="34"/>
      <c r="U96" s="52" t="str">
        <f aca="false">IF(A96="","",IF(OR(O96="Closed - verified",O96="Withdrawn"),"Closed","Active"))</f>
        <v/>
      </c>
      <c r="V96" s="52" t="str">
        <f aca="false">IF(A96="","",IF(AND(OR(O96="",O96="Open",O96="In remediation",O96="Remediated - pending verification"),ISNUMBER(Q96),Q96&lt;AsOf),"Overdue",""))</f>
        <v/>
      </c>
      <c r="W96" s="62" t="str">
        <f aca="false">IF(A96="","",COUNTIF(TRT_FND,A96))</f>
        <v/>
      </c>
      <c r="X96" s="54" t="str">
        <f aca="false">IF(A96="","",IF(COUNTIF(FND_ID,A96)&gt;1,"CHECK: duplicate ID",IF(B96="","CHECK: Supplier ID missing",IF(COUNTIF(INV_ID,B96)=0,"CHECK: Supplier ID not in inventory",IF(AND(D96&lt;&gt;"",COUNTIF(RSK_ID,D96)=0),"CHECK: Risk ID not found",IF(AND(D96&lt;&gt;"",COUNTIF(RSK_ID,D96)&gt;0,IFERROR(INDEX(RSK_SUP,MATCH(D96,RSK_ID,0)),"")&lt;&gt;B96),"CHECK: Risk belongs to a different supplier",IF(AND(O96="Closed - verified",S96=""),"CHECK: closed without verification reference","OK")))))))</f>
        <v/>
      </c>
      <c r="Y96" s="52" t="str">
        <f aca="false">IF(OR(A96="",B96=""),"",IF(AND(U96="Active",B96=RptSup),B96&amp;"|"&amp;COUNTIFS($B$7:B96,B96,$U$7:U96,"Active"),""))</f>
        <v/>
      </c>
    </row>
    <row r="97" customFormat="false" ht="15" hidden="false" customHeight="false" outlineLevel="0" collapsed="false">
      <c r="A97" s="50"/>
      <c r="B97" s="50"/>
      <c r="C97" s="59" t="str">
        <f aca="false">IF(B97="","",IFERROR(INDEX(INV_NAME,MATCH(B97,INV_ID,0)),"CHECK: Supplier ID not found"))</f>
        <v/>
      </c>
      <c r="D97" s="50"/>
      <c r="E97" s="50"/>
      <c r="F97" s="50"/>
      <c r="G97" s="34"/>
      <c r="H97" s="34"/>
      <c r="I97" s="34"/>
      <c r="J97" s="34"/>
      <c r="K97" s="34"/>
      <c r="L97" s="50"/>
      <c r="M97" s="34"/>
      <c r="N97" s="34"/>
      <c r="O97" s="34"/>
      <c r="P97" s="51"/>
      <c r="Q97" s="51"/>
      <c r="R97" s="51"/>
      <c r="S97" s="34"/>
      <c r="T97" s="34"/>
      <c r="U97" s="52" t="str">
        <f aca="false">IF(A97="","",IF(OR(O97="Closed - verified",O97="Withdrawn"),"Closed","Active"))</f>
        <v/>
      </c>
      <c r="V97" s="52" t="str">
        <f aca="false">IF(A97="","",IF(AND(OR(O97="",O97="Open",O97="In remediation",O97="Remediated - pending verification"),ISNUMBER(Q97),Q97&lt;AsOf),"Overdue",""))</f>
        <v/>
      </c>
      <c r="W97" s="62" t="str">
        <f aca="false">IF(A97="","",COUNTIF(TRT_FND,A97))</f>
        <v/>
      </c>
      <c r="X97" s="54" t="str">
        <f aca="false">IF(A97="","",IF(COUNTIF(FND_ID,A97)&gt;1,"CHECK: duplicate ID",IF(B97="","CHECK: Supplier ID missing",IF(COUNTIF(INV_ID,B97)=0,"CHECK: Supplier ID not in inventory",IF(AND(D97&lt;&gt;"",COUNTIF(RSK_ID,D97)=0),"CHECK: Risk ID not found",IF(AND(D97&lt;&gt;"",COUNTIF(RSK_ID,D97)&gt;0,IFERROR(INDEX(RSK_SUP,MATCH(D97,RSK_ID,0)),"")&lt;&gt;B97),"CHECK: Risk belongs to a different supplier",IF(AND(O97="Closed - verified",S97=""),"CHECK: closed without verification reference","OK")))))))</f>
        <v/>
      </c>
      <c r="Y97" s="52" t="str">
        <f aca="false">IF(OR(A97="",B97=""),"",IF(AND(U97="Active",B97=RptSup),B97&amp;"|"&amp;COUNTIFS($B$7:B97,B97,$U$7:U97,"Active"),""))</f>
        <v/>
      </c>
    </row>
    <row r="98" customFormat="false" ht="15" hidden="false" customHeight="false" outlineLevel="0" collapsed="false">
      <c r="A98" s="50"/>
      <c r="B98" s="50"/>
      <c r="C98" s="59" t="str">
        <f aca="false">IF(B98="","",IFERROR(INDEX(INV_NAME,MATCH(B98,INV_ID,0)),"CHECK: Supplier ID not found"))</f>
        <v/>
      </c>
      <c r="D98" s="50"/>
      <c r="E98" s="50"/>
      <c r="F98" s="50"/>
      <c r="G98" s="34"/>
      <c r="H98" s="34"/>
      <c r="I98" s="34"/>
      <c r="J98" s="34"/>
      <c r="K98" s="34"/>
      <c r="L98" s="50"/>
      <c r="M98" s="34"/>
      <c r="N98" s="34"/>
      <c r="O98" s="34"/>
      <c r="P98" s="51"/>
      <c r="Q98" s="51"/>
      <c r="R98" s="51"/>
      <c r="S98" s="34"/>
      <c r="T98" s="34"/>
      <c r="U98" s="52" t="str">
        <f aca="false">IF(A98="","",IF(OR(O98="Closed - verified",O98="Withdrawn"),"Closed","Active"))</f>
        <v/>
      </c>
      <c r="V98" s="52" t="str">
        <f aca="false">IF(A98="","",IF(AND(OR(O98="",O98="Open",O98="In remediation",O98="Remediated - pending verification"),ISNUMBER(Q98),Q98&lt;AsOf),"Overdue",""))</f>
        <v/>
      </c>
      <c r="W98" s="62" t="str">
        <f aca="false">IF(A98="","",COUNTIF(TRT_FND,A98))</f>
        <v/>
      </c>
      <c r="X98" s="54" t="str">
        <f aca="false">IF(A98="","",IF(COUNTIF(FND_ID,A98)&gt;1,"CHECK: duplicate ID",IF(B98="","CHECK: Supplier ID missing",IF(COUNTIF(INV_ID,B98)=0,"CHECK: Supplier ID not in inventory",IF(AND(D98&lt;&gt;"",COUNTIF(RSK_ID,D98)=0),"CHECK: Risk ID not found",IF(AND(D98&lt;&gt;"",COUNTIF(RSK_ID,D98)&gt;0,IFERROR(INDEX(RSK_SUP,MATCH(D98,RSK_ID,0)),"")&lt;&gt;B98),"CHECK: Risk belongs to a different supplier",IF(AND(O98="Closed - verified",S98=""),"CHECK: closed without verification reference","OK")))))))</f>
        <v/>
      </c>
      <c r="Y98" s="52" t="str">
        <f aca="false">IF(OR(A98="",B98=""),"",IF(AND(U98="Active",B98=RptSup),B98&amp;"|"&amp;COUNTIFS($B$7:B98,B98,$U$7:U98,"Active"),""))</f>
        <v/>
      </c>
    </row>
    <row r="99" customFormat="false" ht="15" hidden="false" customHeight="false" outlineLevel="0" collapsed="false">
      <c r="A99" s="50"/>
      <c r="B99" s="50"/>
      <c r="C99" s="59" t="str">
        <f aca="false">IF(B99="","",IFERROR(INDEX(INV_NAME,MATCH(B99,INV_ID,0)),"CHECK: Supplier ID not found"))</f>
        <v/>
      </c>
      <c r="D99" s="50"/>
      <c r="E99" s="50"/>
      <c r="F99" s="50"/>
      <c r="G99" s="34"/>
      <c r="H99" s="34"/>
      <c r="I99" s="34"/>
      <c r="J99" s="34"/>
      <c r="K99" s="34"/>
      <c r="L99" s="50"/>
      <c r="M99" s="34"/>
      <c r="N99" s="34"/>
      <c r="O99" s="34"/>
      <c r="P99" s="51"/>
      <c r="Q99" s="51"/>
      <c r="R99" s="51"/>
      <c r="S99" s="34"/>
      <c r="T99" s="34"/>
      <c r="U99" s="52" t="str">
        <f aca="false">IF(A99="","",IF(OR(O99="Closed - verified",O99="Withdrawn"),"Closed","Active"))</f>
        <v/>
      </c>
      <c r="V99" s="52" t="str">
        <f aca="false">IF(A99="","",IF(AND(OR(O99="",O99="Open",O99="In remediation",O99="Remediated - pending verification"),ISNUMBER(Q99),Q99&lt;AsOf),"Overdue",""))</f>
        <v/>
      </c>
      <c r="W99" s="62" t="str">
        <f aca="false">IF(A99="","",COUNTIF(TRT_FND,A99))</f>
        <v/>
      </c>
      <c r="X99" s="54" t="str">
        <f aca="false">IF(A99="","",IF(COUNTIF(FND_ID,A99)&gt;1,"CHECK: duplicate ID",IF(B99="","CHECK: Supplier ID missing",IF(COUNTIF(INV_ID,B99)=0,"CHECK: Supplier ID not in inventory",IF(AND(D99&lt;&gt;"",COUNTIF(RSK_ID,D99)=0),"CHECK: Risk ID not found",IF(AND(D99&lt;&gt;"",COUNTIF(RSK_ID,D99)&gt;0,IFERROR(INDEX(RSK_SUP,MATCH(D99,RSK_ID,0)),"")&lt;&gt;B99),"CHECK: Risk belongs to a different supplier",IF(AND(O99="Closed - verified",S99=""),"CHECK: closed without verification reference","OK")))))))</f>
        <v/>
      </c>
      <c r="Y99" s="52" t="str">
        <f aca="false">IF(OR(A99="",B99=""),"",IF(AND(U99="Active",B99=RptSup),B99&amp;"|"&amp;COUNTIFS($B$7:B99,B99,$U$7:U99,"Active"),""))</f>
        <v/>
      </c>
    </row>
    <row r="100" customFormat="false" ht="15" hidden="false" customHeight="false" outlineLevel="0" collapsed="false">
      <c r="A100" s="50"/>
      <c r="B100" s="50"/>
      <c r="C100" s="59" t="str">
        <f aca="false">IF(B100="","",IFERROR(INDEX(INV_NAME,MATCH(B100,INV_ID,0)),"CHECK: Supplier ID not found"))</f>
        <v/>
      </c>
      <c r="D100" s="50"/>
      <c r="E100" s="50"/>
      <c r="F100" s="50"/>
      <c r="G100" s="34"/>
      <c r="H100" s="34"/>
      <c r="I100" s="34"/>
      <c r="J100" s="34"/>
      <c r="K100" s="34"/>
      <c r="L100" s="50"/>
      <c r="M100" s="34"/>
      <c r="N100" s="34"/>
      <c r="O100" s="34"/>
      <c r="P100" s="51"/>
      <c r="Q100" s="51"/>
      <c r="R100" s="51"/>
      <c r="S100" s="34"/>
      <c r="T100" s="34"/>
      <c r="U100" s="52" t="str">
        <f aca="false">IF(A100="","",IF(OR(O100="Closed - verified",O100="Withdrawn"),"Closed","Active"))</f>
        <v/>
      </c>
      <c r="V100" s="52" t="str">
        <f aca="false">IF(A100="","",IF(AND(OR(O100="",O100="Open",O100="In remediation",O100="Remediated - pending verification"),ISNUMBER(Q100),Q100&lt;AsOf),"Overdue",""))</f>
        <v/>
      </c>
      <c r="W100" s="62" t="str">
        <f aca="false">IF(A100="","",COUNTIF(TRT_FND,A100))</f>
        <v/>
      </c>
      <c r="X100" s="54" t="str">
        <f aca="false">IF(A100="","",IF(COUNTIF(FND_ID,A100)&gt;1,"CHECK: duplicate ID",IF(B100="","CHECK: Supplier ID missing",IF(COUNTIF(INV_ID,B100)=0,"CHECK: Supplier ID not in inventory",IF(AND(D100&lt;&gt;"",COUNTIF(RSK_ID,D100)=0),"CHECK: Risk ID not found",IF(AND(D100&lt;&gt;"",COUNTIF(RSK_ID,D100)&gt;0,IFERROR(INDEX(RSK_SUP,MATCH(D100,RSK_ID,0)),"")&lt;&gt;B100),"CHECK: Risk belongs to a different supplier",IF(AND(O100="Closed - verified",S100=""),"CHECK: closed without verification reference","OK")))))))</f>
        <v/>
      </c>
      <c r="Y100" s="52" t="str">
        <f aca="false">IF(OR(A100="",B100=""),"",IF(AND(U100="Active",B100=RptSup),B100&amp;"|"&amp;COUNTIFS($B$7:B100,B100,$U$7:U100,"Active"),""))</f>
        <v/>
      </c>
    </row>
    <row r="101" customFormat="false" ht="15" hidden="false" customHeight="false" outlineLevel="0" collapsed="false">
      <c r="A101" s="50"/>
      <c r="B101" s="50"/>
      <c r="C101" s="59" t="str">
        <f aca="false">IF(B101="","",IFERROR(INDEX(INV_NAME,MATCH(B101,INV_ID,0)),"CHECK: Supplier ID not found"))</f>
        <v/>
      </c>
      <c r="D101" s="50"/>
      <c r="E101" s="50"/>
      <c r="F101" s="50"/>
      <c r="G101" s="34"/>
      <c r="H101" s="34"/>
      <c r="I101" s="34"/>
      <c r="J101" s="34"/>
      <c r="K101" s="34"/>
      <c r="L101" s="50"/>
      <c r="M101" s="34"/>
      <c r="N101" s="34"/>
      <c r="O101" s="34"/>
      <c r="P101" s="51"/>
      <c r="Q101" s="51"/>
      <c r="R101" s="51"/>
      <c r="S101" s="34"/>
      <c r="T101" s="34"/>
      <c r="U101" s="52" t="str">
        <f aca="false">IF(A101="","",IF(OR(O101="Closed - verified",O101="Withdrawn"),"Closed","Active"))</f>
        <v/>
      </c>
      <c r="V101" s="52" t="str">
        <f aca="false">IF(A101="","",IF(AND(OR(O101="",O101="Open",O101="In remediation",O101="Remediated - pending verification"),ISNUMBER(Q101),Q101&lt;AsOf),"Overdue",""))</f>
        <v/>
      </c>
      <c r="W101" s="62" t="str">
        <f aca="false">IF(A101="","",COUNTIF(TRT_FND,A101))</f>
        <v/>
      </c>
      <c r="X101" s="54" t="str">
        <f aca="false">IF(A101="","",IF(COUNTIF(FND_ID,A101)&gt;1,"CHECK: duplicate ID",IF(B101="","CHECK: Supplier ID missing",IF(COUNTIF(INV_ID,B101)=0,"CHECK: Supplier ID not in inventory",IF(AND(D101&lt;&gt;"",COUNTIF(RSK_ID,D101)=0),"CHECK: Risk ID not found",IF(AND(D101&lt;&gt;"",COUNTIF(RSK_ID,D101)&gt;0,IFERROR(INDEX(RSK_SUP,MATCH(D101,RSK_ID,0)),"")&lt;&gt;B101),"CHECK: Risk belongs to a different supplier",IF(AND(O101="Closed - verified",S101=""),"CHECK: closed without verification reference","OK")))))))</f>
        <v/>
      </c>
      <c r="Y101" s="52" t="str">
        <f aca="false">IF(OR(A101="",B101=""),"",IF(AND(U101="Active",B101=RptSup),B101&amp;"|"&amp;COUNTIFS($B$7:B101,B101,$U$7:U101,"Active"),""))</f>
        <v/>
      </c>
    </row>
    <row r="102" customFormat="false" ht="15" hidden="false" customHeight="false" outlineLevel="0" collapsed="false">
      <c r="A102" s="50"/>
      <c r="B102" s="50"/>
      <c r="C102" s="59" t="str">
        <f aca="false">IF(B102="","",IFERROR(INDEX(INV_NAME,MATCH(B102,INV_ID,0)),"CHECK: Supplier ID not found"))</f>
        <v/>
      </c>
      <c r="D102" s="50"/>
      <c r="E102" s="50"/>
      <c r="F102" s="50"/>
      <c r="G102" s="34"/>
      <c r="H102" s="34"/>
      <c r="I102" s="34"/>
      <c r="J102" s="34"/>
      <c r="K102" s="34"/>
      <c r="L102" s="50"/>
      <c r="M102" s="34"/>
      <c r="N102" s="34"/>
      <c r="O102" s="34"/>
      <c r="P102" s="51"/>
      <c r="Q102" s="51"/>
      <c r="R102" s="51"/>
      <c r="S102" s="34"/>
      <c r="T102" s="34"/>
      <c r="U102" s="52" t="str">
        <f aca="false">IF(A102="","",IF(OR(O102="Closed - verified",O102="Withdrawn"),"Closed","Active"))</f>
        <v/>
      </c>
      <c r="V102" s="52" t="str">
        <f aca="false">IF(A102="","",IF(AND(OR(O102="",O102="Open",O102="In remediation",O102="Remediated - pending verification"),ISNUMBER(Q102),Q102&lt;AsOf),"Overdue",""))</f>
        <v/>
      </c>
      <c r="W102" s="62" t="str">
        <f aca="false">IF(A102="","",COUNTIF(TRT_FND,A102))</f>
        <v/>
      </c>
      <c r="X102" s="54" t="str">
        <f aca="false">IF(A102="","",IF(COUNTIF(FND_ID,A102)&gt;1,"CHECK: duplicate ID",IF(B102="","CHECK: Supplier ID missing",IF(COUNTIF(INV_ID,B102)=0,"CHECK: Supplier ID not in inventory",IF(AND(D102&lt;&gt;"",COUNTIF(RSK_ID,D102)=0),"CHECK: Risk ID not found",IF(AND(D102&lt;&gt;"",COUNTIF(RSK_ID,D102)&gt;0,IFERROR(INDEX(RSK_SUP,MATCH(D102,RSK_ID,0)),"")&lt;&gt;B102),"CHECK: Risk belongs to a different supplier",IF(AND(O102="Closed - verified",S102=""),"CHECK: closed without verification reference","OK")))))))</f>
        <v/>
      </c>
      <c r="Y102" s="52" t="str">
        <f aca="false">IF(OR(A102="",B102=""),"",IF(AND(U102="Active",B102=RptSup),B102&amp;"|"&amp;COUNTIFS($B$7:B102,B102,$U$7:U102,"Active"),""))</f>
        <v/>
      </c>
    </row>
    <row r="103" customFormat="false" ht="15" hidden="false" customHeight="false" outlineLevel="0" collapsed="false">
      <c r="A103" s="50"/>
      <c r="B103" s="50"/>
      <c r="C103" s="59" t="str">
        <f aca="false">IF(B103="","",IFERROR(INDEX(INV_NAME,MATCH(B103,INV_ID,0)),"CHECK: Supplier ID not found"))</f>
        <v/>
      </c>
      <c r="D103" s="50"/>
      <c r="E103" s="50"/>
      <c r="F103" s="50"/>
      <c r="G103" s="34"/>
      <c r="H103" s="34"/>
      <c r="I103" s="34"/>
      <c r="J103" s="34"/>
      <c r="K103" s="34"/>
      <c r="L103" s="50"/>
      <c r="M103" s="34"/>
      <c r="N103" s="34"/>
      <c r="O103" s="34"/>
      <c r="P103" s="51"/>
      <c r="Q103" s="51"/>
      <c r="R103" s="51"/>
      <c r="S103" s="34"/>
      <c r="T103" s="34"/>
      <c r="U103" s="52" t="str">
        <f aca="false">IF(A103="","",IF(OR(O103="Closed - verified",O103="Withdrawn"),"Closed","Active"))</f>
        <v/>
      </c>
      <c r="V103" s="52" t="str">
        <f aca="false">IF(A103="","",IF(AND(OR(O103="",O103="Open",O103="In remediation",O103="Remediated - pending verification"),ISNUMBER(Q103),Q103&lt;AsOf),"Overdue",""))</f>
        <v/>
      </c>
      <c r="W103" s="62" t="str">
        <f aca="false">IF(A103="","",COUNTIF(TRT_FND,A103))</f>
        <v/>
      </c>
      <c r="X103" s="54" t="str">
        <f aca="false">IF(A103="","",IF(COUNTIF(FND_ID,A103)&gt;1,"CHECK: duplicate ID",IF(B103="","CHECK: Supplier ID missing",IF(COUNTIF(INV_ID,B103)=0,"CHECK: Supplier ID not in inventory",IF(AND(D103&lt;&gt;"",COUNTIF(RSK_ID,D103)=0),"CHECK: Risk ID not found",IF(AND(D103&lt;&gt;"",COUNTIF(RSK_ID,D103)&gt;0,IFERROR(INDEX(RSK_SUP,MATCH(D103,RSK_ID,0)),"")&lt;&gt;B103),"CHECK: Risk belongs to a different supplier",IF(AND(O103="Closed - verified",S103=""),"CHECK: closed without verification reference","OK")))))))</f>
        <v/>
      </c>
      <c r="Y103" s="52" t="str">
        <f aca="false">IF(OR(A103="",B103=""),"",IF(AND(U103="Active",B103=RptSup),B103&amp;"|"&amp;COUNTIFS($B$7:B103,B103,$U$7:U103,"Active"),""))</f>
        <v/>
      </c>
    </row>
    <row r="104" customFormat="false" ht="15" hidden="false" customHeight="false" outlineLevel="0" collapsed="false">
      <c r="A104" s="50"/>
      <c r="B104" s="50"/>
      <c r="C104" s="59" t="str">
        <f aca="false">IF(B104="","",IFERROR(INDEX(INV_NAME,MATCH(B104,INV_ID,0)),"CHECK: Supplier ID not found"))</f>
        <v/>
      </c>
      <c r="D104" s="50"/>
      <c r="E104" s="50"/>
      <c r="F104" s="50"/>
      <c r="G104" s="34"/>
      <c r="H104" s="34"/>
      <c r="I104" s="34"/>
      <c r="J104" s="34"/>
      <c r="K104" s="34"/>
      <c r="L104" s="50"/>
      <c r="M104" s="34"/>
      <c r="N104" s="34"/>
      <c r="O104" s="34"/>
      <c r="P104" s="51"/>
      <c r="Q104" s="51"/>
      <c r="R104" s="51"/>
      <c r="S104" s="34"/>
      <c r="T104" s="34"/>
      <c r="U104" s="52" t="str">
        <f aca="false">IF(A104="","",IF(OR(O104="Closed - verified",O104="Withdrawn"),"Closed","Active"))</f>
        <v/>
      </c>
      <c r="V104" s="52" t="str">
        <f aca="false">IF(A104="","",IF(AND(OR(O104="",O104="Open",O104="In remediation",O104="Remediated - pending verification"),ISNUMBER(Q104),Q104&lt;AsOf),"Overdue",""))</f>
        <v/>
      </c>
      <c r="W104" s="62" t="str">
        <f aca="false">IF(A104="","",COUNTIF(TRT_FND,A104))</f>
        <v/>
      </c>
      <c r="X104" s="54" t="str">
        <f aca="false">IF(A104="","",IF(COUNTIF(FND_ID,A104)&gt;1,"CHECK: duplicate ID",IF(B104="","CHECK: Supplier ID missing",IF(COUNTIF(INV_ID,B104)=0,"CHECK: Supplier ID not in inventory",IF(AND(D104&lt;&gt;"",COUNTIF(RSK_ID,D104)=0),"CHECK: Risk ID not found",IF(AND(D104&lt;&gt;"",COUNTIF(RSK_ID,D104)&gt;0,IFERROR(INDEX(RSK_SUP,MATCH(D104,RSK_ID,0)),"")&lt;&gt;B104),"CHECK: Risk belongs to a different supplier",IF(AND(O104="Closed - verified",S104=""),"CHECK: closed without verification reference","OK")))))))</f>
        <v/>
      </c>
      <c r="Y104" s="52" t="str">
        <f aca="false">IF(OR(A104="",B104=""),"",IF(AND(U104="Active",B104=RptSup),B104&amp;"|"&amp;COUNTIFS($B$7:B104,B104,$U$7:U104,"Active"),""))</f>
        <v/>
      </c>
    </row>
    <row r="105" customFormat="false" ht="15" hidden="false" customHeight="false" outlineLevel="0" collapsed="false">
      <c r="A105" s="50"/>
      <c r="B105" s="50"/>
      <c r="C105" s="59" t="str">
        <f aca="false">IF(B105="","",IFERROR(INDEX(INV_NAME,MATCH(B105,INV_ID,0)),"CHECK: Supplier ID not found"))</f>
        <v/>
      </c>
      <c r="D105" s="50"/>
      <c r="E105" s="50"/>
      <c r="F105" s="50"/>
      <c r="G105" s="34"/>
      <c r="H105" s="34"/>
      <c r="I105" s="34"/>
      <c r="J105" s="34"/>
      <c r="K105" s="34"/>
      <c r="L105" s="50"/>
      <c r="M105" s="34"/>
      <c r="N105" s="34"/>
      <c r="O105" s="34"/>
      <c r="P105" s="51"/>
      <c r="Q105" s="51"/>
      <c r="R105" s="51"/>
      <c r="S105" s="34"/>
      <c r="T105" s="34"/>
      <c r="U105" s="52" t="str">
        <f aca="false">IF(A105="","",IF(OR(O105="Closed - verified",O105="Withdrawn"),"Closed","Active"))</f>
        <v/>
      </c>
      <c r="V105" s="52" t="str">
        <f aca="false">IF(A105="","",IF(AND(OR(O105="",O105="Open",O105="In remediation",O105="Remediated - pending verification"),ISNUMBER(Q105),Q105&lt;AsOf),"Overdue",""))</f>
        <v/>
      </c>
      <c r="W105" s="62" t="str">
        <f aca="false">IF(A105="","",COUNTIF(TRT_FND,A105))</f>
        <v/>
      </c>
      <c r="X105" s="54" t="str">
        <f aca="false">IF(A105="","",IF(COUNTIF(FND_ID,A105)&gt;1,"CHECK: duplicate ID",IF(B105="","CHECK: Supplier ID missing",IF(COUNTIF(INV_ID,B105)=0,"CHECK: Supplier ID not in inventory",IF(AND(D105&lt;&gt;"",COUNTIF(RSK_ID,D105)=0),"CHECK: Risk ID not found",IF(AND(D105&lt;&gt;"",COUNTIF(RSK_ID,D105)&gt;0,IFERROR(INDEX(RSK_SUP,MATCH(D105,RSK_ID,0)),"")&lt;&gt;B105),"CHECK: Risk belongs to a different supplier",IF(AND(O105="Closed - verified",S105=""),"CHECK: closed without verification reference","OK")))))))</f>
        <v/>
      </c>
      <c r="Y105" s="52" t="str">
        <f aca="false">IF(OR(A105="",B105=""),"",IF(AND(U105="Active",B105=RptSup),B105&amp;"|"&amp;COUNTIFS($B$7:B105,B105,$U$7:U105,"Active"),""))</f>
        <v/>
      </c>
    </row>
    <row r="106" customFormat="false" ht="15" hidden="false" customHeight="false" outlineLevel="0" collapsed="false">
      <c r="A106" s="50"/>
      <c r="B106" s="50"/>
      <c r="C106" s="59" t="str">
        <f aca="false">IF(B106="","",IFERROR(INDEX(INV_NAME,MATCH(B106,INV_ID,0)),"CHECK: Supplier ID not found"))</f>
        <v/>
      </c>
      <c r="D106" s="50"/>
      <c r="E106" s="50"/>
      <c r="F106" s="50"/>
      <c r="G106" s="34"/>
      <c r="H106" s="34"/>
      <c r="I106" s="34"/>
      <c r="J106" s="34"/>
      <c r="K106" s="34"/>
      <c r="L106" s="50"/>
      <c r="M106" s="34"/>
      <c r="N106" s="34"/>
      <c r="O106" s="34"/>
      <c r="P106" s="51"/>
      <c r="Q106" s="51"/>
      <c r="R106" s="51"/>
      <c r="S106" s="34"/>
      <c r="T106" s="34"/>
      <c r="U106" s="52" t="str">
        <f aca="false">IF(A106="","",IF(OR(O106="Closed - verified",O106="Withdrawn"),"Closed","Active"))</f>
        <v/>
      </c>
      <c r="V106" s="52" t="str">
        <f aca="false">IF(A106="","",IF(AND(OR(O106="",O106="Open",O106="In remediation",O106="Remediated - pending verification"),ISNUMBER(Q106),Q106&lt;AsOf),"Overdue",""))</f>
        <v/>
      </c>
      <c r="W106" s="62" t="str">
        <f aca="false">IF(A106="","",COUNTIF(TRT_FND,A106))</f>
        <v/>
      </c>
      <c r="X106" s="54" t="str">
        <f aca="false">IF(A106="","",IF(COUNTIF(FND_ID,A106)&gt;1,"CHECK: duplicate ID",IF(B106="","CHECK: Supplier ID missing",IF(COUNTIF(INV_ID,B106)=0,"CHECK: Supplier ID not in inventory",IF(AND(D106&lt;&gt;"",COUNTIF(RSK_ID,D106)=0),"CHECK: Risk ID not found",IF(AND(D106&lt;&gt;"",COUNTIF(RSK_ID,D106)&gt;0,IFERROR(INDEX(RSK_SUP,MATCH(D106,RSK_ID,0)),"")&lt;&gt;B106),"CHECK: Risk belongs to a different supplier",IF(AND(O106="Closed - verified",S106=""),"CHECK: closed without verification reference","OK")))))))</f>
        <v/>
      </c>
      <c r="Y106" s="52" t="str">
        <f aca="false">IF(OR(A106="",B106=""),"",IF(AND(U106="Active",B106=RptSup),B106&amp;"|"&amp;COUNTIFS($B$7:B106,B106,$U$7:U106,"Active"),""))</f>
        <v/>
      </c>
    </row>
    <row r="107" customFormat="false" ht="15" hidden="false" customHeight="false" outlineLevel="0" collapsed="false">
      <c r="A107" s="50"/>
      <c r="B107" s="50"/>
      <c r="C107" s="59" t="str">
        <f aca="false">IF(B107="","",IFERROR(INDEX(INV_NAME,MATCH(B107,INV_ID,0)),"CHECK: Supplier ID not found"))</f>
        <v/>
      </c>
      <c r="D107" s="50"/>
      <c r="E107" s="50"/>
      <c r="F107" s="50"/>
      <c r="G107" s="34"/>
      <c r="H107" s="34"/>
      <c r="I107" s="34"/>
      <c r="J107" s="34"/>
      <c r="K107" s="34"/>
      <c r="L107" s="50"/>
      <c r="M107" s="34"/>
      <c r="N107" s="34"/>
      <c r="O107" s="34"/>
      <c r="P107" s="51"/>
      <c r="Q107" s="51"/>
      <c r="R107" s="51"/>
      <c r="S107" s="34"/>
      <c r="T107" s="34"/>
      <c r="U107" s="52" t="str">
        <f aca="false">IF(A107="","",IF(OR(O107="Closed - verified",O107="Withdrawn"),"Closed","Active"))</f>
        <v/>
      </c>
      <c r="V107" s="52" t="str">
        <f aca="false">IF(A107="","",IF(AND(OR(O107="",O107="Open",O107="In remediation",O107="Remediated - pending verification"),ISNUMBER(Q107),Q107&lt;AsOf),"Overdue",""))</f>
        <v/>
      </c>
      <c r="W107" s="62" t="str">
        <f aca="false">IF(A107="","",COUNTIF(TRT_FND,A107))</f>
        <v/>
      </c>
      <c r="X107" s="54" t="str">
        <f aca="false">IF(A107="","",IF(COUNTIF(FND_ID,A107)&gt;1,"CHECK: duplicate ID",IF(B107="","CHECK: Supplier ID missing",IF(COUNTIF(INV_ID,B107)=0,"CHECK: Supplier ID not in inventory",IF(AND(D107&lt;&gt;"",COUNTIF(RSK_ID,D107)=0),"CHECK: Risk ID not found",IF(AND(D107&lt;&gt;"",COUNTIF(RSK_ID,D107)&gt;0,IFERROR(INDEX(RSK_SUP,MATCH(D107,RSK_ID,0)),"")&lt;&gt;B107),"CHECK: Risk belongs to a different supplier",IF(AND(O107="Closed - verified",S107=""),"CHECK: closed without verification reference","OK")))))))</f>
        <v/>
      </c>
      <c r="Y107" s="52" t="str">
        <f aca="false">IF(OR(A107="",B107=""),"",IF(AND(U107="Active",B107=RptSup),B107&amp;"|"&amp;COUNTIFS($B$7:B107,B107,$U$7:U107,"Active"),""))</f>
        <v/>
      </c>
    </row>
    <row r="108" customFormat="false" ht="15" hidden="false" customHeight="false" outlineLevel="0" collapsed="false">
      <c r="A108" s="50"/>
      <c r="B108" s="50"/>
      <c r="C108" s="59" t="str">
        <f aca="false">IF(B108="","",IFERROR(INDEX(INV_NAME,MATCH(B108,INV_ID,0)),"CHECK: Supplier ID not found"))</f>
        <v/>
      </c>
      <c r="D108" s="50"/>
      <c r="E108" s="50"/>
      <c r="F108" s="50"/>
      <c r="G108" s="34"/>
      <c r="H108" s="34"/>
      <c r="I108" s="34"/>
      <c r="J108" s="34"/>
      <c r="K108" s="34"/>
      <c r="L108" s="50"/>
      <c r="M108" s="34"/>
      <c r="N108" s="34"/>
      <c r="O108" s="34"/>
      <c r="P108" s="51"/>
      <c r="Q108" s="51"/>
      <c r="R108" s="51"/>
      <c r="S108" s="34"/>
      <c r="T108" s="34"/>
      <c r="U108" s="52" t="str">
        <f aca="false">IF(A108="","",IF(OR(O108="Closed - verified",O108="Withdrawn"),"Closed","Active"))</f>
        <v/>
      </c>
      <c r="V108" s="52" t="str">
        <f aca="false">IF(A108="","",IF(AND(OR(O108="",O108="Open",O108="In remediation",O108="Remediated - pending verification"),ISNUMBER(Q108),Q108&lt;AsOf),"Overdue",""))</f>
        <v/>
      </c>
      <c r="W108" s="62" t="str">
        <f aca="false">IF(A108="","",COUNTIF(TRT_FND,A108))</f>
        <v/>
      </c>
      <c r="X108" s="54" t="str">
        <f aca="false">IF(A108="","",IF(COUNTIF(FND_ID,A108)&gt;1,"CHECK: duplicate ID",IF(B108="","CHECK: Supplier ID missing",IF(COUNTIF(INV_ID,B108)=0,"CHECK: Supplier ID not in inventory",IF(AND(D108&lt;&gt;"",COUNTIF(RSK_ID,D108)=0),"CHECK: Risk ID not found",IF(AND(D108&lt;&gt;"",COUNTIF(RSK_ID,D108)&gt;0,IFERROR(INDEX(RSK_SUP,MATCH(D108,RSK_ID,0)),"")&lt;&gt;B108),"CHECK: Risk belongs to a different supplier",IF(AND(O108="Closed - verified",S108=""),"CHECK: closed without verification reference","OK")))))))</f>
        <v/>
      </c>
      <c r="Y108" s="52" t="str">
        <f aca="false">IF(OR(A108="",B108=""),"",IF(AND(U108="Active",B108=RptSup),B108&amp;"|"&amp;COUNTIFS($B$7:B108,B108,$U$7:U108,"Active"),""))</f>
        <v/>
      </c>
    </row>
    <row r="109" customFormat="false" ht="15" hidden="false" customHeight="false" outlineLevel="0" collapsed="false">
      <c r="A109" s="50"/>
      <c r="B109" s="50"/>
      <c r="C109" s="59" t="str">
        <f aca="false">IF(B109="","",IFERROR(INDEX(INV_NAME,MATCH(B109,INV_ID,0)),"CHECK: Supplier ID not found"))</f>
        <v/>
      </c>
      <c r="D109" s="50"/>
      <c r="E109" s="50"/>
      <c r="F109" s="50"/>
      <c r="G109" s="34"/>
      <c r="H109" s="34"/>
      <c r="I109" s="34"/>
      <c r="J109" s="34"/>
      <c r="K109" s="34"/>
      <c r="L109" s="50"/>
      <c r="M109" s="34"/>
      <c r="N109" s="34"/>
      <c r="O109" s="34"/>
      <c r="P109" s="51"/>
      <c r="Q109" s="51"/>
      <c r="R109" s="51"/>
      <c r="S109" s="34"/>
      <c r="T109" s="34"/>
      <c r="U109" s="52" t="str">
        <f aca="false">IF(A109="","",IF(OR(O109="Closed - verified",O109="Withdrawn"),"Closed","Active"))</f>
        <v/>
      </c>
      <c r="V109" s="52" t="str">
        <f aca="false">IF(A109="","",IF(AND(OR(O109="",O109="Open",O109="In remediation",O109="Remediated - pending verification"),ISNUMBER(Q109),Q109&lt;AsOf),"Overdue",""))</f>
        <v/>
      </c>
      <c r="W109" s="62" t="str">
        <f aca="false">IF(A109="","",COUNTIF(TRT_FND,A109))</f>
        <v/>
      </c>
      <c r="X109" s="54" t="str">
        <f aca="false">IF(A109="","",IF(COUNTIF(FND_ID,A109)&gt;1,"CHECK: duplicate ID",IF(B109="","CHECK: Supplier ID missing",IF(COUNTIF(INV_ID,B109)=0,"CHECK: Supplier ID not in inventory",IF(AND(D109&lt;&gt;"",COUNTIF(RSK_ID,D109)=0),"CHECK: Risk ID not found",IF(AND(D109&lt;&gt;"",COUNTIF(RSK_ID,D109)&gt;0,IFERROR(INDEX(RSK_SUP,MATCH(D109,RSK_ID,0)),"")&lt;&gt;B109),"CHECK: Risk belongs to a different supplier",IF(AND(O109="Closed - verified",S109=""),"CHECK: closed without verification reference","OK")))))))</f>
        <v/>
      </c>
      <c r="Y109" s="52" t="str">
        <f aca="false">IF(OR(A109="",B109=""),"",IF(AND(U109="Active",B109=RptSup),B109&amp;"|"&amp;COUNTIFS($B$7:B109,B109,$U$7:U109,"Active"),""))</f>
        <v/>
      </c>
    </row>
    <row r="110" customFormat="false" ht="15" hidden="false" customHeight="false" outlineLevel="0" collapsed="false">
      <c r="A110" s="50"/>
      <c r="B110" s="50"/>
      <c r="C110" s="59" t="str">
        <f aca="false">IF(B110="","",IFERROR(INDEX(INV_NAME,MATCH(B110,INV_ID,0)),"CHECK: Supplier ID not found"))</f>
        <v/>
      </c>
      <c r="D110" s="50"/>
      <c r="E110" s="50"/>
      <c r="F110" s="50"/>
      <c r="G110" s="34"/>
      <c r="H110" s="34"/>
      <c r="I110" s="34"/>
      <c r="J110" s="34"/>
      <c r="K110" s="34"/>
      <c r="L110" s="50"/>
      <c r="M110" s="34"/>
      <c r="N110" s="34"/>
      <c r="O110" s="34"/>
      <c r="P110" s="51"/>
      <c r="Q110" s="51"/>
      <c r="R110" s="51"/>
      <c r="S110" s="34"/>
      <c r="T110" s="34"/>
      <c r="U110" s="52" t="str">
        <f aca="false">IF(A110="","",IF(OR(O110="Closed - verified",O110="Withdrawn"),"Closed","Active"))</f>
        <v/>
      </c>
      <c r="V110" s="52" t="str">
        <f aca="false">IF(A110="","",IF(AND(OR(O110="",O110="Open",O110="In remediation",O110="Remediated - pending verification"),ISNUMBER(Q110),Q110&lt;AsOf),"Overdue",""))</f>
        <v/>
      </c>
      <c r="W110" s="62" t="str">
        <f aca="false">IF(A110="","",COUNTIF(TRT_FND,A110))</f>
        <v/>
      </c>
      <c r="X110" s="54" t="str">
        <f aca="false">IF(A110="","",IF(COUNTIF(FND_ID,A110)&gt;1,"CHECK: duplicate ID",IF(B110="","CHECK: Supplier ID missing",IF(COUNTIF(INV_ID,B110)=0,"CHECK: Supplier ID not in inventory",IF(AND(D110&lt;&gt;"",COUNTIF(RSK_ID,D110)=0),"CHECK: Risk ID not found",IF(AND(D110&lt;&gt;"",COUNTIF(RSK_ID,D110)&gt;0,IFERROR(INDEX(RSK_SUP,MATCH(D110,RSK_ID,0)),"")&lt;&gt;B110),"CHECK: Risk belongs to a different supplier",IF(AND(O110="Closed - verified",S110=""),"CHECK: closed without verification reference","OK")))))))</f>
        <v/>
      </c>
      <c r="Y110" s="52" t="str">
        <f aca="false">IF(OR(A110="",B110=""),"",IF(AND(U110="Active",B110=RptSup),B110&amp;"|"&amp;COUNTIFS($B$7:B110,B110,$U$7:U110,"Active"),""))</f>
        <v/>
      </c>
    </row>
    <row r="111" customFormat="false" ht="15" hidden="false" customHeight="false" outlineLevel="0" collapsed="false">
      <c r="A111" s="50"/>
      <c r="B111" s="50"/>
      <c r="C111" s="59" t="str">
        <f aca="false">IF(B111="","",IFERROR(INDEX(INV_NAME,MATCH(B111,INV_ID,0)),"CHECK: Supplier ID not found"))</f>
        <v/>
      </c>
      <c r="D111" s="50"/>
      <c r="E111" s="50"/>
      <c r="F111" s="50"/>
      <c r="G111" s="34"/>
      <c r="H111" s="34"/>
      <c r="I111" s="34"/>
      <c r="J111" s="34"/>
      <c r="K111" s="34"/>
      <c r="L111" s="50"/>
      <c r="M111" s="34"/>
      <c r="N111" s="34"/>
      <c r="O111" s="34"/>
      <c r="P111" s="51"/>
      <c r="Q111" s="51"/>
      <c r="R111" s="51"/>
      <c r="S111" s="34"/>
      <c r="T111" s="34"/>
      <c r="U111" s="52" t="str">
        <f aca="false">IF(A111="","",IF(OR(O111="Closed - verified",O111="Withdrawn"),"Closed","Active"))</f>
        <v/>
      </c>
      <c r="V111" s="52" t="str">
        <f aca="false">IF(A111="","",IF(AND(OR(O111="",O111="Open",O111="In remediation",O111="Remediated - pending verification"),ISNUMBER(Q111),Q111&lt;AsOf),"Overdue",""))</f>
        <v/>
      </c>
      <c r="W111" s="62" t="str">
        <f aca="false">IF(A111="","",COUNTIF(TRT_FND,A111))</f>
        <v/>
      </c>
      <c r="X111" s="54" t="str">
        <f aca="false">IF(A111="","",IF(COUNTIF(FND_ID,A111)&gt;1,"CHECK: duplicate ID",IF(B111="","CHECK: Supplier ID missing",IF(COUNTIF(INV_ID,B111)=0,"CHECK: Supplier ID not in inventory",IF(AND(D111&lt;&gt;"",COUNTIF(RSK_ID,D111)=0),"CHECK: Risk ID not found",IF(AND(D111&lt;&gt;"",COUNTIF(RSK_ID,D111)&gt;0,IFERROR(INDEX(RSK_SUP,MATCH(D111,RSK_ID,0)),"")&lt;&gt;B111),"CHECK: Risk belongs to a different supplier",IF(AND(O111="Closed - verified",S111=""),"CHECK: closed without verification reference","OK")))))))</f>
        <v/>
      </c>
      <c r="Y111" s="52" t="str">
        <f aca="false">IF(OR(A111="",B111=""),"",IF(AND(U111="Active",B111=RptSup),B111&amp;"|"&amp;COUNTIFS($B$7:B111,B111,$U$7:U111,"Active"),""))</f>
        <v/>
      </c>
    </row>
    <row r="112" customFormat="false" ht="15" hidden="false" customHeight="false" outlineLevel="0" collapsed="false">
      <c r="A112" s="50"/>
      <c r="B112" s="50"/>
      <c r="C112" s="59" t="str">
        <f aca="false">IF(B112="","",IFERROR(INDEX(INV_NAME,MATCH(B112,INV_ID,0)),"CHECK: Supplier ID not found"))</f>
        <v/>
      </c>
      <c r="D112" s="50"/>
      <c r="E112" s="50"/>
      <c r="F112" s="50"/>
      <c r="G112" s="34"/>
      <c r="H112" s="34"/>
      <c r="I112" s="34"/>
      <c r="J112" s="34"/>
      <c r="K112" s="34"/>
      <c r="L112" s="50"/>
      <c r="M112" s="34"/>
      <c r="N112" s="34"/>
      <c r="O112" s="34"/>
      <c r="P112" s="51"/>
      <c r="Q112" s="51"/>
      <c r="R112" s="51"/>
      <c r="S112" s="34"/>
      <c r="T112" s="34"/>
      <c r="U112" s="52" t="str">
        <f aca="false">IF(A112="","",IF(OR(O112="Closed - verified",O112="Withdrawn"),"Closed","Active"))</f>
        <v/>
      </c>
      <c r="V112" s="52" t="str">
        <f aca="false">IF(A112="","",IF(AND(OR(O112="",O112="Open",O112="In remediation",O112="Remediated - pending verification"),ISNUMBER(Q112),Q112&lt;AsOf),"Overdue",""))</f>
        <v/>
      </c>
      <c r="W112" s="62" t="str">
        <f aca="false">IF(A112="","",COUNTIF(TRT_FND,A112))</f>
        <v/>
      </c>
      <c r="X112" s="54" t="str">
        <f aca="false">IF(A112="","",IF(COUNTIF(FND_ID,A112)&gt;1,"CHECK: duplicate ID",IF(B112="","CHECK: Supplier ID missing",IF(COUNTIF(INV_ID,B112)=0,"CHECK: Supplier ID not in inventory",IF(AND(D112&lt;&gt;"",COUNTIF(RSK_ID,D112)=0),"CHECK: Risk ID not found",IF(AND(D112&lt;&gt;"",COUNTIF(RSK_ID,D112)&gt;0,IFERROR(INDEX(RSK_SUP,MATCH(D112,RSK_ID,0)),"")&lt;&gt;B112),"CHECK: Risk belongs to a different supplier",IF(AND(O112="Closed - verified",S112=""),"CHECK: closed without verification reference","OK")))))))</f>
        <v/>
      </c>
      <c r="Y112" s="52" t="str">
        <f aca="false">IF(OR(A112="",B112=""),"",IF(AND(U112="Active",B112=RptSup),B112&amp;"|"&amp;COUNTIFS($B$7:B112,B112,$U$7:U112,"Active"),""))</f>
        <v/>
      </c>
    </row>
    <row r="113" customFormat="false" ht="15" hidden="false" customHeight="false" outlineLevel="0" collapsed="false">
      <c r="A113" s="50"/>
      <c r="B113" s="50"/>
      <c r="C113" s="59" t="str">
        <f aca="false">IF(B113="","",IFERROR(INDEX(INV_NAME,MATCH(B113,INV_ID,0)),"CHECK: Supplier ID not found"))</f>
        <v/>
      </c>
      <c r="D113" s="50"/>
      <c r="E113" s="50"/>
      <c r="F113" s="50"/>
      <c r="G113" s="34"/>
      <c r="H113" s="34"/>
      <c r="I113" s="34"/>
      <c r="J113" s="34"/>
      <c r="K113" s="34"/>
      <c r="L113" s="50"/>
      <c r="M113" s="34"/>
      <c r="N113" s="34"/>
      <c r="O113" s="34"/>
      <c r="P113" s="51"/>
      <c r="Q113" s="51"/>
      <c r="R113" s="51"/>
      <c r="S113" s="34"/>
      <c r="T113" s="34"/>
      <c r="U113" s="52" t="str">
        <f aca="false">IF(A113="","",IF(OR(O113="Closed - verified",O113="Withdrawn"),"Closed","Active"))</f>
        <v/>
      </c>
      <c r="V113" s="52" t="str">
        <f aca="false">IF(A113="","",IF(AND(OR(O113="",O113="Open",O113="In remediation",O113="Remediated - pending verification"),ISNUMBER(Q113),Q113&lt;AsOf),"Overdue",""))</f>
        <v/>
      </c>
      <c r="W113" s="62" t="str">
        <f aca="false">IF(A113="","",COUNTIF(TRT_FND,A113))</f>
        <v/>
      </c>
      <c r="X113" s="54" t="str">
        <f aca="false">IF(A113="","",IF(COUNTIF(FND_ID,A113)&gt;1,"CHECK: duplicate ID",IF(B113="","CHECK: Supplier ID missing",IF(COUNTIF(INV_ID,B113)=0,"CHECK: Supplier ID not in inventory",IF(AND(D113&lt;&gt;"",COUNTIF(RSK_ID,D113)=0),"CHECK: Risk ID not found",IF(AND(D113&lt;&gt;"",COUNTIF(RSK_ID,D113)&gt;0,IFERROR(INDEX(RSK_SUP,MATCH(D113,RSK_ID,0)),"")&lt;&gt;B113),"CHECK: Risk belongs to a different supplier",IF(AND(O113="Closed - verified",S113=""),"CHECK: closed without verification reference","OK")))))))</f>
        <v/>
      </c>
      <c r="Y113" s="52" t="str">
        <f aca="false">IF(OR(A113="",B113=""),"",IF(AND(U113="Active",B113=RptSup),B113&amp;"|"&amp;COUNTIFS($B$7:B113,B113,$U$7:U113,"Active"),""))</f>
        <v/>
      </c>
    </row>
    <row r="114" customFormat="false" ht="15" hidden="false" customHeight="false" outlineLevel="0" collapsed="false">
      <c r="A114" s="50"/>
      <c r="B114" s="50"/>
      <c r="C114" s="59" t="str">
        <f aca="false">IF(B114="","",IFERROR(INDEX(INV_NAME,MATCH(B114,INV_ID,0)),"CHECK: Supplier ID not found"))</f>
        <v/>
      </c>
      <c r="D114" s="50"/>
      <c r="E114" s="50"/>
      <c r="F114" s="50"/>
      <c r="G114" s="34"/>
      <c r="H114" s="34"/>
      <c r="I114" s="34"/>
      <c r="J114" s="34"/>
      <c r="K114" s="34"/>
      <c r="L114" s="50"/>
      <c r="M114" s="34"/>
      <c r="N114" s="34"/>
      <c r="O114" s="34"/>
      <c r="P114" s="51"/>
      <c r="Q114" s="51"/>
      <c r="R114" s="51"/>
      <c r="S114" s="34"/>
      <c r="T114" s="34"/>
      <c r="U114" s="52" t="str">
        <f aca="false">IF(A114="","",IF(OR(O114="Closed - verified",O114="Withdrawn"),"Closed","Active"))</f>
        <v/>
      </c>
      <c r="V114" s="52" t="str">
        <f aca="false">IF(A114="","",IF(AND(OR(O114="",O114="Open",O114="In remediation",O114="Remediated - pending verification"),ISNUMBER(Q114),Q114&lt;AsOf),"Overdue",""))</f>
        <v/>
      </c>
      <c r="W114" s="62" t="str">
        <f aca="false">IF(A114="","",COUNTIF(TRT_FND,A114))</f>
        <v/>
      </c>
      <c r="X114" s="54" t="str">
        <f aca="false">IF(A114="","",IF(COUNTIF(FND_ID,A114)&gt;1,"CHECK: duplicate ID",IF(B114="","CHECK: Supplier ID missing",IF(COUNTIF(INV_ID,B114)=0,"CHECK: Supplier ID not in inventory",IF(AND(D114&lt;&gt;"",COUNTIF(RSK_ID,D114)=0),"CHECK: Risk ID not found",IF(AND(D114&lt;&gt;"",COUNTIF(RSK_ID,D114)&gt;0,IFERROR(INDEX(RSK_SUP,MATCH(D114,RSK_ID,0)),"")&lt;&gt;B114),"CHECK: Risk belongs to a different supplier",IF(AND(O114="Closed - verified",S114=""),"CHECK: closed without verification reference","OK")))))))</f>
        <v/>
      </c>
      <c r="Y114" s="52" t="str">
        <f aca="false">IF(OR(A114="",B114=""),"",IF(AND(U114="Active",B114=RptSup),B114&amp;"|"&amp;COUNTIFS($B$7:B114,B114,$U$7:U114,"Active"),""))</f>
        <v/>
      </c>
    </row>
    <row r="115" customFormat="false" ht="15" hidden="false" customHeight="false" outlineLevel="0" collapsed="false">
      <c r="A115" s="50"/>
      <c r="B115" s="50"/>
      <c r="C115" s="59" t="str">
        <f aca="false">IF(B115="","",IFERROR(INDEX(INV_NAME,MATCH(B115,INV_ID,0)),"CHECK: Supplier ID not found"))</f>
        <v/>
      </c>
      <c r="D115" s="50"/>
      <c r="E115" s="50"/>
      <c r="F115" s="50"/>
      <c r="G115" s="34"/>
      <c r="H115" s="34"/>
      <c r="I115" s="34"/>
      <c r="J115" s="34"/>
      <c r="K115" s="34"/>
      <c r="L115" s="50"/>
      <c r="M115" s="34"/>
      <c r="N115" s="34"/>
      <c r="O115" s="34"/>
      <c r="P115" s="51"/>
      <c r="Q115" s="51"/>
      <c r="R115" s="51"/>
      <c r="S115" s="34"/>
      <c r="T115" s="34"/>
      <c r="U115" s="52" t="str">
        <f aca="false">IF(A115="","",IF(OR(O115="Closed - verified",O115="Withdrawn"),"Closed","Active"))</f>
        <v/>
      </c>
      <c r="V115" s="52" t="str">
        <f aca="false">IF(A115="","",IF(AND(OR(O115="",O115="Open",O115="In remediation",O115="Remediated - pending verification"),ISNUMBER(Q115),Q115&lt;AsOf),"Overdue",""))</f>
        <v/>
      </c>
      <c r="W115" s="62" t="str">
        <f aca="false">IF(A115="","",COUNTIF(TRT_FND,A115))</f>
        <v/>
      </c>
      <c r="X115" s="54" t="str">
        <f aca="false">IF(A115="","",IF(COUNTIF(FND_ID,A115)&gt;1,"CHECK: duplicate ID",IF(B115="","CHECK: Supplier ID missing",IF(COUNTIF(INV_ID,B115)=0,"CHECK: Supplier ID not in inventory",IF(AND(D115&lt;&gt;"",COUNTIF(RSK_ID,D115)=0),"CHECK: Risk ID not found",IF(AND(D115&lt;&gt;"",COUNTIF(RSK_ID,D115)&gt;0,IFERROR(INDEX(RSK_SUP,MATCH(D115,RSK_ID,0)),"")&lt;&gt;B115),"CHECK: Risk belongs to a different supplier",IF(AND(O115="Closed - verified",S115=""),"CHECK: closed without verification reference","OK")))))))</f>
        <v/>
      </c>
      <c r="Y115" s="52" t="str">
        <f aca="false">IF(OR(A115="",B115=""),"",IF(AND(U115="Active",B115=RptSup),B115&amp;"|"&amp;COUNTIFS($B$7:B115,B115,$U$7:U115,"Active"),""))</f>
        <v/>
      </c>
    </row>
    <row r="116" customFormat="false" ht="15" hidden="false" customHeight="false" outlineLevel="0" collapsed="false">
      <c r="A116" s="50"/>
      <c r="B116" s="50"/>
      <c r="C116" s="59" t="str">
        <f aca="false">IF(B116="","",IFERROR(INDEX(INV_NAME,MATCH(B116,INV_ID,0)),"CHECK: Supplier ID not found"))</f>
        <v/>
      </c>
      <c r="D116" s="50"/>
      <c r="E116" s="50"/>
      <c r="F116" s="50"/>
      <c r="G116" s="34"/>
      <c r="H116" s="34"/>
      <c r="I116" s="34"/>
      <c r="J116" s="34"/>
      <c r="K116" s="34"/>
      <c r="L116" s="50"/>
      <c r="M116" s="34"/>
      <c r="N116" s="34"/>
      <c r="O116" s="34"/>
      <c r="P116" s="51"/>
      <c r="Q116" s="51"/>
      <c r="R116" s="51"/>
      <c r="S116" s="34"/>
      <c r="T116" s="34"/>
      <c r="U116" s="52" t="str">
        <f aca="false">IF(A116="","",IF(OR(O116="Closed - verified",O116="Withdrawn"),"Closed","Active"))</f>
        <v/>
      </c>
      <c r="V116" s="52" t="str">
        <f aca="false">IF(A116="","",IF(AND(OR(O116="",O116="Open",O116="In remediation",O116="Remediated - pending verification"),ISNUMBER(Q116),Q116&lt;AsOf),"Overdue",""))</f>
        <v/>
      </c>
      <c r="W116" s="62" t="str">
        <f aca="false">IF(A116="","",COUNTIF(TRT_FND,A116))</f>
        <v/>
      </c>
      <c r="X116" s="54" t="str">
        <f aca="false">IF(A116="","",IF(COUNTIF(FND_ID,A116)&gt;1,"CHECK: duplicate ID",IF(B116="","CHECK: Supplier ID missing",IF(COUNTIF(INV_ID,B116)=0,"CHECK: Supplier ID not in inventory",IF(AND(D116&lt;&gt;"",COUNTIF(RSK_ID,D116)=0),"CHECK: Risk ID not found",IF(AND(D116&lt;&gt;"",COUNTIF(RSK_ID,D116)&gt;0,IFERROR(INDEX(RSK_SUP,MATCH(D116,RSK_ID,0)),"")&lt;&gt;B116),"CHECK: Risk belongs to a different supplier",IF(AND(O116="Closed - verified",S116=""),"CHECK: closed without verification reference","OK")))))))</f>
        <v/>
      </c>
      <c r="Y116" s="52" t="str">
        <f aca="false">IF(OR(A116="",B116=""),"",IF(AND(U116="Active",B116=RptSup),B116&amp;"|"&amp;COUNTIFS($B$7:B116,B116,$U$7:U116,"Active"),""))</f>
        <v/>
      </c>
    </row>
    <row r="117" customFormat="false" ht="15" hidden="false" customHeight="false" outlineLevel="0" collapsed="false">
      <c r="A117" s="50"/>
      <c r="B117" s="50"/>
      <c r="C117" s="59" t="str">
        <f aca="false">IF(B117="","",IFERROR(INDEX(INV_NAME,MATCH(B117,INV_ID,0)),"CHECK: Supplier ID not found"))</f>
        <v/>
      </c>
      <c r="D117" s="50"/>
      <c r="E117" s="50"/>
      <c r="F117" s="50"/>
      <c r="G117" s="34"/>
      <c r="H117" s="34"/>
      <c r="I117" s="34"/>
      <c r="J117" s="34"/>
      <c r="K117" s="34"/>
      <c r="L117" s="50"/>
      <c r="M117" s="34"/>
      <c r="N117" s="34"/>
      <c r="O117" s="34"/>
      <c r="P117" s="51"/>
      <c r="Q117" s="51"/>
      <c r="R117" s="51"/>
      <c r="S117" s="34"/>
      <c r="T117" s="34"/>
      <c r="U117" s="52" t="str">
        <f aca="false">IF(A117="","",IF(OR(O117="Closed - verified",O117="Withdrawn"),"Closed","Active"))</f>
        <v/>
      </c>
      <c r="V117" s="52" t="str">
        <f aca="false">IF(A117="","",IF(AND(OR(O117="",O117="Open",O117="In remediation",O117="Remediated - pending verification"),ISNUMBER(Q117),Q117&lt;AsOf),"Overdue",""))</f>
        <v/>
      </c>
      <c r="W117" s="62" t="str">
        <f aca="false">IF(A117="","",COUNTIF(TRT_FND,A117))</f>
        <v/>
      </c>
      <c r="X117" s="54" t="str">
        <f aca="false">IF(A117="","",IF(COUNTIF(FND_ID,A117)&gt;1,"CHECK: duplicate ID",IF(B117="","CHECK: Supplier ID missing",IF(COUNTIF(INV_ID,B117)=0,"CHECK: Supplier ID not in inventory",IF(AND(D117&lt;&gt;"",COUNTIF(RSK_ID,D117)=0),"CHECK: Risk ID not found",IF(AND(D117&lt;&gt;"",COUNTIF(RSK_ID,D117)&gt;0,IFERROR(INDEX(RSK_SUP,MATCH(D117,RSK_ID,0)),"")&lt;&gt;B117),"CHECK: Risk belongs to a different supplier",IF(AND(O117="Closed - verified",S117=""),"CHECK: closed without verification reference","OK")))))))</f>
        <v/>
      </c>
      <c r="Y117" s="52" t="str">
        <f aca="false">IF(OR(A117="",B117=""),"",IF(AND(U117="Active",B117=RptSup),B117&amp;"|"&amp;COUNTIFS($B$7:B117,B117,$U$7:U117,"Active"),""))</f>
        <v/>
      </c>
    </row>
    <row r="118" customFormat="false" ht="15" hidden="false" customHeight="false" outlineLevel="0" collapsed="false">
      <c r="A118" s="50"/>
      <c r="B118" s="50"/>
      <c r="C118" s="59" t="str">
        <f aca="false">IF(B118="","",IFERROR(INDEX(INV_NAME,MATCH(B118,INV_ID,0)),"CHECK: Supplier ID not found"))</f>
        <v/>
      </c>
      <c r="D118" s="50"/>
      <c r="E118" s="50"/>
      <c r="F118" s="50"/>
      <c r="G118" s="34"/>
      <c r="H118" s="34"/>
      <c r="I118" s="34"/>
      <c r="J118" s="34"/>
      <c r="K118" s="34"/>
      <c r="L118" s="50"/>
      <c r="M118" s="34"/>
      <c r="N118" s="34"/>
      <c r="O118" s="34"/>
      <c r="P118" s="51"/>
      <c r="Q118" s="51"/>
      <c r="R118" s="51"/>
      <c r="S118" s="34"/>
      <c r="T118" s="34"/>
      <c r="U118" s="52" t="str">
        <f aca="false">IF(A118="","",IF(OR(O118="Closed - verified",O118="Withdrawn"),"Closed","Active"))</f>
        <v/>
      </c>
      <c r="V118" s="52" t="str">
        <f aca="false">IF(A118="","",IF(AND(OR(O118="",O118="Open",O118="In remediation",O118="Remediated - pending verification"),ISNUMBER(Q118),Q118&lt;AsOf),"Overdue",""))</f>
        <v/>
      </c>
      <c r="W118" s="62" t="str">
        <f aca="false">IF(A118="","",COUNTIF(TRT_FND,A118))</f>
        <v/>
      </c>
      <c r="X118" s="54" t="str">
        <f aca="false">IF(A118="","",IF(COUNTIF(FND_ID,A118)&gt;1,"CHECK: duplicate ID",IF(B118="","CHECK: Supplier ID missing",IF(COUNTIF(INV_ID,B118)=0,"CHECK: Supplier ID not in inventory",IF(AND(D118&lt;&gt;"",COUNTIF(RSK_ID,D118)=0),"CHECK: Risk ID not found",IF(AND(D118&lt;&gt;"",COUNTIF(RSK_ID,D118)&gt;0,IFERROR(INDEX(RSK_SUP,MATCH(D118,RSK_ID,0)),"")&lt;&gt;B118),"CHECK: Risk belongs to a different supplier",IF(AND(O118="Closed - verified",S118=""),"CHECK: closed without verification reference","OK")))))))</f>
        <v/>
      </c>
      <c r="Y118" s="52" t="str">
        <f aca="false">IF(OR(A118="",B118=""),"",IF(AND(U118="Active",B118=RptSup),B118&amp;"|"&amp;COUNTIFS($B$7:B118,B118,$U$7:U118,"Active"),""))</f>
        <v/>
      </c>
    </row>
    <row r="119" customFormat="false" ht="15" hidden="false" customHeight="false" outlineLevel="0" collapsed="false">
      <c r="A119" s="50"/>
      <c r="B119" s="50"/>
      <c r="C119" s="59" t="str">
        <f aca="false">IF(B119="","",IFERROR(INDEX(INV_NAME,MATCH(B119,INV_ID,0)),"CHECK: Supplier ID not found"))</f>
        <v/>
      </c>
      <c r="D119" s="50"/>
      <c r="E119" s="50"/>
      <c r="F119" s="50"/>
      <c r="G119" s="34"/>
      <c r="H119" s="34"/>
      <c r="I119" s="34"/>
      <c r="J119" s="34"/>
      <c r="K119" s="34"/>
      <c r="L119" s="50"/>
      <c r="M119" s="34"/>
      <c r="N119" s="34"/>
      <c r="O119" s="34"/>
      <c r="P119" s="51"/>
      <c r="Q119" s="51"/>
      <c r="R119" s="51"/>
      <c r="S119" s="34"/>
      <c r="T119" s="34"/>
      <c r="U119" s="52" t="str">
        <f aca="false">IF(A119="","",IF(OR(O119="Closed - verified",O119="Withdrawn"),"Closed","Active"))</f>
        <v/>
      </c>
      <c r="V119" s="52" t="str">
        <f aca="false">IF(A119="","",IF(AND(OR(O119="",O119="Open",O119="In remediation",O119="Remediated - pending verification"),ISNUMBER(Q119),Q119&lt;AsOf),"Overdue",""))</f>
        <v/>
      </c>
      <c r="W119" s="62" t="str">
        <f aca="false">IF(A119="","",COUNTIF(TRT_FND,A119))</f>
        <v/>
      </c>
      <c r="X119" s="54" t="str">
        <f aca="false">IF(A119="","",IF(COUNTIF(FND_ID,A119)&gt;1,"CHECK: duplicate ID",IF(B119="","CHECK: Supplier ID missing",IF(COUNTIF(INV_ID,B119)=0,"CHECK: Supplier ID not in inventory",IF(AND(D119&lt;&gt;"",COUNTIF(RSK_ID,D119)=0),"CHECK: Risk ID not found",IF(AND(D119&lt;&gt;"",COUNTIF(RSK_ID,D119)&gt;0,IFERROR(INDEX(RSK_SUP,MATCH(D119,RSK_ID,0)),"")&lt;&gt;B119),"CHECK: Risk belongs to a different supplier",IF(AND(O119="Closed - verified",S119=""),"CHECK: closed without verification reference","OK")))))))</f>
        <v/>
      </c>
      <c r="Y119" s="52" t="str">
        <f aca="false">IF(OR(A119="",B119=""),"",IF(AND(U119="Active",B119=RptSup),B119&amp;"|"&amp;COUNTIFS($B$7:B119,B119,$U$7:U119,"Active"),""))</f>
        <v/>
      </c>
    </row>
    <row r="120" customFormat="false" ht="15" hidden="false" customHeight="false" outlineLevel="0" collapsed="false">
      <c r="A120" s="50"/>
      <c r="B120" s="50"/>
      <c r="C120" s="59" t="str">
        <f aca="false">IF(B120="","",IFERROR(INDEX(INV_NAME,MATCH(B120,INV_ID,0)),"CHECK: Supplier ID not found"))</f>
        <v/>
      </c>
      <c r="D120" s="50"/>
      <c r="E120" s="50"/>
      <c r="F120" s="50"/>
      <c r="G120" s="34"/>
      <c r="H120" s="34"/>
      <c r="I120" s="34"/>
      <c r="J120" s="34"/>
      <c r="K120" s="34"/>
      <c r="L120" s="50"/>
      <c r="M120" s="34"/>
      <c r="N120" s="34"/>
      <c r="O120" s="34"/>
      <c r="P120" s="51"/>
      <c r="Q120" s="51"/>
      <c r="R120" s="51"/>
      <c r="S120" s="34"/>
      <c r="T120" s="34"/>
      <c r="U120" s="52" t="str">
        <f aca="false">IF(A120="","",IF(OR(O120="Closed - verified",O120="Withdrawn"),"Closed","Active"))</f>
        <v/>
      </c>
      <c r="V120" s="52" t="str">
        <f aca="false">IF(A120="","",IF(AND(OR(O120="",O120="Open",O120="In remediation",O120="Remediated - pending verification"),ISNUMBER(Q120),Q120&lt;AsOf),"Overdue",""))</f>
        <v/>
      </c>
      <c r="W120" s="62" t="str">
        <f aca="false">IF(A120="","",COUNTIF(TRT_FND,A120))</f>
        <v/>
      </c>
      <c r="X120" s="54" t="str">
        <f aca="false">IF(A120="","",IF(COUNTIF(FND_ID,A120)&gt;1,"CHECK: duplicate ID",IF(B120="","CHECK: Supplier ID missing",IF(COUNTIF(INV_ID,B120)=0,"CHECK: Supplier ID not in inventory",IF(AND(D120&lt;&gt;"",COUNTIF(RSK_ID,D120)=0),"CHECK: Risk ID not found",IF(AND(D120&lt;&gt;"",COUNTIF(RSK_ID,D120)&gt;0,IFERROR(INDEX(RSK_SUP,MATCH(D120,RSK_ID,0)),"")&lt;&gt;B120),"CHECK: Risk belongs to a different supplier",IF(AND(O120="Closed - verified",S120=""),"CHECK: closed without verification reference","OK")))))))</f>
        <v/>
      </c>
      <c r="Y120" s="52" t="str">
        <f aca="false">IF(OR(A120="",B120=""),"",IF(AND(U120="Active",B120=RptSup),B120&amp;"|"&amp;COUNTIFS($B$7:B120,B120,$U$7:U120,"Active"),""))</f>
        <v/>
      </c>
    </row>
    <row r="121" customFormat="false" ht="15" hidden="false" customHeight="false" outlineLevel="0" collapsed="false">
      <c r="A121" s="50"/>
      <c r="B121" s="50"/>
      <c r="C121" s="59" t="str">
        <f aca="false">IF(B121="","",IFERROR(INDEX(INV_NAME,MATCH(B121,INV_ID,0)),"CHECK: Supplier ID not found"))</f>
        <v/>
      </c>
      <c r="D121" s="50"/>
      <c r="E121" s="50"/>
      <c r="F121" s="50"/>
      <c r="G121" s="34"/>
      <c r="H121" s="34"/>
      <c r="I121" s="34"/>
      <c r="J121" s="34"/>
      <c r="K121" s="34"/>
      <c r="L121" s="50"/>
      <c r="M121" s="34"/>
      <c r="N121" s="34"/>
      <c r="O121" s="34"/>
      <c r="P121" s="51"/>
      <c r="Q121" s="51"/>
      <c r="R121" s="51"/>
      <c r="S121" s="34"/>
      <c r="T121" s="34"/>
      <c r="U121" s="52" t="str">
        <f aca="false">IF(A121="","",IF(OR(O121="Closed - verified",O121="Withdrawn"),"Closed","Active"))</f>
        <v/>
      </c>
      <c r="V121" s="52" t="str">
        <f aca="false">IF(A121="","",IF(AND(OR(O121="",O121="Open",O121="In remediation",O121="Remediated - pending verification"),ISNUMBER(Q121),Q121&lt;AsOf),"Overdue",""))</f>
        <v/>
      </c>
      <c r="W121" s="62" t="str">
        <f aca="false">IF(A121="","",COUNTIF(TRT_FND,A121))</f>
        <v/>
      </c>
      <c r="X121" s="54" t="str">
        <f aca="false">IF(A121="","",IF(COUNTIF(FND_ID,A121)&gt;1,"CHECK: duplicate ID",IF(B121="","CHECK: Supplier ID missing",IF(COUNTIF(INV_ID,B121)=0,"CHECK: Supplier ID not in inventory",IF(AND(D121&lt;&gt;"",COUNTIF(RSK_ID,D121)=0),"CHECK: Risk ID not found",IF(AND(D121&lt;&gt;"",COUNTIF(RSK_ID,D121)&gt;0,IFERROR(INDEX(RSK_SUP,MATCH(D121,RSK_ID,0)),"")&lt;&gt;B121),"CHECK: Risk belongs to a different supplier",IF(AND(O121="Closed - verified",S121=""),"CHECK: closed without verification reference","OK")))))))</f>
        <v/>
      </c>
      <c r="Y121" s="52" t="str">
        <f aca="false">IF(OR(A121="",B121=""),"",IF(AND(U121="Active",B121=RptSup),B121&amp;"|"&amp;COUNTIFS($B$7:B121,B121,$U$7:U121,"Active"),""))</f>
        <v/>
      </c>
    </row>
    <row r="122" customFormat="false" ht="15" hidden="false" customHeight="false" outlineLevel="0" collapsed="false">
      <c r="A122" s="50"/>
      <c r="B122" s="50"/>
      <c r="C122" s="59" t="str">
        <f aca="false">IF(B122="","",IFERROR(INDEX(INV_NAME,MATCH(B122,INV_ID,0)),"CHECK: Supplier ID not found"))</f>
        <v/>
      </c>
      <c r="D122" s="50"/>
      <c r="E122" s="50"/>
      <c r="F122" s="50"/>
      <c r="G122" s="34"/>
      <c r="H122" s="34"/>
      <c r="I122" s="34"/>
      <c r="J122" s="34"/>
      <c r="K122" s="34"/>
      <c r="L122" s="50"/>
      <c r="M122" s="34"/>
      <c r="N122" s="34"/>
      <c r="O122" s="34"/>
      <c r="P122" s="51"/>
      <c r="Q122" s="51"/>
      <c r="R122" s="51"/>
      <c r="S122" s="34"/>
      <c r="T122" s="34"/>
      <c r="U122" s="52" t="str">
        <f aca="false">IF(A122="","",IF(OR(O122="Closed - verified",O122="Withdrawn"),"Closed","Active"))</f>
        <v/>
      </c>
      <c r="V122" s="52" t="str">
        <f aca="false">IF(A122="","",IF(AND(OR(O122="",O122="Open",O122="In remediation",O122="Remediated - pending verification"),ISNUMBER(Q122),Q122&lt;AsOf),"Overdue",""))</f>
        <v/>
      </c>
      <c r="W122" s="62" t="str">
        <f aca="false">IF(A122="","",COUNTIF(TRT_FND,A122))</f>
        <v/>
      </c>
      <c r="X122" s="54" t="str">
        <f aca="false">IF(A122="","",IF(COUNTIF(FND_ID,A122)&gt;1,"CHECK: duplicate ID",IF(B122="","CHECK: Supplier ID missing",IF(COUNTIF(INV_ID,B122)=0,"CHECK: Supplier ID not in inventory",IF(AND(D122&lt;&gt;"",COUNTIF(RSK_ID,D122)=0),"CHECK: Risk ID not found",IF(AND(D122&lt;&gt;"",COUNTIF(RSK_ID,D122)&gt;0,IFERROR(INDEX(RSK_SUP,MATCH(D122,RSK_ID,0)),"")&lt;&gt;B122),"CHECK: Risk belongs to a different supplier",IF(AND(O122="Closed - verified",S122=""),"CHECK: closed without verification reference","OK")))))))</f>
        <v/>
      </c>
      <c r="Y122" s="52" t="str">
        <f aca="false">IF(OR(A122="",B122=""),"",IF(AND(U122="Active",B122=RptSup),B122&amp;"|"&amp;COUNTIFS($B$7:B122,B122,$U$7:U122,"Active"),""))</f>
        <v/>
      </c>
    </row>
    <row r="123" customFormat="false" ht="15" hidden="false" customHeight="false" outlineLevel="0" collapsed="false">
      <c r="A123" s="50"/>
      <c r="B123" s="50"/>
      <c r="C123" s="59" t="str">
        <f aca="false">IF(B123="","",IFERROR(INDEX(INV_NAME,MATCH(B123,INV_ID,0)),"CHECK: Supplier ID not found"))</f>
        <v/>
      </c>
      <c r="D123" s="50"/>
      <c r="E123" s="50"/>
      <c r="F123" s="50"/>
      <c r="G123" s="34"/>
      <c r="H123" s="34"/>
      <c r="I123" s="34"/>
      <c r="J123" s="34"/>
      <c r="K123" s="34"/>
      <c r="L123" s="50"/>
      <c r="M123" s="34"/>
      <c r="N123" s="34"/>
      <c r="O123" s="34"/>
      <c r="P123" s="51"/>
      <c r="Q123" s="51"/>
      <c r="R123" s="51"/>
      <c r="S123" s="34"/>
      <c r="T123" s="34"/>
      <c r="U123" s="52" t="str">
        <f aca="false">IF(A123="","",IF(OR(O123="Closed - verified",O123="Withdrawn"),"Closed","Active"))</f>
        <v/>
      </c>
      <c r="V123" s="52" t="str">
        <f aca="false">IF(A123="","",IF(AND(OR(O123="",O123="Open",O123="In remediation",O123="Remediated - pending verification"),ISNUMBER(Q123),Q123&lt;AsOf),"Overdue",""))</f>
        <v/>
      </c>
      <c r="W123" s="62" t="str">
        <f aca="false">IF(A123="","",COUNTIF(TRT_FND,A123))</f>
        <v/>
      </c>
      <c r="X123" s="54" t="str">
        <f aca="false">IF(A123="","",IF(COUNTIF(FND_ID,A123)&gt;1,"CHECK: duplicate ID",IF(B123="","CHECK: Supplier ID missing",IF(COUNTIF(INV_ID,B123)=0,"CHECK: Supplier ID not in inventory",IF(AND(D123&lt;&gt;"",COUNTIF(RSK_ID,D123)=0),"CHECK: Risk ID not found",IF(AND(D123&lt;&gt;"",COUNTIF(RSK_ID,D123)&gt;0,IFERROR(INDEX(RSK_SUP,MATCH(D123,RSK_ID,0)),"")&lt;&gt;B123),"CHECK: Risk belongs to a different supplier",IF(AND(O123="Closed - verified",S123=""),"CHECK: closed without verification reference","OK")))))))</f>
        <v/>
      </c>
      <c r="Y123" s="52" t="str">
        <f aca="false">IF(OR(A123="",B123=""),"",IF(AND(U123="Active",B123=RptSup),B123&amp;"|"&amp;COUNTIFS($B$7:B123,B123,$U$7:U123,"Active"),""))</f>
        <v/>
      </c>
    </row>
    <row r="124" customFormat="false" ht="15" hidden="false" customHeight="false" outlineLevel="0" collapsed="false">
      <c r="A124" s="50"/>
      <c r="B124" s="50"/>
      <c r="C124" s="59" t="str">
        <f aca="false">IF(B124="","",IFERROR(INDEX(INV_NAME,MATCH(B124,INV_ID,0)),"CHECK: Supplier ID not found"))</f>
        <v/>
      </c>
      <c r="D124" s="50"/>
      <c r="E124" s="50"/>
      <c r="F124" s="50"/>
      <c r="G124" s="34"/>
      <c r="H124" s="34"/>
      <c r="I124" s="34"/>
      <c r="J124" s="34"/>
      <c r="K124" s="34"/>
      <c r="L124" s="50"/>
      <c r="M124" s="34"/>
      <c r="N124" s="34"/>
      <c r="O124" s="34"/>
      <c r="P124" s="51"/>
      <c r="Q124" s="51"/>
      <c r="R124" s="51"/>
      <c r="S124" s="34"/>
      <c r="T124" s="34"/>
      <c r="U124" s="52" t="str">
        <f aca="false">IF(A124="","",IF(OR(O124="Closed - verified",O124="Withdrawn"),"Closed","Active"))</f>
        <v/>
      </c>
      <c r="V124" s="52" t="str">
        <f aca="false">IF(A124="","",IF(AND(OR(O124="",O124="Open",O124="In remediation",O124="Remediated - pending verification"),ISNUMBER(Q124),Q124&lt;AsOf),"Overdue",""))</f>
        <v/>
      </c>
      <c r="W124" s="62" t="str">
        <f aca="false">IF(A124="","",COUNTIF(TRT_FND,A124))</f>
        <v/>
      </c>
      <c r="X124" s="54" t="str">
        <f aca="false">IF(A124="","",IF(COUNTIF(FND_ID,A124)&gt;1,"CHECK: duplicate ID",IF(B124="","CHECK: Supplier ID missing",IF(COUNTIF(INV_ID,B124)=0,"CHECK: Supplier ID not in inventory",IF(AND(D124&lt;&gt;"",COUNTIF(RSK_ID,D124)=0),"CHECK: Risk ID not found",IF(AND(D124&lt;&gt;"",COUNTIF(RSK_ID,D124)&gt;0,IFERROR(INDEX(RSK_SUP,MATCH(D124,RSK_ID,0)),"")&lt;&gt;B124),"CHECK: Risk belongs to a different supplier",IF(AND(O124="Closed - verified",S124=""),"CHECK: closed without verification reference","OK")))))))</f>
        <v/>
      </c>
      <c r="Y124" s="52" t="str">
        <f aca="false">IF(OR(A124="",B124=""),"",IF(AND(U124="Active",B124=RptSup),B124&amp;"|"&amp;COUNTIFS($B$7:B124,B124,$U$7:U124,"Active"),""))</f>
        <v/>
      </c>
    </row>
    <row r="125" customFormat="false" ht="15" hidden="false" customHeight="false" outlineLevel="0" collapsed="false">
      <c r="A125" s="50"/>
      <c r="B125" s="50"/>
      <c r="C125" s="59" t="str">
        <f aca="false">IF(B125="","",IFERROR(INDEX(INV_NAME,MATCH(B125,INV_ID,0)),"CHECK: Supplier ID not found"))</f>
        <v/>
      </c>
      <c r="D125" s="50"/>
      <c r="E125" s="50"/>
      <c r="F125" s="50"/>
      <c r="G125" s="34"/>
      <c r="H125" s="34"/>
      <c r="I125" s="34"/>
      <c r="J125" s="34"/>
      <c r="K125" s="34"/>
      <c r="L125" s="50"/>
      <c r="M125" s="34"/>
      <c r="N125" s="34"/>
      <c r="O125" s="34"/>
      <c r="P125" s="51"/>
      <c r="Q125" s="51"/>
      <c r="R125" s="51"/>
      <c r="S125" s="34"/>
      <c r="T125" s="34"/>
      <c r="U125" s="52" t="str">
        <f aca="false">IF(A125="","",IF(OR(O125="Closed - verified",O125="Withdrawn"),"Closed","Active"))</f>
        <v/>
      </c>
      <c r="V125" s="52" t="str">
        <f aca="false">IF(A125="","",IF(AND(OR(O125="",O125="Open",O125="In remediation",O125="Remediated - pending verification"),ISNUMBER(Q125),Q125&lt;AsOf),"Overdue",""))</f>
        <v/>
      </c>
      <c r="W125" s="62" t="str">
        <f aca="false">IF(A125="","",COUNTIF(TRT_FND,A125))</f>
        <v/>
      </c>
      <c r="X125" s="54" t="str">
        <f aca="false">IF(A125="","",IF(COUNTIF(FND_ID,A125)&gt;1,"CHECK: duplicate ID",IF(B125="","CHECK: Supplier ID missing",IF(COUNTIF(INV_ID,B125)=0,"CHECK: Supplier ID not in inventory",IF(AND(D125&lt;&gt;"",COUNTIF(RSK_ID,D125)=0),"CHECK: Risk ID not found",IF(AND(D125&lt;&gt;"",COUNTIF(RSK_ID,D125)&gt;0,IFERROR(INDEX(RSK_SUP,MATCH(D125,RSK_ID,0)),"")&lt;&gt;B125),"CHECK: Risk belongs to a different supplier",IF(AND(O125="Closed - verified",S125=""),"CHECK: closed without verification reference","OK")))))))</f>
        <v/>
      </c>
      <c r="Y125" s="52" t="str">
        <f aca="false">IF(OR(A125="",B125=""),"",IF(AND(U125="Active",B125=RptSup),B125&amp;"|"&amp;COUNTIFS($B$7:B125,B125,$U$7:U125,"Active"),""))</f>
        <v/>
      </c>
    </row>
    <row r="126" customFormat="false" ht="15" hidden="false" customHeight="false" outlineLevel="0" collapsed="false">
      <c r="A126" s="50"/>
      <c r="B126" s="50"/>
      <c r="C126" s="59" t="str">
        <f aca="false">IF(B126="","",IFERROR(INDEX(INV_NAME,MATCH(B126,INV_ID,0)),"CHECK: Supplier ID not found"))</f>
        <v/>
      </c>
      <c r="D126" s="50"/>
      <c r="E126" s="50"/>
      <c r="F126" s="50"/>
      <c r="G126" s="34"/>
      <c r="H126" s="34"/>
      <c r="I126" s="34"/>
      <c r="J126" s="34"/>
      <c r="K126" s="34"/>
      <c r="L126" s="50"/>
      <c r="M126" s="34"/>
      <c r="N126" s="34"/>
      <c r="O126" s="34"/>
      <c r="P126" s="51"/>
      <c r="Q126" s="51"/>
      <c r="R126" s="51"/>
      <c r="S126" s="34"/>
      <c r="T126" s="34"/>
      <c r="U126" s="52" t="str">
        <f aca="false">IF(A126="","",IF(OR(O126="Closed - verified",O126="Withdrawn"),"Closed","Active"))</f>
        <v/>
      </c>
      <c r="V126" s="52" t="str">
        <f aca="false">IF(A126="","",IF(AND(OR(O126="",O126="Open",O126="In remediation",O126="Remediated - pending verification"),ISNUMBER(Q126),Q126&lt;AsOf),"Overdue",""))</f>
        <v/>
      </c>
      <c r="W126" s="62" t="str">
        <f aca="false">IF(A126="","",COUNTIF(TRT_FND,A126))</f>
        <v/>
      </c>
      <c r="X126" s="54" t="str">
        <f aca="false">IF(A126="","",IF(COUNTIF(FND_ID,A126)&gt;1,"CHECK: duplicate ID",IF(B126="","CHECK: Supplier ID missing",IF(COUNTIF(INV_ID,B126)=0,"CHECK: Supplier ID not in inventory",IF(AND(D126&lt;&gt;"",COUNTIF(RSK_ID,D126)=0),"CHECK: Risk ID not found",IF(AND(D126&lt;&gt;"",COUNTIF(RSK_ID,D126)&gt;0,IFERROR(INDEX(RSK_SUP,MATCH(D126,RSK_ID,0)),"")&lt;&gt;B126),"CHECK: Risk belongs to a different supplier",IF(AND(O126="Closed - verified",S126=""),"CHECK: closed without verification reference","OK")))))))</f>
        <v/>
      </c>
      <c r="Y126" s="52" t="str">
        <f aca="false">IF(OR(A126="",B126=""),"",IF(AND(U126="Active",B126=RptSup),B126&amp;"|"&amp;COUNTIFS($B$7:B126,B126,$U$7:U126,"Active"),""))</f>
        <v/>
      </c>
    </row>
    <row r="127" customFormat="false" ht="15" hidden="false" customHeight="false" outlineLevel="0" collapsed="false">
      <c r="A127" s="50"/>
      <c r="B127" s="50"/>
      <c r="C127" s="59" t="str">
        <f aca="false">IF(B127="","",IFERROR(INDEX(INV_NAME,MATCH(B127,INV_ID,0)),"CHECK: Supplier ID not found"))</f>
        <v/>
      </c>
      <c r="D127" s="50"/>
      <c r="E127" s="50"/>
      <c r="F127" s="50"/>
      <c r="G127" s="34"/>
      <c r="H127" s="34"/>
      <c r="I127" s="34"/>
      <c r="J127" s="34"/>
      <c r="K127" s="34"/>
      <c r="L127" s="50"/>
      <c r="M127" s="34"/>
      <c r="N127" s="34"/>
      <c r="O127" s="34"/>
      <c r="P127" s="51"/>
      <c r="Q127" s="51"/>
      <c r="R127" s="51"/>
      <c r="S127" s="34"/>
      <c r="T127" s="34"/>
      <c r="U127" s="52" t="str">
        <f aca="false">IF(A127="","",IF(OR(O127="Closed - verified",O127="Withdrawn"),"Closed","Active"))</f>
        <v/>
      </c>
      <c r="V127" s="52" t="str">
        <f aca="false">IF(A127="","",IF(AND(OR(O127="",O127="Open",O127="In remediation",O127="Remediated - pending verification"),ISNUMBER(Q127),Q127&lt;AsOf),"Overdue",""))</f>
        <v/>
      </c>
      <c r="W127" s="62" t="str">
        <f aca="false">IF(A127="","",COUNTIF(TRT_FND,A127))</f>
        <v/>
      </c>
      <c r="X127" s="54" t="str">
        <f aca="false">IF(A127="","",IF(COUNTIF(FND_ID,A127)&gt;1,"CHECK: duplicate ID",IF(B127="","CHECK: Supplier ID missing",IF(COUNTIF(INV_ID,B127)=0,"CHECK: Supplier ID not in inventory",IF(AND(D127&lt;&gt;"",COUNTIF(RSK_ID,D127)=0),"CHECK: Risk ID not found",IF(AND(D127&lt;&gt;"",COUNTIF(RSK_ID,D127)&gt;0,IFERROR(INDEX(RSK_SUP,MATCH(D127,RSK_ID,0)),"")&lt;&gt;B127),"CHECK: Risk belongs to a different supplier",IF(AND(O127="Closed - verified",S127=""),"CHECK: closed without verification reference","OK")))))))</f>
        <v/>
      </c>
      <c r="Y127" s="52" t="str">
        <f aca="false">IF(OR(A127="",B127=""),"",IF(AND(U127="Active",B127=RptSup),B127&amp;"|"&amp;COUNTIFS($B$7:B127,B127,$U$7:U127,"Active"),""))</f>
        <v/>
      </c>
    </row>
    <row r="128" customFormat="false" ht="15" hidden="false" customHeight="false" outlineLevel="0" collapsed="false">
      <c r="A128" s="50"/>
      <c r="B128" s="50"/>
      <c r="C128" s="59" t="str">
        <f aca="false">IF(B128="","",IFERROR(INDEX(INV_NAME,MATCH(B128,INV_ID,0)),"CHECK: Supplier ID not found"))</f>
        <v/>
      </c>
      <c r="D128" s="50"/>
      <c r="E128" s="50"/>
      <c r="F128" s="50"/>
      <c r="G128" s="34"/>
      <c r="H128" s="34"/>
      <c r="I128" s="34"/>
      <c r="J128" s="34"/>
      <c r="K128" s="34"/>
      <c r="L128" s="50"/>
      <c r="M128" s="34"/>
      <c r="N128" s="34"/>
      <c r="O128" s="34"/>
      <c r="P128" s="51"/>
      <c r="Q128" s="51"/>
      <c r="R128" s="51"/>
      <c r="S128" s="34"/>
      <c r="T128" s="34"/>
      <c r="U128" s="52" t="str">
        <f aca="false">IF(A128="","",IF(OR(O128="Closed - verified",O128="Withdrawn"),"Closed","Active"))</f>
        <v/>
      </c>
      <c r="V128" s="52" t="str">
        <f aca="false">IF(A128="","",IF(AND(OR(O128="",O128="Open",O128="In remediation",O128="Remediated - pending verification"),ISNUMBER(Q128),Q128&lt;AsOf),"Overdue",""))</f>
        <v/>
      </c>
      <c r="W128" s="62" t="str">
        <f aca="false">IF(A128="","",COUNTIF(TRT_FND,A128))</f>
        <v/>
      </c>
      <c r="X128" s="54" t="str">
        <f aca="false">IF(A128="","",IF(COUNTIF(FND_ID,A128)&gt;1,"CHECK: duplicate ID",IF(B128="","CHECK: Supplier ID missing",IF(COUNTIF(INV_ID,B128)=0,"CHECK: Supplier ID not in inventory",IF(AND(D128&lt;&gt;"",COUNTIF(RSK_ID,D128)=0),"CHECK: Risk ID not found",IF(AND(D128&lt;&gt;"",COUNTIF(RSK_ID,D128)&gt;0,IFERROR(INDEX(RSK_SUP,MATCH(D128,RSK_ID,0)),"")&lt;&gt;B128),"CHECK: Risk belongs to a different supplier",IF(AND(O128="Closed - verified",S128=""),"CHECK: closed without verification reference","OK")))))))</f>
        <v/>
      </c>
      <c r="Y128" s="52" t="str">
        <f aca="false">IF(OR(A128="",B128=""),"",IF(AND(U128="Active",B128=RptSup),B128&amp;"|"&amp;COUNTIFS($B$7:B128,B128,$U$7:U128,"Active"),""))</f>
        <v/>
      </c>
    </row>
    <row r="129" customFormat="false" ht="15" hidden="false" customHeight="false" outlineLevel="0" collapsed="false">
      <c r="A129" s="50"/>
      <c r="B129" s="50"/>
      <c r="C129" s="59" t="str">
        <f aca="false">IF(B129="","",IFERROR(INDEX(INV_NAME,MATCH(B129,INV_ID,0)),"CHECK: Supplier ID not found"))</f>
        <v/>
      </c>
      <c r="D129" s="50"/>
      <c r="E129" s="50"/>
      <c r="F129" s="50"/>
      <c r="G129" s="34"/>
      <c r="H129" s="34"/>
      <c r="I129" s="34"/>
      <c r="J129" s="34"/>
      <c r="K129" s="34"/>
      <c r="L129" s="50"/>
      <c r="M129" s="34"/>
      <c r="N129" s="34"/>
      <c r="O129" s="34"/>
      <c r="P129" s="51"/>
      <c r="Q129" s="51"/>
      <c r="R129" s="51"/>
      <c r="S129" s="34"/>
      <c r="T129" s="34"/>
      <c r="U129" s="52" t="str">
        <f aca="false">IF(A129="","",IF(OR(O129="Closed - verified",O129="Withdrawn"),"Closed","Active"))</f>
        <v/>
      </c>
      <c r="V129" s="52" t="str">
        <f aca="false">IF(A129="","",IF(AND(OR(O129="",O129="Open",O129="In remediation",O129="Remediated - pending verification"),ISNUMBER(Q129),Q129&lt;AsOf),"Overdue",""))</f>
        <v/>
      </c>
      <c r="W129" s="62" t="str">
        <f aca="false">IF(A129="","",COUNTIF(TRT_FND,A129))</f>
        <v/>
      </c>
      <c r="X129" s="54" t="str">
        <f aca="false">IF(A129="","",IF(COUNTIF(FND_ID,A129)&gt;1,"CHECK: duplicate ID",IF(B129="","CHECK: Supplier ID missing",IF(COUNTIF(INV_ID,B129)=0,"CHECK: Supplier ID not in inventory",IF(AND(D129&lt;&gt;"",COUNTIF(RSK_ID,D129)=0),"CHECK: Risk ID not found",IF(AND(D129&lt;&gt;"",COUNTIF(RSK_ID,D129)&gt;0,IFERROR(INDEX(RSK_SUP,MATCH(D129,RSK_ID,0)),"")&lt;&gt;B129),"CHECK: Risk belongs to a different supplier",IF(AND(O129="Closed - verified",S129=""),"CHECK: closed without verification reference","OK")))))))</f>
        <v/>
      </c>
      <c r="Y129" s="52" t="str">
        <f aca="false">IF(OR(A129="",B129=""),"",IF(AND(U129="Active",B129=RptSup),B129&amp;"|"&amp;COUNTIFS($B$7:B129,B129,$U$7:U129,"Active"),""))</f>
        <v/>
      </c>
    </row>
    <row r="130" customFormat="false" ht="15" hidden="false" customHeight="false" outlineLevel="0" collapsed="false">
      <c r="A130" s="50"/>
      <c r="B130" s="50"/>
      <c r="C130" s="59" t="str">
        <f aca="false">IF(B130="","",IFERROR(INDEX(INV_NAME,MATCH(B130,INV_ID,0)),"CHECK: Supplier ID not found"))</f>
        <v/>
      </c>
      <c r="D130" s="50"/>
      <c r="E130" s="50"/>
      <c r="F130" s="50"/>
      <c r="G130" s="34"/>
      <c r="H130" s="34"/>
      <c r="I130" s="34"/>
      <c r="J130" s="34"/>
      <c r="K130" s="34"/>
      <c r="L130" s="50"/>
      <c r="M130" s="34"/>
      <c r="N130" s="34"/>
      <c r="O130" s="34"/>
      <c r="P130" s="51"/>
      <c r="Q130" s="51"/>
      <c r="R130" s="51"/>
      <c r="S130" s="34"/>
      <c r="T130" s="34"/>
      <c r="U130" s="52" t="str">
        <f aca="false">IF(A130="","",IF(OR(O130="Closed - verified",O130="Withdrawn"),"Closed","Active"))</f>
        <v/>
      </c>
      <c r="V130" s="52" t="str">
        <f aca="false">IF(A130="","",IF(AND(OR(O130="",O130="Open",O130="In remediation",O130="Remediated - pending verification"),ISNUMBER(Q130),Q130&lt;AsOf),"Overdue",""))</f>
        <v/>
      </c>
      <c r="W130" s="62" t="str">
        <f aca="false">IF(A130="","",COUNTIF(TRT_FND,A130))</f>
        <v/>
      </c>
      <c r="X130" s="54" t="str">
        <f aca="false">IF(A130="","",IF(COUNTIF(FND_ID,A130)&gt;1,"CHECK: duplicate ID",IF(B130="","CHECK: Supplier ID missing",IF(COUNTIF(INV_ID,B130)=0,"CHECK: Supplier ID not in inventory",IF(AND(D130&lt;&gt;"",COUNTIF(RSK_ID,D130)=0),"CHECK: Risk ID not found",IF(AND(D130&lt;&gt;"",COUNTIF(RSK_ID,D130)&gt;0,IFERROR(INDEX(RSK_SUP,MATCH(D130,RSK_ID,0)),"")&lt;&gt;B130),"CHECK: Risk belongs to a different supplier",IF(AND(O130="Closed - verified",S130=""),"CHECK: closed without verification reference","OK")))))))</f>
        <v/>
      </c>
      <c r="Y130" s="52" t="str">
        <f aca="false">IF(OR(A130="",B130=""),"",IF(AND(U130="Active",B130=RptSup),B130&amp;"|"&amp;COUNTIFS($B$7:B130,B130,$U$7:U130,"Active"),""))</f>
        <v/>
      </c>
    </row>
    <row r="131" customFormat="false" ht="15" hidden="false" customHeight="false" outlineLevel="0" collapsed="false">
      <c r="A131" s="50"/>
      <c r="B131" s="50"/>
      <c r="C131" s="59" t="str">
        <f aca="false">IF(B131="","",IFERROR(INDEX(INV_NAME,MATCH(B131,INV_ID,0)),"CHECK: Supplier ID not found"))</f>
        <v/>
      </c>
      <c r="D131" s="50"/>
      <c r="E131" s="50"/>
      <c r="F131" s="50"/>
      <c r="G131" s="34"/>
      <c r="H131" s="34"/>
      <c r="I131" s="34"/>
      <c r="J131" s="34"/>
      <c r="K131" s="34"/>
      <c r="L131" s="50"/>
      <c r="M131" s="34"/>
      <c r="N131" s="34"/>
      <c r="O131" s="34"/>
      <c r="P131" s="51"/>
      <c r="Q131" s="51"/>
      <c r="R131" s="51"/>
      <c r="S131" s="34"/>
      <c r="T131" s="34"/>
      <c r="U131" s="52" t="str">
        <f aca="false">IF(A131="","",IF(OR(O131="Closed - verified",O131="Withdrawn"),"Closed","Active"))</f>
        <v/>
      </c>
      <c r="V131" s="52" t="str">
        <f aca="false">IF(A131="","",IF(AND(OR(O131="",O131="Open",O131="In remediation",O131="Remediated - pending verification"),ISNUMBER(Q131),Q131&lt;AsOf),"Overdue",""))</f>
        <v/>
      </c>
      <c r="W131" s="62" t="str">
        <f aca="false">IF(A131="","",COUNTIF(TRT_FND,A131))</f>
        <v/>
      </c>
      <c r="X131" s="54" t="str">
        <f aca="false">IF(A131="","",IF(COUNTIF(FND_ID,A131)&gt;1,"CHECK: duplicate ID",IF(B131="","CHECK: Supplier ID missing",IF(COUNTIF(INV_ID,B131)=0,"CHECK: Supplier ID not in inventory",IF(AND(D131&lt;&gt;"",COUNTIF(RSK_ID,D131)=0),"CHECK: Risk ID not found",IF(AND(D131&lt;&gt;"",COUNTIF(RSK_ID,D131)&gt;0,IFERROR(INDEX(RSK_SUP,MATCH(D131,RSK_ID,0)),"")&lt;&gt;B131),"CHECK: Risk belongs to a different supplier",IF(AND(O131="Closed - verified",S131=""),"CHECK: closed without verification reference","OK")))))))</f>
        <v/>
      </c>
      <c r="Y131" s="52" t="str">
        <f aca="false">IF(OR(A131="",B131=""),"",IF(AND(U131="Active",B131=RptSup),B131&amp;"|"&amp;COUNTIFS($B$7:B131,B131,$U$7:U131,"Active"),""))</f>
        <v/>
      </c>
    </row>
    <row r="132" customFormat="false" ht="15" hidden="false" customHeight="false" outlineLevel="0" collapsed="false">
      <c r="A132" s="50"/>
      <c r="B132" s="50"/>
      <c r="C132" s="59" t="str">
        <f aca="false">IF(B132="","",IFERROR(INDEX(INV_NAME,MATCH(B132,INV_ID,0)),"CHECK: Supplier ID not found"))</f>
        <v/>
      </c>
      <c r="D132" s="50"/>
      <c r="E132" s="50"/>
      <c r="F132" s="50"/>
      <c r="G132" s="34"/>
      <c r="H132" s="34"/>
      <c r="I132" s="34"/>
      <c r="J132" s="34"/>
      <c r="K132" s="34"/>
      <c r="L132" s="50"/>
      <c r="M132" s="34"/>
      <c r="N132" s="34"/>
      <c r="O132" s="34"/>
      <c r="P132" s="51"/>
      <c r="Q132" s="51"/>
      <c r="R132" s="51"/>
      <c r="S132" s="34"/>
      <c r="T132" s="34"/>
      <c r="U132" s="52" t="str">
        <f aca="false">IF(A132="","",IF(OR(O132="Closed - verified",O132="Withdrawn"),"Closed","Active"))</f>
        <v/>
      </c>
      <c r="V132" s="52" t="str">
        <f aca="false">IF(A132="","",IF(AND(OR(O132="",O132="Open",O132="In remediation",O132="Remediated - pending verification"),ISNUMBER(Q132),Q132&lt;AsOf),"Overdue",""))</f>
        <v/>
      </c>
      <c r="W132" s="62" t="str">
        <f aca="false">IF(A132="","",COUNTIF(TRT_FND,A132))</f>
        <v/>
      </c>
      <c r="X132" s="54" t="str">
        <f aca="false">IF(A132="","",IF(COUNTIF(FND_ID,A132)&gt;1,"CHECK: duplicate ID",IF(B132="","CHECK: Supplier ID missing",IF(COUNTIF(INV_ID,B132)=0,"CHECK: Supplier ID not in inventory",IF(AND(D132&lt;&gt;"",COUNTIF(RSK_ID,D132)=0),"CHECK: Risk ID not found",IF(AND(D132&lt;&gt;"",COUNTIF(RSK_ID,D132)&gt;0,IFERROR(INDEX(RSK_SUP,MATCH(D132,RSK_ID,0)),"")&lt;&gt;B132),"CHECK: Risk belongs to a different supplier",IF(AND(O132="Closed - verified",S132=""),"CHECK: closed without verification reference","OK")))))))</f>
        <v/>
      </c>
      <c r="Y132" s="52" t="str">
        <f aca="false">IF(OR(A132="",B132=""),"",IF(AND(U132="Active",B132=RptSup),B132&amp;"|"&amp;COUNTIFS($B$7:B132,B132,$U$7:U132,"Active"),""))</f>
        <v/>
      </c>
    </row>
    <row r="133" customFormat="false" ht="15" hidden="false" customHeight="false" outlineLevel="0" collapsed="false">
      <c r="A133" s="50"/>
      <c r="B133" s="50"/>
      <c r="C133" s="59" t="str">
        <f aca="false">IF(B133="","",IFERROR(INDEX(INV_NAME,MATCH(B133,INV_ID,0)),"CHECK: Supplier ID not found"))</f>
        <v/>
      </c>
      <c r="D133" s="50"/>
      <c r="E133" s="50"/>
      <c r="F133" s="50"/>
      <c r="G133" s="34"/>
      <c r="H133" s="34"/>
      <c r="I133" s="34"/>
      <c r="J133" s="34"/>
      <c r="K133" s="34"/>
      <c r="L133" s="50"/>
      <c r="M133" s="34"/>
      <c r="N133" s="34"/>
      <c r="O133" s="34"/>
      <c r="P133" s="51"/>
      <c r="Q133" s="51"/>
      <c r="R133" s="51"/>
      <c r="S133" s="34"/>
      <c r="T133" s="34"/>
      <c r="U133" s="52" t="str">
        <f aca="false">IF(A133="","",IF(OR(O133="Closed - verified",O133="Withdrawn"),"Closed","Active"))</f>
        <v/>
      </c>
      <c r="V133" s="52" t="str">
        <f aca="false">IF(A133="","",IF(AND(OR(O133="",O133="Open",O133="In remediation",O133="Remediated - pending verification"),ISNUMBER(Q133),Q133&lt;AsOf),"Overdue",""))</f>
        <v/>
      </c>
      <c r="W133" s="62" t="str">
        <f aca="false">IF(A133="","",COUNTIF(TRT_FND,A133))</f>
        <v/>
      </c>
      <c r="X133" s="54" t="str">
        <f aca="false">IF(A133="","",IF(COUNTIF(FND_ID,A133)&gt;1,"CHECK: duplicate ID",IF(B133="","CHECK: Supplier ID missing",IF(COUNTIF(INV_ID,B133)=0,"CHECK: Supplier ID not in inventory",IF(AND(D133&lt;&gt;"",COUNTIF(RSK_ID,D133)=0),"CHECK: Risk ID not found",IF(AND(D133&lt;&gt;"",COUNTIF(RSK_ID,D133)&gt;0,IFERROR(INDEX(RSK_SUP,MATCH(D133,RSK_ID,0)),"")&lt;&gt;B133),"CHECK: Risk belongs to a different supplier",IF(AND(O133="Closed - verified",S133=""),"CHECK: closed without verification reference","OK")))))))</f>
        <v/>
      </c>
      <c r="Y133" s="52" t="str">
        <f aca="false">IF(OR(A133="",B133=""),"",IF(AND(U133="Active",B133=RptSup),B133&amp;"|"&amp;COUNTIFS($B$7:B133,B133,$U$7:U133,"Active"),""))</f>
        <v/>
      </c>
    </row>
    <row r="134" customFormat="false" ht="15" hidden="false" customHeight="false" outlineLevel="0" collapsed="false">
      <c r="A134" s="50"/>
      <c r="B134" s="50"/>
      <c r="C134" s="59" t="str">
        <f aca="false">IF(B134="","",IFERROR(INDEX(INV_NAME,MATCH(B134,INV_ID,0)),"CHECK: Supplier ID not found"))</f>
        <v/>
      </c>
      <c r="D134" s="50"/>
      <c r="E134" s="50"/>
      <c r="F134" s="50"/>
      <c r="G134" s="34"/>
      <c r="H134" s="34"/>
      <c r="I134" s="34"/>
      <c r="J134" s="34"/>
      <c r="K134" s="34"/>
      <c r="L134" s="50"/>
      <c r="M134" s="34"/>
      <c r="N134" s="34"/>
      <c r="O134" s="34"/>
      <c r="P134" s="51"/>
      <c r="Q134" s="51"/>
      <c r="R134" s="51"/>
      <c r="S134" s="34"/>
      <c r="T134" s="34"/>
      <c r="U134" s="52" t="str">
        <f aca="false">IF(A134="","",IF(OR(O134="Closed - verified",O134="Withdrawn"),"Closed","Active"))</f>
        <v/>
      </c>
      <c r="V134" s="52" t="str">
        <f aca="false">IF(A134="","",IF(AND(OR(O134="",O134="Open",O134="In remediation",O134="Remediated - pending verification"),ISNUMBER(Q134),Q134&lt;AsOf),"Overdue",""))</f>
        <v/>
      </c>
      <c r="W134" s="62" t="str">
        <f aca="false">IF(A134="","",COUNTIF(TRT_FND,A134))</f>
        <v/>
      </c>
      <c r="X134" s="54" t="str">
        <f aca="false">IF(A134="","",IF(COUNTIF(FND_ID,A134)&gt;1,"CHECK: duplicate ID",IF(B134="","CHECK: Supplier ID missing",IF(COUNTIF(INV_ID,B134)=0,"CHECK: Supplier ID not in inventory",IF(AND(D134&lt;&gt;"",COUNTIF(RSK_ID,D134)=0),"CHECK: Risk ID not found",IF(AND(D134&lt;&gt;"",COUNTIF(RSK_ID,D134)&gt;0,IFERROR(INDEX(RSK_SUP,MATCH(D134,RSK_ID,0)),"")&lt;&gt;B134),"CHECK: Risk belongs to a different supplier",IF(AND(O134="Closed - verified",S134=""),"CHECK: closed without verification reference","OK")))))))</f>
        <v/>
      </c>
      <c r="Y134" s="52" t="str">
        <f aca="false">IF(OR(A134="",B134=""),"",IF(AND(U134="Active",B134=RptSup),B134&amp;"|"&amp;COUNTIFS($B$7:B134,B134,$U$7:U134,"Active"),""))</f>
        <v/>
      </c>
    </row>
    <row r="135" customFormat="false" ht="15" hidden="false" customHeight="false" outlineLevel="0" collapsed="false">
      <c r="A135" s="50"/>
      <c r="B135" s="50"/>
      <c r="C135" s="59" t="str">
        <f aca="false">IF(B135="","",IFERROR(INDEX(INV_NAME,MATCH(B135,INV_ID,0)),"CHECK: Supplier ID not found"))</f>
        <v/>
      </c>
      <c r="D135" s="50"/>
      <c r="E135" s="50"/>
      <c r="F135" s="50"/>
      <c r="G135" s="34"/>
      <c r="H135" s="34"/>
      <c r="I135" s="34"/>
      <c r="J135" s="34"/>
      <c r="K135" s="34"/>
      <c r="L135" s="50"/>
      <c r="M135" s="34"/>
      <c r="N135" s="34"/>
      <c r="O135" s="34"/>
      <c r="P135" s="51"/>
      <c r="Q135" s="51"/>
      <c r="R135" s="51"/>
      <c r="S135" s="34"/>
      <c r="T135" s="34"/>
      <c r="U135" s="52" t="str">
        <f aca="false">IF(A135="","",IF(OR(O135="Closed - verified",O135="Withdrawn"),"Closed","Active"))</f>
        <v/>
      </c>
      <c r="V135" s="52" t="str">
        <f aca="false">IF(A135="","",IF(AND(OR(O135="",O135="Open",O135="In remediation",O135="Remediated - pending verification"),ISNUMBER(Q135),Q135&lt;AsOf),"Overdue",""))</f>
        <v/>
      </c>
      <c r="W135" s="62" t="str">
        <f aca="false">IF(A135="","",COUNTIF(TRT_FND,A135))</f>
        <v/>
      </c>
      <c r="X135" s="54" t="str">
        <f aca="false">IF(A135="","",IF(COUNTIF(FND_ID,A135)&gt;1,"CHECK: duplicate ID",IF(B135="","CHECK: Supplier ID missing",IF(COUNTIF(INV_ID,B135)=0,"CHECK: Supplier ID not in inventory",IF(AND(D135&lt;&gt;"",COUNTIF(RSK_ID,D135)=0),"CHECK: Risk ID not found",IF(AND(D135&lt;&gt;"",COUNTIF(RSK_ID,D135)&gt;0,IFERROR(INDEX(RSK_SUP,MATCH(D135,RSK_ID,0)),"")&lt;&gt;B135),"CHECK: Risk belongs to a different supplier",IF(AND(O135="Closed - verified",S135=""),"CHECK: closed without verification reference","OK")))))))</f>
        <v/>
      </c>
      <c r="Y135" s="52" t="str">
        <f aca="false">IF(OR(A135="",B135=""),"",IF(AND(U135="Active",B135=RptSup),B135&amp;"|"&amp;COUNTIFS($B$7:B135,B135,$U$7:U135,"Active"),""))</f>
        <v/>
      </c>
    </row>
    <row r="136" customFormat="false" ht="15" hidden="false" customHeight="false" outlineLevel="0" collapsed="false">
      <c r="A136" s="50"/>
      <c r="B136" s="50"/>
      <c r="C136" s="59" t="str">
        <f aca="false">IF(B136="","",IFERROR(INDEX(INV_NAME,MATCH(B136,INV_ID,0)),"CHECK: Supplier ID not found"))</f>
        <v/>
      </c>
      <c r="D136" s="50"/>
      <c r="E136" s="50"/>
      <c r="F136" s="50"/>
      <c r="G136" s="34"/>
      <c r="H136" s="34"/>
      <c r="I136" s="34"/>
      <c r="J136" s="34"/>
      <c r="K136" s="34"/>
      <c r="L136" s="50"/>
      <c r="M136" s="34"/>
      <c r="N136" s="34"/>
      <c r="O136" s="34"/>
      <c r="P136" s="51"/>
      <c r="Q136" s="51"/>
      <c r="R136" s="51"/>
      <c r="S136" s="34"/>
      <c r="T136" s="34"/>
      <c r="U136" s="52" t="str">
        <f aca="false">IF(A136="","",IF(OR(O136="Closed - verified",O136="Withdrawn"),"Closed","Active"))</f>
        <v/>
      </c>
      <c r="V136" s="52" t="str">
        <f aca="false">IF(A136="","",IF(AND(OR(O136="",O136="Open",O136="In remediation",O136="Remediated - pending verification"),ISNUMBER(Q136),Q136&lt;AsOf),"Overdue",""))</f>
        <v/>
      </c>
      <c r="W136" s="62" t="str">
        <f aca="false">IF(A136="","",COUNTIF(TRT_FND,A136))</f>
        <v/>
      </c>
      <c r="X136" s="54" t="str">
        <f aca="false">IF(A136="","",IF(COUNTIF(FND_ID,A136)&gt;1,"CHECK: duplicate ID",IF(B136="","CHECK: Supplier ID missing",IF(COUNTIF(INV_ID,B136)=0,"CHECK: Supplier ID not in inventory",IF(AND(D136&lt;&gt;"",COUNTIF(RSK_ID,D136)=0),"CHECK: Risk ID not found",IF(AND(D136&lt;&gt;"",COUNTIF(RSK_ID,D136)&gt;0,IFERROR(INDEX(RSK_SUP,MATCH(D136,RSK_ID,0)),"")&lt;&gt;B136),"CHECK: Risk belongs to a different supplier",IF(AND(O136="Closed - verified",S136=""),"CHECK: closed without verification reference","OK")))))))</f>
        <v/>
      </c>
      <c r="Y136" s="52" t="str">
        <f aca="false">IF(OR(A136="",B136=""),"",IF(AND(U136="Active",B136=RptSup),B136&amp;"|"&amp;COUNTIFS($B$7:B136,B136,$U$7:U136,"Active"),""))</f>
        <v/>
      </c>
    </row>
    <row r="137" customFormat="false" ht="15" hidden="false" customHeight="false" outlineLevel="0" collapsed="false">
      <c r="A137" s="50"/>
      <c r="B137" s="50"/>
      <c r="C137" s="59" t="str">
        <f aca="false">IF(B137="","",IFERROR(INDEX(INV_NAME,MATCH(B137,INV_ID,0)),"CHECK: Supplier ID not found"))</f>
        <v/>
      </c>
      <c r="D137" s="50"/>
      <c r="E137" s="50"/>
      <c r="F137" s="50"/>
      <c r="G137" s="34"/>
      <c r="H137" s="34"/>
      <c r="I137" s="34"/>
      <c r="J137" s="34"/>
      <c r="K137" s="34"/>
      <c r="L137" s="50"/>
      <c r="M137" s="34"/>
      <c r="N137" s="34"/>
      <c r="O137" s="34"/>
      <c r="P137" s="51"/>
      <c r="Q137" s="51"/>
      <c r="R137" s="51"/>
      <c r="S137" s="34"/>
      <c r="T137" s="34"/>
      <c r="U137" s="52" t="str">
        <f aca="false">IF(A137="","",IF(OR(O137="Closed - verified",O137="Withdrawn"),"Closed","Active"))</f>
        <v/>
      </c>
      <c r="V137" s="52" t="str">
        <f aca="false">IF(A137="","",IF(AND(OR(O137="",O137="Open",O137="In remediation",O137="Remediated - pending verification"),ISNUMBER(Q137),Q137&lt;AsOf),"Overdue",""))</f>
        <v/>
      </c>
      <c r="W137" s="62" t="str">
        <f aca="false">IF(A137="","",COUNTIF(TRT_FND,A137))</f>
        <v/>
      </c>
      <c r="X137" s="54" t="str">
        <f aca="false">IF(A137="","",IF(COUNTIF(FND_ID,A137)&gt;1,"CHECK: duplicate ID",IF(B137="","CHECK: Supplier ID missing",IF(COUNTIF(INV_ID,B137)=0,"CHECK: Supplier ID not in inventory",IF(AND(D137&lt;&gt;"",COUNTIF(RSK_ID,D137)=0),"CHECK: Risk ID not found",IF(AND(D137&lt;&gt;"",COUNTIF(RSK_ID,D137)&gt;0,IFERROR(INDEX(RSK_SUP,MATCH(D137,RSK_ID,0)),"")&lt;&gt;B137),"CHECK: Risk belongs to a different supplier",IF(AND(O137="Closed - verified",S137=""),"CHECK: closed without verification reference","OK")))))))</f>
        <v/>
      </c>
      <c r="Y137" s="52" t="str">
        <f aca="false">IF(OR(A137="",B137=""),"",IF(AND(U137="Active",B137=RptSup),B137&amp;"|"&amp;COUNTIFS($B$7:B137,B137,$U$7:U137,"Active"),""))</f>
        <v/>
      </c>
    </row>
    <row r="138" customFormat="false" ht="15" hidden="false" customHeight="false" outlineLevel="0" collapsed="false">
      <c r="A138" s="50"/>
      <c r="B138" s="50"/>
      <c r="C138" s="59" t="str">
        <f aca="false">IF(B138="","",IFERROR(INDEX(INV_NAME,MATCH(B138,INV_ID,0)),"CHECK: Supplier ID not found"))</f>
        <v/>
      </c>
      <c r="D138" s="50"/>
      <c r="E138" s="50"/>
      <c r="F138" s="50"/>
      <c r="G138" s="34"/>
      <c r="H138" s="34"/>
      <c r="I138" s="34"/>
      <c r="J138" s="34"/>
      <c r="K138" s="34"/>
      <c r="L138" s="50"/>
      <c r="M138" s="34"/>
      <c r="N138" s="34"/>
      <c r="O138" s="34"/>
      <c r="P138" s="51"/>
      <c r="Q138" s="51"/>
      <c r="R138" s="51"/>
      <c r="S138" s="34"/>
      <c r="T138" s="34"/>
      <c r="U138" s="52" t="str">
        <f aca="false">IF(A138="","",IF(OR(O138="Closed - verified",O138="Withdrawn"),"Closed","Active"))</f>
        <v/>
      </c>
      <c r="V138" s="52" t="str">
        <f aca="false">IF(A138="","",IF(AND(OR(O138="",O138="Open",O138="In remediation",O138="Remediated - pending verification"),ISNUMBER(Q138),Q138&lt;AsOf),"Overdue",""))</f>
        <v/>
      </c>
      <c r="W138" s="62" t="str">
        <f aca="false">IF(A138="","",COUNTIF(TRT_FND,A138))</f>
        <v/>
      </c>
      <c r="X138" s="54" t="str">
        <f aca="false">IF(A138="","",IF(COUNTIF(FND_ID,A138)&gt;1,"CHECK: duplicate ID",IF(B138="","CHECK: Supplier ID missing",IF(COUNTIF(INV_ID,B138)=0,"CHECK: Supplier ID not in inventory",IF(AND(D138&lt;&gt;"",COUNTIF(RSK_ID,D138)=0),"CHECK: Risk ID not found",IF(AND(D138&lt;&gt;"",COUNTIF(RSK_ID,D138)&gt;0,IFERROR(INDEX(RSK_SUP,MATCH(D138,RSK_ID,0)),"")&lt;&gt;B138),"CHECK: Risk belongs to a different supplier",IF(AND(O138="Closed - verified",S138=""),"CHECK: closed without verification reference","OK")))))))</f>
        <v/>
      </c>
      <c r="Y138" s="52" t="str">
        <f aca="false">IF(OR(A138="",B138=""),"",IF(AND(U138="Active",B138=RptSup),B138&amp;"|"&amp;COUNTIFS($B$7:B138,B138,$U$7:U138,"Active"),""))</f>
        <v/>
      </c>
    </row>
    <row r="139" customFormat="false" ht="15" hidden="false" customHeight="false" outlineLevel="0" collapsed="false">
      <c r="A139" s="50"/>
      <c r="B139" s="50"/>
      <c r="C139" s="59" t="str">
        <f aca="false">IF(B139="","",IFERROR(INDEX(INV_NAME,MATCH(B139,INV_ID,0)),"CHECK: Supplier ID not found"))</f>
        <v/>
      </c>
      <c r="D139" s="50"/>
      <c r="E139" s="50"/>
      <c r="F139" s="50"/>
      <c r="G139" s="34"/>
      <c r="H139" s="34"/>
      <c r="I139" s="34"/>
      <c r="J139" s="34"/>
      <c r="K139" s="34"/>
      <c r="L139" s="50"/>
      <c r="M139" s="34"/>
      <c r="N139" s="34"/>
      <c r="O139" s="34"/>
      <c r="P139" s="51"/>
      <c r="Q139" s="51"/>
      <c r="R139" s="51"/>
      <c r="S139" s="34"/>
      <c r="T139" s="34"/>
      <c r="U139" s="52" t="str">
        <f aca="false">IF(A139="","",IF(OR(O139="Closed - verified",O139="Withdrawn"),"Closed","Active"))</f>
        <v/>
      </c>
      <c r="V139" s="52" t="str">
        <f aca="false">IF(A139="","",IF(AND(OR(O139="",O139="Open",O139="In remediation",O139="Remediated - pending verification"),ISNUMBER(Q139),Q139&lt;AsOf),"Overdue",""))</f>
        <v/>
      </c>
      <c r="W139" s="62" t="str">
        <f aca="false">IF(A139="","",COUNTIF(TRT_FND,A139))</f>
        <v/>
      </c>
      <c r="X139" s="54" t="str">
        <f aca="false">IF(A139="","",IF(COUNTIF(FND_ID,A139)&gt;1,"CHECK: duplicate ID",IF(B139="","CHECK: Supplier ID missing",IF(COUNTIF(INV_ID,B139)=0,"CHECK: Supplier ID not in inventory",IF(AND(D139&lt;&gt;"",COUNTIF(RSK_ID,D139)=0),"CHECK: Risk ID not found",IF(AND(D139&lt;&gt;"",COUNTIF(RSK_ID,D139)&gt;0,IFERROR(INDEX(RSK_SUP,MATCH(D139,RSK_ID,0)),"")&lt;&gt;B139),"CHECK: Risk belongs to a different supplier",IF(AND(O139="Closed - verified",S139=""),"CHECK: closed without verification reference","OK")))))))</f>
        <v/>
      </c>
      <c r="Y139" s="52" t="str">
        <f aca="false">IF(OR(A139="",B139=""),"",IF(AND(U139="Active",B139=RptSup),B139&amp;"|"&amp;COUNTIFS($B$7:B139,B139,$U$7:U139,"Active"),""))</f>
        <v/>
      </c>
    </row>
    <row r="140" customFormat="false" ht="15" hidden="false" customHeight="false" outlineLevel="0" collapsed="false">
      <c r="A140" s="50"/>
      <c r="B140" s="50"/>
      <c r="C140" s="59" t="str">
        <f aca="false">IF(B140="","",IFERROR(INDEX(INV_NAME,MATCH(B140,INV_ID,0)),"CHECK: Supplier ID not found"))</f>
        <v/>
      </c>
      <c r="D140" s="50"/>
      <c r="E140" s="50"/>
      <c r="F140" s="50"/>
      <c r="G140" s="34"/>
      <c r="H140" s="34"/>
      <c r="I140" s="34"/>
      <c r="J140" s="34"/>
      <c r="K140" s="34"/>
      <c r="L140" s="50"/>
      <c r="M140" s="34"/>
      <c r="N140" s="34"/>
      <c r="O140" s="34"/>
      <c r="P140" s="51"/>
      <c r="Q140" s="51"/>
      <c r="R140" s="51"/>
      <c r="S140" s="34"/>
      <c r="T140" s="34"/>
      <c r="U140" s="52" t="str">
        <f aca="false">IF(A140="","",IF(OR(O140="Closed - verified",O140="Withdrawn"),"Closed","Active"))</f>
        <v/>
      </c>
      <c r="V140" s="52" t="str">
        <f aca="false">IF(A140="","",IF(AND(OR(O140="",O140="Open",O140="In remediation",O140="Remediated - pending verification"),ISNUMBER(Q140),Q140&lt;AsOf),"Overdue",""))</f>
        <v/>
      </c>
      <c r="W140" s="62" t="str">
        <f aca="false">IF(A140="","",COUNTIF(TRT_FND,A140))</f>
        <v/>
      </c>
      <c r="X140" s="54" t="str">
        <f aca="false">IF(A140="","",IF(COUNTIF(FND_ID,A140)&gt;1,"CHECK: duplicate ID",IF(B140="","CHECK: Supplier ID missing",IF(COUNTIF(INV_ID,B140)=0,"CHECK: Supplier ID not in inventory",IF(AND(D140&lt;&gt;"",COUNTIF(RSK_ID,D140)=0),"CHECK: Risk ID not found",IF(AND(D140&lt;&gt;"",COUNTIF(RSK_ID,D140)&gt;0,IFERROR(INDEX(RSK_SUP,MATCH(D140,RSK_ID,0)),"")&lt;&gt;B140),"CHECK: Risk belongs to a different supplier",IF(AND(O140="Closed - verified",S140=""),"CHECK: closed without verification reference","OK")))))))</f>
        <v/>
      </c>
      <c r="Y140" s="52" t="str">
        <f aca="false">IF(OR(A140="",B140=""),"",IF(AND(U140="Active",B140=RptSup),B140&amp;"|"&amp;COUNTIFS($B$7:B140,B140,$U$7:U140,"Active"),""))</f>
        <v/>
      </c>
    </row>
    <row r="141" customFormat="false" ht="15" hidden="false" customHeight="false" outlineLevel="0" collapsed="false">
      <c r="A141" s="50"/>
      <c r="B141" s="50"/>
      <c r="C141" s="59" t="str">
        <f aca="false">IF(B141="","",IFERROR(INDEX(INV_NAME,MATCH(B141,INV_ID,0)),"CHECK: Supplier ID not found"))</f>
        <v/>
      </c>
      <c r="D141" s="50"/>
      <c r="E141" s="50"/>
      <c r="F141" s="50"/>
      <c r="G141" s="34"/>
      <c r="H141" s="34"/>
      <c r="I141" s="34"/>
      <c r="J141" s="34"/>
      <c r="K141" s="34"/>
      <c r="L141" s="50"/>
      <c r="M141" s="34"/>
      <c r="N141" s="34"/>
      <c r="O141" s="34"/>
      <c r="P141" s="51"/>
      <c r="Q141" s="51"/>
      <c r="R141" s="51"/>
      <c r="S141" s="34"/>
      <c r="T141" s="34"/>
      <c r="U141" s="52" t="str">
        <f aca="false">IF(A141="","",IF(OR(O141="Closed - verified",O141="Withdrawn"),"Closed","Active"))</f>
        <v/>
      </c>
      <c r="V141" s="52" t="str">
        <f aca="false">IF(A141="","",IF(AND(OR(O141="",O141="Open",O141="In remediation",O141="Remediated - pending verification"),ISNUMBER(Q141),Q141&lt;AsOf),"Overdue",""))</f>
        <v/>
      </c>
      <c r="W141" s="62" t="str">
        <f aca="false">IF(A141="","",COUNTIF(TRT_FND,A141))</f>
        <v/>
      </c>
      <c r="X141" s="54" t="str">
        <f aca="false">IF(A141="","",IF(COUNTIF(FND_ID,A141)&gt;1,"CHECK: duplicate ID",IF(B141="","CHECK: Supplier ID missing",IF(COUNTIF(INV_ID,B141)=0,"CHECK: Supplier ID not in inventory",IF(AND(D141&lt;&gt;"",COUNTIF(RSK_ID,D141)=0),"CHECK: Risk ID not found",IF(AND(D141&lt;&gt;"",COUNTIF(RSK_ID,D141)&gt;0,IFERROR(INDEX(RSK_SUP,MATCH(D141,RSK_ID,0)),"")&lt;&gt;B141),"CHECK: Risk belongs to a different supplier",IF(AND(O141="Closed - verified",S141=""),"CHECK: closed without verification reference","OK")))))))</f>
        <v/>
      </c>
      <c r="Y141" s="52" t="str">
        <f aca="false">IF(OR(A141="",B141=""),"",IF(AND(U141="Active",B141=RptSup),B141&amp;"|"&amp;COUNTIFS($B$7:B141,B141,$U$7:U141,"Active"),""))</f>
        <v/>
      </c>
    </row>
    <row r="142" customFormat="false" ht="15" hidden="false" customHeight="false" outlineLevel="0" collapsed="false">
      <c r="A142" s="50"/>
      <c r="B142" s="50"/>
      <c r="C142" s="59" t="str">
        <f aca="false">IF(B142="","",IFERROR(INDEX(INV_NAME,MATCH(B142,INV_ID,0)),"CHECK: Supplier ID not found"))</f>
        <v/>
      </c>
      <c r="D142" s="50"/>
      <c r="E142" s="50"/>
      <c r="F142" s="50"/>
      <c r="G142" s="34"/>
      <c r="H142" s="34"/>
      <c r="I142" s="34"/>
      <c r="J142" s="34"/>
      <c r="K142" s="34"/>
      <c r="L142" s="50"/>
      <c r="M142" s="34"/>
      <c r="N142" s="34"/>
      <c r="O142" s="34"/>
      <c r="P142" s="51"/>
      <c r="Q142" s="51"/>
      <c r="R142" s="51"/>
      <c r="S142" s="34"/>
      <c r="T142" s="34"/>
      <c r="U142" s="52" t="str">
        <f aca="false">IF(A142="","",IF(OR(O142="Closed - verified",O142="Withdrawn"),"Closed","Active"))</f>
        <v/>
      </c>
      <c r="V142" s="52" t="str">
        <f aca="false">IF(A142="","",IF(AND(OR(O142="",O142="Open",O142="In remediation",O142="Remediated - pending verification"),ISNUMBER(Q142),Q142&lt;AsOf),"Overdue",""))</f>
        <v/>
      </c>
      <c r="W142" s="62" t="str">
        <f aca="false">IF(A142="","",COUNTIF(TRT_FND,A142))</f>
        <v/>
      </c>
      <c r="X142" s="54" t="str">
        <f aca="false">IF(A142="","",IF(COUNTIF(FND_ID,A142)&gt;1,"CHECK: duplicate ID",IF(B142="","CHECK: Supplier ID missing",IF(COUNTIF(INV_ID,B142)=0,"CHECK: Supplier ID not in inventory",IF(AND(D142&lt;&gt;"",COUNTIF(RSK_ID,D142)=0),"CHECK: Risk ID not found",IF(AND(D142&lt;&gt;"",COUNTIF(RSK_ID,D142)&gt;0,IFERROR(INDEX(RSK_SUP,MATCH(D142,RSK_ID,0)),"")&lt;&gt;B142),"CHECK: Risk belongs to a different supplier",IF(AND(O142="Closed - verified",S142=""),"CHECK: closed without verification reference","OK")))))))</f>
        <v/>
      </c>
      <c r="Y142" s="52" t="str">
        <f aca="false">IF(OR(A142="",B142=""),"",IF(AND(U142="Active",B142=RptSup),B142&amp;"|"&amp;COUNTIFS($B$7:B142,B142,$U$7:U142,"Active"),""))</f>
        <v/>
      </c>
    </row>
    <row r="143" customFormat="false" ht="15" hidden="false" customHeight="false" outlineLevel="0" collapsed="false">
      <c r="A143" s="50"/>
      <c r="B143" s="50"/>
      <c r="C143" s="59" t="str">
        <f aca="false">IF(B143="","",IFERROR(INDEX(INV_NAME,MATCH(B143,INV_ID,0)),"CHECK: Supplier ID not found"))</f>
        <v/>
      </c>
      <c r="D143" s="50"/>
      <c r="E143" s="50"/>
      <c r="F143" s="50"/>
      <c r="G143" s="34"/>
      <c r="H143" s="34"/>
      <c r="I143" s="34"/>
      <c r="J143" s="34"/>
      <c r="K143" s="34"/>
      <c r="L143" s="50"/>
      <c r="M143" s="34"/>
      <c r="N143" s="34"/>
      <c r="O143" s="34"/>
      <c r="P143" s="51"/>
      <c r="Q143" s="51"/>
      <c r="R143" s="51"/>
      <c r="S143" s="34"/>
      <c r="T143" s="34"/>
      <c r="U143" s="52" t="str">
        <f aca="false">IF(A143="","",IF(OR(O143="Closed - verified",O143="Withdrawn"),"Closed","Active"))</f>
        <v/>
      </c>
      <c r="V143" s="52" t="str">
        <f aca="false">IF(A143="","",IF(AND(OR(O143="",O143="Open",O143="In remediation",O143="Remediated - pending verification"),ISNUMBER(Q143),Q143&lt;AsOf),"Overdue",""))</f>
        <v/>
      </c>
      <c r="W143" s="62" t="str">
        <f aca="false">IF(A143="","",COUNTIF(TRT_FND,A143))</f>
        <v/>
      </c>
      <c r="X143" s="54" t="str">
        <f aca="false">IF(A143="","",IF(COUNTIF(FND_ID,A143)&gt;1,"CHECK: duplicate ID",IF(B143="","CHECK: Supplier ID missing",IF(COUNTIF(INV_ID,B143)=0,"CHECK: Supplier ID not in inventory",IF(AND(D143&lt;&gt;"",COUNTIF(RSK_ID,D143)=0),"CHECK: Risk ID not found",IF(AND(D143&lt;&gt;"",COUNTIF(RSK_ID,D143)&gt;0,IFERROR(INDEX(RSK_SUP,MATCH(D143,RSK_ID,0)),"")&lt;&gt;B143),"CHECK: Risk belongs to a different supplier",IF(AND(O143="Closed - verified",S143=""),"CHECK: closed without verification reference","OK")))))))</f>
        <v/>
      </c>
      <c r="Y143" s="52" t="str">
        <f aca="false">IF(OR(A143="",B143=""),"",IF(AND(U143="Active",B143=RptSup),B143&amp;"|"&amp;COUNTIFS($B$7:B143,B143,$U$7:U143,"Active"),""))</f>
        <v/>
      </c>
    </row>
    <row r="144" customFormat="false" ht="15" hidden="false" customHeight="false" outlineLevel="0" collapsed="false">
      <c r="A144" s="50"/>
      <c r="B144" s="50"/>
      <c r="C144" s="59" t="str">
        <f aca="false">IF(B144="","",IFERROR(INDEX(INV_NAME,MATCH(B144,INV_ID,0)),"CHECK: Supplier ID not found"))</f>
        <v/>
      </c>
      <c r="D144" s="50"/>
      <c r="E144" s="50"/>
      <c r="F144" s="50"/>
      <c r="G144" s="34"/>
      <c r="H144" s="34"/>
      <c r="I144" s="34"/>
      <c r="J144" s="34"/>
      <c r="K144" s="34"/>
      <c r="L144" s="50"/>
      <c r="M144" s="34"/>
      <c r="N144" s="34"/>
      <c r="O144" s="34"/>
      <c r="P144" s="51"/>
      <c r="Q144" s="51"/>
      <c r="R144" s="51"/>
      <c r="S144" s="34"/>
      <c r="T144" s="34"/>
      <c r="U144" s="52" t="str">
        <f aca="false">IF(A144="","",IF(OR(O144="Closed - verified",O144="Withdrawn"),"Closed","Active"))</f>
        <v/>
      </c>
      <c r="V144" s="52" t="str">
        <f aca="false">IF(A144="","",IF(AND(OR(O144="",O144="Open",O144="In remediation",O144="Remediated - pending verification"),ISNUMBER(Q144),Q144&lt;AsOf),"Overdue",""))</f>
        <v/>
      </c>
      <c r="W144" s="62" t="str">
        <f aca="false">IF(A144="","",COUNTIF(TRT_FND,A144))</f>
        <v/>
      </c>
      <c r="X144" s="54" t="str">
        <f aca="false">IF(A144="","",IF(COUNTIF(FND_ID,A144)&gt;1,"CHECK: duplicate ID",IF(B144="","CHECK: Supplier ID missing",IF(COUNTIF(INV_ID,B144)=0,"CHECK: Supplier ID not in inventory",IF(AND(D144&lt;&gt;"",COUNTIF(RSK_ID,D144)=0),"CHECK: Risk ID not found",IF(AND(D144&lt;&gt;"",COUNTIF(RSK_ID,D144)&gt;0,IFERROR(INDEX(RSK_SUP,MATCH(D144,RSK_ID,0)),"")&lt;&gt;B144),"CHECK: Risk belongs to a different supplier",IF(AND(O144="Closed - verified",S144=""),"CHECK: closed without verification reference","OK")))))))</f>
        <v/>
      </c>
      <c r="Y144" s="52" t="str">
        <f aca="false">IF(OR(A144="",B144=""),"",IF(AND(U144="Active",B144=RptSup),B144&amp;"|"&amp;COUNTIFS($B$7:B144,B144,$U$7:U144,"Active"),""))</f>
        <v/>
      </c>
    </row>
    <row r="145" customFormat="false" ht="15" hidden="false" customHeight="false" outlineLevel="0" collapsed="false">
      <c r="A145" s="50"/>
      <c r="B145" s="50"/>
      <c r="C145" s="59" t="str">
        <f aca="false">IF(B145="","",IFERROR(INDEX(INV_NAME,MATCH(B145,INV_ID,0)),"CHECK: Supplier ID not found"))</f>
        <v/>
      </c>
      <c r="D145" s="50"/>
      <c r="E145" s="50"/>
      <c r="F145" s="50"/>
      <c r="G145" s="34"/>
      <c r="H145" s="34"/>
      <c r="I145" s="34"/>
      <c r="J145" s="34"/>
      <c r="K145" s="34"/>
      <c r="L145" s="50"/>
      <c r="M145" s="34"/>
      <c r="N145" s="34"/>
      <c r="O145" s="34"/>
      <c r="P145" s="51"/>
      <c r="Q145" s="51"/>
      <c r="R145" s="51"/>
      <c r="S145" s="34"/>
      <c r="T145" s="34"/>
      <c r="U145" s="52" t="str">
        <f aca="false">IF(A145="","",IF(OR(O145="Closed - verified",O145="Withdrawn"),"Closed","Active"))</f>
        <v/>
      </c>
      <c r="V145" s="52" t="str">
        <f aca="false">IF(A145="","",IF(AND(OR(O145="",O145="Open",O145="In remediation",O145="Remediated - pending verification"),ISNUMBER(Q145),Q145&lt;AsOf),"Overdue",""))</f>
        <v/>
      </c>
      <c r="W145" s="62" t="str">
        <f aca="false">IF(A145="","",COUNTIF(TRT_FND,A145))</f>
        <v/>
      </c>
      <c r="X145" s="54" t="str">
        <f aca="false">IF(A145="","",IF(COUNTIF(FND_ID,A145)&gt;1,"CHECK: duplicate ID",IF(B145="","CHECK: Supplier ID missing",IF(COUNTIF(INV_ID,B145)=0,"CHECK: Supplier ID not in inventory",IF(AND(D145&lt;&gt;"",COUNTIF(RSK_ID,D145)=0),"CHECK: Risk ID not found",IF(AND(D145&lt;&gt;"",COUNTIF(RSK_ID,D145)&gt;0,IFERROR(INDEX(RSK_SUP,MATCH(D145,RSK_ID,0)),"")&lt;&gt;B145),"CHECK: Risk belongs to a different supplier",IF(AND(O145="Closed - verified",S145=""),"CHECK: closed without verification reference","OK")))))))</f>
        <v/>
      </c>
      <c r="Y145" s="52" t="str">
        <f aca="false">IF(OR(A145="",B145=""),"",IF(AND(U145="Active",B145=RptSup),B145&amp;"|"&amp;COUNTIFS($B$7:B145,B145,$U$7:U145,"Active"),""))</f>
        <v/>
      </c>
    </row>
    <row r="146" customFormat="false" ht="15" hidden="false" customHeight="false" outlineLevel="0" collapsed="false">
      <c r="A146" s="50"/>
      <c r="B146" s="50"/>
      <c r="C146" s="59" t="str">
        <f aca="false">IF(B146="","",IFERROR(INDEX(INV_NAME,MATCH(B146,INV_ID,0)),"CHECK: Supplier ID not found"))</f>
        <v/>
      </c>
      <c r="D146" s="50"/>
      <c r="E146" s="50"/>
      <c r="F146" s="50"/>
      <c r="G146" s="34"/>
      <c r="H146" s="34"/>
      <c r="I146" s="34"/>
      <c r="J146" s="34"/>
      <c r="K146" s="34"/>
      <c r="L146" s="50"/>
      <c r="M146" s="34"/>
      <c r="N146" s="34"/>
      <c r="O146" s="34"/>
      <c r="P146" s="51"/>
      <c r="Q146" s="51"/>
      <c r="R146" s="51"/>
      <c r="S146" s="34"/>
      <c r="T146" s="34"/>
      <c r="U146" s="52" t="str">
        <f aca="false">IF(A146="","",IF(OR(O146="Closed - verified",O146="Withdrawn"),"Closed","Active"))</f>
        <v/>
      </c>
      <c r="V146" s="52" t="str">
        <f aca="false">IF(A146="","",IF(AND(OR(O146="",O146="Open",O146="In remediation",O146="Remediated - pending verification"),ISNUMBER(Q146),Q146&lt;AsOf),"Overdue",""))</f>
        <v/>
      </c>
      <c r="W146" s="62" t="str">
        <f aca="false">IF(A146="","",COUNTIF(TRT_FND,A146))</f>
        <v/>
      </c>
      <c r="X146" s="54" t="str">
        <f aca="false">IF(A146="","",IF(COUNTIF(FND_ID,A146)&gt;1,"CHECK: duplicate ID",IF(B146="","CHECK: Supplier ID missing",IF(COUNTIF(INV_ID,B146)=0,"CHECK: Supplier ID not in inventory",IF(AND(D146&lt;&gt;"",COUNTIF(RSK_ID,D146)=0),"CHECK: Risk ID not found",IF(AND(D146&lt;&gt;"",COUNTIF(RSK_ID,D146)&gt;0,IFERROR(INDEX(RSK_SUP,MATCH(D146,RSK_ID,0)),"")&lt;&gt;B146),"CHECK: Risk belongs to a different supplier",IF(AND(O146="Closed - verified",S146=""),"CHECK: closed without verification reference","OK")))))))</f>
        <v/>
      </c>
      <c r="Y146" s="52" t="str">
        <f aca="false">IF(OR(A146="",B146=""),"",IF(AND(U146="Active",B146=RptSup),B146&amp;"|"&amp;COUNTIFS($B$7:B146,B146,$U$7:U146,"Active"),""))</f>
        <v/>
      </c>
    </row>
    <row r="147" customFormat="false" ht="15" hidden="false" customHeight="false" outlineLevel="0" collapsed="false">
      <c r="A147" s="50"/>
      <c r="B147" s="50"/>
      <c r="C147" s="59" t="str">
        <f aca="false">IF(B147="","",IFERROR(INDEX(INV_NAME,MATCH(B147,INV_ID,0)),"CHECK: Supplier ID not found"))</f>
        <v/>
      </c>
      <c r="D147" s="50"/>
      <c r="E147" s="50"/>
      <c r="F147" s="50"/>
      <c r="G147" s="34"/>
      <c r="H147" s="34"/>
      <c r="I147" s="34"/>
      <c r="J147" s="34"/>
      <c r="K147" s="34"/>
      <c r="L147" s="50"/>
      <c r="M147" s="34"/>
      <c r="N147" s="34"/>
      <c r="O147" s="34"/>
      <c r="P147" s="51"/>
      <c r="Q147" s="51"/>
      <c r="R147" s="51"/>
      <c r="S147" s="34"/>
      <c r="T147" s="34"/>
      <c r="U147" s="52" t="str">
        <f aca="false">IF(A147="","",IF(OR(O147="Closed - verified",O147="Withdrawn"),"Closed","Active"))</f>
        <v/>
      </c>
      <c r="V147" s="52" t="str">
        <f aca="false">IF(A147="","",IF(AND(OR(O147="",O147="Open",O147="In remediation",O147="Remediated - pending verification"),ISNUMBER(Q147),Q147&lt;AsOf),"Overdue",""))</f>
        <v/>
      </c>
      <c r="W147" s="62" t="str">
        <f aca="false">IF(A147="","",COUNTIF(TRT_FND,A147))</f>
        <v/>
      </c>
      <c r="X147" s="54" t="str">
        <f aca="false">IF(A147="","",IF(COUNTIF(FND_ID,A147)&gt;1,"CHECK: duplicate ID",IF(B147="","CHECK: Supplier ID missing",IF(COUNTIF(INV_ID,B147)=0,"CHECK: Supplier ID not in inventory",IF(AND(D147&lt;&gt;"",COUNTIF(RSK_ID,D147)=0),"CHECK: Risk ID not found",IF(AND(D147&lt;&gt;"",COUNTIF(RSK_ID,D147)&gt;0,IFERROR(INDEX(RSK_SUP,MATCH(D147,RSK_ID,0)),"")&lt;&gt;B147),"CHECK: Risk belongs to a different supplier",IF(AND(O147="Closed - verified",S147=""),"CHECK: closed without verification reference","OK")))))))</f>
        <v/>
      </c>
      <c r="Y147" s="52" t="str">
        <f aca="false">IF(OR(A147="",B147=""),"",IF(AND(U147="Active",B147=RptSup),B147&amp;"|"&amp;COUNTIFS($B$7:B147,B147,$U$7:U147,"Active"),""))</f>
        <v/>
      </c>
    </row>
    <row r="148" customFormat="false" ht="15" hidden="false" customHeight="false" outlineLevel="0" collapsed="false">
      <c r="A148" s="50"/>
      <c r="B148" s="50"/>
      <c r="C148" s="59" t="str">
        <f aca="false">IF(B148="","",IFERROR(INDEX(INV_NAME,MATCH(B148,INV_ID,0)),"CHECK: Supplier ID not found"))</f>
        <v/>
      </c>
      <c r="D148" s="50"/>
      <c r="E148" s="50"/>
      <c r="F148" s="50"/>
      <c r="G148" s="34"/>
      <c r="H148" s="34"/>
      <c r="I148" s="34"/>
      <c r="J148" s="34"/>
      <c r="K148" s="34"/>
      <c r="L148" s="50"/>
      <c r="M148" s="34"/>
      <c r="N148" s="34"/>
      <c r="O148" s="34"/>
      <c r="P148" s="51"/>
      <c r="Q148" s="51"/>
      <c r="R148" s="51"/>
      <c r="S148" s="34"/>
      <c r="T148" s="34"/>
      <c r="U148" s="52" t="str">
        <f aca="false">IF(A148="","",IF(OR(O148="Closed - verified",O148="Withdrawn"),"Closed","Active"))</f>
        <v/>
      </c>
      <c r="V148" s="52" t="str">
        <f aca="false">IF(A148="","",IF(AND(OR(O148="",O148="Open",O148="In remediation",O148="Remediated - pending verification"),ISNUMBER(Q148),Q148&lt;AsOf),"Overdue",""))</f>
        <v/>
      </c>
      <c r="W148" s="62" t="str">
        <f aca="false">IF(A148="","",COUNTIF(TRT_FND,A148))</f>
        <v/>
      </c>
      <c r="X148" s="54" t="str">
        <f aca="false">IF(A148="","",IF(COUNTIF(FND_ID,A148)&gt;1,"CHECK: duplicate ID",IF(B148="","CHECK: Supplier ID missing",IF(COUNTIF(INV_ID,B148)=0,"CHECK: Supplier ID not in inventory",IF(AND(D148&lt;&gt;"",COUNTIF(RSK_ID,D148)=0),"CHECK: Risk ID not found",IF(AND(D148&lt;&gt;"",COUNTIF(RSK_ID,D148)&gt;0,IFERROR(INDEX(RSK_SUP,MATCH(D148,RSK_ID,0)),"")&lt;&gt;B148),"CHECK: Risk belongs to a different supplier",IF(AND(O148="Closed - verified",S148=""),"CHECK: closed without verification reference","OK")))))))</f>
        <v/>
      </c>
      <c r="Y148" s="52" t="str">
        <f aca="false">IF(OR(A148="",B148=""),"",IF(AND(U148="Active",B148=RptSup),B148&amp;"|"&amp;COUNTIFS($B$7:B148,B148,$U$7:U148,"Active"),""))</f>
        <v/>
      </c>
    </row>
    <row r="149" customFormat="false" ht="15" hidden="false" customHeight="false" outlineLevel="0" collapsed="false">
      <c r="A149" s="50"/>
      <c r="B149" s="50"/>
      <c r="C149" s="59" t="str">
        <f aca="false">IF(B149="","",IFERROR(INDEX(INV_NAME,MATCH(B149,INV_ID,0)),"CHECK: Supplier ID not found"))</f>
        <v/>
      </c>
      <c r="D149" s="50"/>
      <c r="E149" s="50"/>
      <c r="F149" s="50"/>
      <c r="G149" s="34"/>
      <c r="H149" s="34"/>
      <c r="I149" s="34"/>
      <c r="J149" s="34"/>
      <c r="K149" s="34"/>
      <c r="L149" s="50"/>
      <c r="M149" s="34"/>
      <c r="N149" s="34"/>
      <c r="O149" s="34"/>
      <c r="P149" s="51"/>
      <c r="Q149" s="51"/>
      <c r="R149" s="51"/>
      <c r="S149" s="34"/>
      <c r="T149" s="34"/>
      <c r="U149" s="52" t="str">
        <f aca="false">IF(A149="","",IF(OR(O149="Closed - verified",O149="Withdrawn"),"Closed","Active"))</f>
        <v/>
      </c>
      <c r="V149" s="52" t="str">
        <f aca="false">IF(A149="","",IF(AND(OR(O149="",O149="Open",O149="In remediation",O149="Remediated - pending verification"),ISNUMBER(Q149),Q149&lt;AsOf),"Overdue",""))</f>
        <v/>
      </c>
      <c r="W149" s="62" t="str">
        <f aca="false">IF(A149="","",COUNTIF(TRT_FND,A149))</f>
        <v/>
      </c>
      <c r="X149" s="54" t="str">
        <f aca="false">IF(A149="","",IF(COUNTIF(FND_ID,A149)&gt;1,"CHECK: duplicate ID",IF(B149="","CHECK: Supplier ID missing",IF(COUNTIF(INV_ID,B149)=0,"CHECK: Supplier ID not in inventory",IF(AND(D149&lt;&gt;"",COUNTIF(RSK_ID,D149)=0),"CHECK: Risk ID not found",IF(AND(D149&lt;&gt;"",COUNTIF(RSK_ID,D149)&gt;0,IFERROR(INDEX(RSK_SUP,MATCH(D149,RSK_ID,0)),"")&lt;&gt;B149),"CHECK: Risk belongs to a different supplier",IF(AND(O149="Closed - verified",S149=""),"CHECK: closed without verification reference","OK")))))))</f>
        <v/>
      </c>
      <c r="Y149" s="52" t="str">
        <f aca="false">IF(OR(A149="",B149=""),"",IF(AND(U149="Active",B149=RptSup),B149&amp;"|"&amp;COUNTIFS($B$7:B149,B149,$U$7:U149,"Active"),""))</f>
        <v/>
      </c>
    </row>
    <row r="150" customFormat="false" ht="15" hidden="false" customHeight="false" outlineLevel="0" collapsed="false">
      <c r="A150" s="50"/>
      <c r="B150" s="50"/>
      <c r="C150" s="59" t="str">
        <f aca="false">IF(B150="","",IFERROR(INDEX(INV_NAME,MATCH(B150,INV_ID,0)),"CHECK: Supplier ID not found"))</f>
        <v/>
      </c>
      <c r="D150" s="50"/>
      <c r="E150" s="50"/>
      <c r="F150" s="50"/>
      <c r="G150" s="34"/>
      <c r="H150" s="34"/>
      <c r="I150" s="34"/>
      <c r="J150" s="34"/>
      <c r="K150" s="34"/>
      <c r="L150" s="50"/>
      <c r="M150" s="34"/>
      <c r="N150" s="34"/>
      <c r="O150" s="34"/>
      <c r="P150" s="51"/>
      <c r="Q150" s="51"/>
      <c r="R150" s="51"/>
      <c r="S150" s="34"/>
      <c r="T150" s="34"/>
      <c r="U150" s="52" t="str">
        <f aca="false">IF(A150="","",IF(OR(O150="Closed - verified",O150="Withdrawn"),"Closed","Active"))</f>
        <v/>
      </c>
      <c r="V150" s="52" t="str">
        <f aca="false">IF(A150="","",IF(AND(OR(O150="",O150="Open",O150="In remediation",O150="Remediated - pending verification"),ISNUMBER(Q150),Q150&lt;AsOf),"Overdue",""))</f>
        <v/>
      </c>
      <c r="W150" s="62" t="str">
        <f aca="false">IF(A150="","",COUNTIF(TRT_FND,A150))</f>
        <v/>
      </c>
      <c r="X150" s="54" t="str">
        <f aca="false">IF(A150="","",IF(COUNTIF(FND_ID,A150)&gt;1,"CHECK: duplicate ID",IF(B150="","CHECK: Supplier ID missing",IF(COUNTIF(INV_ID,B150)=0,"CHECK: Supplier ID not in inventory",IF(AND(D150&lt;&gt;"",COUNTIF(RSK_ID,D150)=0),"CHECK: Risk ID not found",IF(AND(D150&lt;&gt;"",COUNTIF(RSK_ID,D150)&gt;0,IFERROR(INDEX(RSK_SUP,MATCH(D150,RSK_ID,0)),"")&lt;&gt;B150),"CHECK: Risk belongs to a different supplier",IF(AND(O150="Closed - verified",S150=""),"CHECK: closed without verification reference","OK")))))))</f>
        <v/>
      </c>
      <c r="Y150" s="52" t="str">
        <f aca="false">IF(OR(A150="",B150=""),"",IF(AND(U150="Active",B150=RptSup),B150&amp;"|"&amp;COUNTIFS($B$7:B150,B150,$U$7:U150,"Active"),""))</f>
        <v/>
      </c>
    </row>
    <row r="151" customFormat="false" ht="15" hidden="false" customHeight="false" outlineLevel="0" collapsed="false">
      <c r="A151" s="50"/>
      <c r="B151" s="50"/>
      <c r="C151" s="59" t="str">
        <f aca="false">IF(B151="","",IFERROR(INDEX(INV_NAME,MATCH(B151,INV_ID,0)),"CHECK: Supplier ID not found"))</f>
        <v/>
      </c>
      <c r="D151" s="50"/>
      <c r="E151" s="50"/>
      <c r="F151" s="50"/>
      <c r="G151" s="34"/>
      <c r="H151" s="34"/>
      <c r="I151" s="34"/>
      <c r="J151" s="34"/>
      <c r="K151" s="34"/>
      <c r="L151" s="50"/>
      <c r="M151" s="34"/>
      <c r="N151" s="34"/>
      <c r="O151" s="34"/>
      <c r="P151" s="51"/>
      <c r="Q151" s="51"/>
      <c r="R151" s="51"/>
      <c r="S151" s="34"/>
      <c r="T151" s="34"/>
      <c r="U151" s="52" t="str">
        <f aca="false">IF(A151="","",IF(OR(O151="Closed - verified",O151="Withdrawn"),"Closed","Active"))</f>
        <v/>
      </c>
      <c r="V151" s="52" t="str">
        <f aca="false">IF(A151="","",IF(AND(OR(O151="",O151="Open",O151="In remediation",O151="Remediated - pending verification"),ISNUMBER(Q151),Q151&lt;AsOf),"Overdue",""))</f>
        <v/>
      </c>
      <c r="W151" s="62" t="str">
        <f aca="false">IF(A151="","",COUNTIF(TRT_FND,A151))</f>
        <v/>
      </c>
      <c r="X151" s="54" t="str">
        <f aca="false">IF(A151="","",IF(COUNTIF(FND_ID,A151)&gt;1,"CHECK: duplicate ID",IF(B151="","CHECK: Supplier ID missing",IF(COUNTIF(INV_ID,B151)=0,"CHECK: Supplier ID not in inventory",IF(AND(D151&lt;&gt;"",COUNTIF(RSK_ID,D151)=0),"CHECK: Risk ID not found",IF(AND(D151&lt;&gt;"",COUNTIF(RSK_ID,D151)&gt;0,IFERROR(INDEX(RSK_SUP,MATCH(D151,RSK_ID,0)),"")&lt;&gt;B151),"CHECK: Risk belongs to a different supplier",IF(AND(O151="Closed - verified",S151=""),"CHECK: closed without verification reference","OK")))))))</f>
        <v/>
      </c>
      <c r="Y151" s="52" t="str">
        <f aca="false">IF(OR(A151="",B151=""),"",IF(AND(U151="Active",B151=RptSup),B151&amp;"|"&amp;COUNTIFS($B$7:B151,B151,$U$7:U151,"Active"),""))</f>
        <v/>
      </c>
    </row>
    <row r="152" customFormat="false" ht="15" hidden="false" customHeight="false" outlineLevel="0" collapsed="false">
      <c r="A152" s="50"/>
      <c r="B152" s="50"/>
      <c r="C152" s="59" t="str">
        <f aca="false">IF(B152="","",IFERROR(INDEX(INV_NAME,MATCH(B152,INV_ID,0)),"CHECK: Supplier ID not found"))</f>
        <v/>
      </c>
      <c r="D152" s="50"/>
      <c r="E152" s="50"/>
      <c r="F152" s="50"/>
      <c r="G152" s="34"/>
      <c r="H152" s="34"/>
      <c r="I152" s="34"/>
      <c r="J152" s="34"/>
      <c r="K152" s="34"/>
      <c r="L152" s="50"/>
      <c r="M152" s="34"/>
      <c r="N152" s="34"/>
      <c r="O152" s="34"/>
      <c r="P152" s="51"/>
      <c r="Q152" s="51"/>
      <c r="R152" s="51"/>
      <c r="S152" s="34"/>
      <c r="T152" s="34"/>
      <c r="U152" s="52" t="str">
        <f aca="false">IF(A152="","",IF(OR(O152="Closed - verified",O152="Withdrawn"),"Closed","Active"))</f>
        <v/>
      </c>
      <c r="V152" s="52" t="str">
        <f aca="false">IF(A152="","",IF(AND(OR(O152="",O152="Open",O152="In remediation",O152="Remediated - pending verification"),ISNUMBER(Q152),Q152&lt;AsOf),"Overdue",""))</f>
        <v/>
      </c>
      <c r="W152" s="62" t="str">
        <f aca="false">IF(A152="","",COUNTIF(TRT_FND,A152))</f>
        <v/>
      </c>
      <c r="X152" s="54" t="str">
        <f aca="false">IF(A152="","",IF(COUNTIF(FND_ID,A152)&gt;1,"CHECK: duplicate ID",IF(B152="","CHECK: Supplier ID missing",IF(COUNTIF(INV_ID,B152)=0,"CHECK: Supplier ID not in inventory",IF(AND(D152&lt;&gt;"",COUNTIF(RSK_ID,D152)=0),"CHECK: Risk ID not found",IF(AND(D152&lt;&gt;"",COUNTIF(RSK_ID,D152)&gt;0,IFERROR(INDEX(RSK_SUP,MATCH(D152,RSK_ID,0)),"")&lt;&gt;B152),"CHECK: Risk belongs to a different supplier",IF(AND(O152="Closed - verified",S152=""),"CHECK: closed without verification reference","OK")))))))</f>
        <v/>
      </c>
      <c r="Y152" s="52" t="str">
        <f aca="false">IF(OR(A152="",B152=""),"",IF(AND(U152="Active",B152=RptSup),B152&amp;"|"&amp;COUNTIFS($B$7:B152,B152,$U$7:U152,"Active"),""))</f>
        <v/>
      </c>
    </row>
    <row r="153" customFormat="false" ht="15" hidden="false" customHeight="false" outlineLevel="0" collapsed="false">
      <c r="A153" s="50"/>
      <c r="B153" s="50"/>
      <c r="C153" s="59" t="str">
        <f aca="false">IF(B153="","",IFERROR(INDEX(INV_NAME,MATCH(B153,INV_ID,0)),"CHECK: Supplier ID not found"))</f>
        <v/>
      </c>
      <c r="D153" s="50"/>
      <c r="E153" s="50"/>
      <c r="F153" s="50"/>
      <c r="G153" s="34"/>
      <c r="H153" s="34"/>
      <c r="I153" s="34"/>
      <c r="J153" s="34"/>
      <c r="K153" s="34"/>
      <c r="L153" s="50"/>
      <c r="M153" s="34"/>
      <c r="N153" s="34"/>
      <c r="O153" s="34"/>
      <c r="P153" s="51"/>
      <c r="Q153" s="51"/>
      <c r="R153" s="51"/>
      <c r="S153" s="34"/>
      <c r="T153" s="34"/>
      <c r="U153" s="52" t="str">
        <f aca="false">IF(A153="","",IF(OR(O153="Closed - verified",O153="Withdrawn"),"Closed","Active"))</f>
        <v/>
      </c>
      <c r="V153" s="52" t="str">
        <f aca="false">IF(A153="","",IF(AND(OR(O153="",O153="Open",O153="In remediation",O153="Remediated - pending verification"),ISNUMBER(Q153),Q153&lt;AsOf),"Overdue",""))</f>
        <v/>
      </c>
      <c r="W153" s="62" t="str">
        <f aca="false">IF(A153="","",COUNTIF(TRT_FND,A153))</f>
        <v/>
      </c>
      <c r="X153" s="54" t="str">
        <f aca="false">IF(A153="","",IF(COUNTIF(FND_ID,A153)&gt;1,"CHECK: duplicate ID",IF(B153="","CHECK: Supplier ID missing",IF(COUNTIF(INV_ID,B153)=0,"CHECK: Supplier ID not in inventory",IF(AND(D153&lt;&gt;"",COUNTIF(RSK_ID,D153)=0),"CHECK: Risk ID not found",IF(AND(D153&lt;&gt;"",COUNTIF(RSK_ID,D153)&gt;0,IFERROR(INDEX(RSK_SUP,MATCH(D153,RSK_ID,0)),"")&lt;&gt;B153),"CHECK: Risk belongs to a different supplier",IF(AND(O153="Closed - verified",S153=""),"CHECK: closed without verification reference","OK")))))))</f>
        <v/>
      </c>
      <c r="Y153" s="52" t="str">
        <f aca="false">IF(OR(A153="",B153=""),"",IF(AND(U153="Active",B153=RptSup),B153&amp;"|"&amp;COUNTIFS($B$7:B153,B153,$U$7:U153,"Active"),""))</f>
        <v/>
      </c>
    </row>
    <row r="154" customFormat="false" ht="15" hidden="false" customHeight="false" outlineLevel="0" collapsed="false">
      <c r="A154" s="50"/>
      <c r="B154" s="50"/>
      <c r="C154" s="59" t="str">
        <f aca="false">IF(B154="","",IFERROR(INDEX(INV_NAME,MATCH(B154,INV_ID,0)),"CHECK: Supplier ID not found"))</f>
        <v/>
      </c>
      <c r="D154" s="50"/>
      <c r="E154" s="50"/>
      <c r="F154" s="50"/>
      <c r="G154" s="34"/>
      <c r="H154" s="34"/>
      <c r="I154" s="34"/>
      <c r="J154" s="34"/>
      <c r="K154" s="34"/>
      <c r="L154" s="50"/>
      <c r="M154" s="34"/>
      <c r="N154" s="34"/>
      <c r="O154" s="34"/>
      <c r="P154" s="51"/>
      <c r="Q154" s="51"/>
      <c r="R154" s="51"/>
      <c r="S154" s="34"/>
      <c r="T154" s="34"/>
      <c r="U154" s="52" t="str">
        <f aca="false">IF(A154="","",IF(OR(O154="Closed - verified",O154="Withdrawn"),"Closed","Active"))</f>
        <v/>
      </c>
      <c r="V154" s="52" t="str">
        <f aca="false">IF(A154="","",IF(AND(OR(O154="",O154="Open",O154="In remediation",O154="Remediated - pending verification"),ISNUMBER(Q154),Q154&lt;AsOf),"Overdue",""))</f>
        <v/>
      </c>
      <c r="W154" s="62" t="str">
        <f aca="false">IF(A154="","",COUNTIF(TRT_FND,A154))</f>
        <v/>
      </c>
      <c r="X154" s="54" t="str">
        <f aca="false">IF(A154="","",IF(COUNTIF(FND_ID,A154)&gt;1,"CHECK: duplicate ID",IF(B154="","CHECK: Supplier ID missing",IF(COUNTIF(INV_ID,B154)=0,"CHECK: Supplier ID not in inventory",IF(AND(D154&lt;&gt;"",COUNTIF(RSK_ID,D154)=0),"CHECK: Risk ID not found",IF(AND(D154&lt;&gt;"",COUNTIF(RSK_ID,D154)&gt;0,IFERROR(INDEX(RSK_SUP,MATCH(D154,RSK_ID,0)),"")&lt;&gt;B154),"CHECK: Risk belongs to a different supplier",IF(AND(O154="Closed - verified",S154=""),"CHECK: closed without verification reference","OK")))))))</f>
        <v/>
      </c>
      <c r="Y154" s="52" t="str">
        <f aca="false">IF(OR(A154="",B154=""),"",IF(AND(U154="Active",B154=RptSup),B154&amp;"|"&amp;COUNTIFS($B$7:B154,B154,$U$7:U154,"Active"),""))</f>
        <v/>
      </c>
    </row>
    <row r="155" customFormat="false" ht="15" hidden="false" customHeight="false" outlineLevel="0" collapsed="false">
      <c r="A155" s="50"/>
      <c r="B155" s="50"/>
      <c r="C155" s="59" t="str">
        <f aca="false">IF(B155="","",IFERROR(INDEX(INV_NAME,MATCH(B155,INV_ID,0)),"CHECK: Supplier ID not found"))</f>
        <v/>
      </c>
      <c r="D155" s="50"/>
      <c r="E155" s="50"/>
      <c r="F155" s="50"/>
      <c r="G155" s="34"/>
      <c r="H155" s="34"/>
      <c r="I155" s="34"/>
      <c r="J155" s="34"/>
      <c r="K155" s="34"/>
      <c r="L155" s="50"/>
      <c r="M155" s="34"/>
      <c r="N155" s="34"/>
      <c r="O155" s="34"/>
      <c r="P155" s="51"/>
      <c r="Q155" s="51"/>
      <c r="R155" s="51"/>
      <c r="S155" s="34"/>
      <c r="T155" s="34"/>
      <c r="U155" s="52" t="str">
        <f aca="false">IF(A155="","",IF(OR(O155="Closed - verified",O155="Withdrawn"),"Closed","Active"))</f>
        <v/>
      </c>
      <c r="V155" s="52" t="str">
        <f aca="false">IF(A155="","",IF(AND(OR(O155="",O155="Open",O155="In remediation",O155="Remediated - pending verification"),ISNUMBER(Q155),Q155&lt;AsOf),"Overdue",""))</f>
        <v/>
      </c>
      <c r="W155" s="62" t="str">
        <f aca="false">IF(A155="","",COUNTIF(TRT_FND,A155))</f>
        <v/>
      </c>
      <c r="X155" s="54" t="str">
        <f aca="false">IF(A155="","",IF(COUNTIF(FND_ID,A155)&gt;1,"CHECK: duplicate ID",IF(B155="","CHECK: Supplier ID missing",IF(COUNTIF(INV_ID,B155)=0,"CHECK: Supplier ID not in inventory",IF(AND(D155&lt;&gt;"",COUNTIF(RSK_ID,D155)=0),"CHECK: Risk ID not found",IF(AND(D155&lt;&gt;"",COUNTIF(RSK_ID,D155)&gt;0,IFERROR(INDEX(RSK_SUP,MATCH(D155,RSK_ID,0)),"")&lt;&gt;B155),"CHECK: Risk belongs to a different supplier",IF(AND(O155="Closed - verified",S155=""),"CHECK: closed without verification reference","OK")))))))</f>
        <v/>
      </c>
      <c r="Y155" s="52" t="str">
        <f aca="false">IF(OR(A155="",B155=""),"",IF(AND(U155="Active",B155=RptSup),B155&amp;"|"&amp;COUNTIFS($B$7:B155,B155,$U$7:U155,"Active"),""))</f>
        <v/>
      </c>
    </row>
    <row r="156" customFormat="false" ht="15" hidden="false" customHeight="false" outlineLevel="0" collapsed="false">
      <c r="A156" s="50"/>
      <c r="B156" s="50"/>
      <c r="C156" s="59" t="str">
        <f aca="false">IF(B156="","",IFERROR(INDEX(INV_NAME,MATCH(B156,INV_ID,0)),"CHECK: Supplier ID not found"))</f>
        <v/>
      </c>
      <c r="D156" s="50"/>
      <c r="E156" s="50"/>
      <c r="F156" s="50"/>
      <c r="G156" s="34"/>
      <c r="H156" s="34"/>
      <c r="I156" s="34"/>
      <c r="J156" s="34"/>
      <c r="K156" s="34"/>
      <c r="L156" s="50"/>
      <c r="M156" s="34"/>
      <c r="N156" s="34"/>
      <c r="O156" s="34"/>
      <c r="P156" s="51"/>
      <c r="Q156" s="51"/>
      <c r="R156" s="51"/>
      <c r="S156" s="34"/>
      <c r="T156" s="34"/>
      <c r="U156" s="52" t="str">
        <f aca="false">IF(A156="","",IF(OR(O156="Closed - verified",O156="Withdrawn"),"Closed","Active"))</f>
        <v/>
      </c>
      <c r="V156" s="52" t="str">
        <f aca="false">IF(A156="","",IF(AND(OR(O156="",O156="Open",O156="In remediation",O156="Remediated - pending verification"),ISNUMBER(Q156),Q156&lt;AsOf),"Overdue",""))</f>
        <v/>
      </c>
      <c r="W156" s="62" t="str">
        <f aca="false">IF(A156="","",COUNTIF(TRT_FND,A156))</f>
        <v/>
      </c>
      <c r="X156" s="54" t="str">
        <f aca="false">IF(A156="","",IF(COUNTIF(FND_ID,A156)&gt;1,"CHECK: duplicate ID",IF(B156="","CHECK: Supplier ID missing",IF(COUNTIF(INV_ID,B156)=0,"CHECK: Supplier ID not in inventory",IF(AND(D156&lt;&gt;"",COUNTIF(RSK_ID,D156)=0),"CHECK: Risk ID not found",IF(AND(D156&lt;&gt;"",COUNTIF(RSK_ID,D156)&gt;0,IFERROR(INDEX(RSK_SUP,MATCH(D156,RSK_ID,0)),"")&lt;&gt;B156),"CHECK: Risk belongs to a different supplier",IF(AND(O156="Closed - verified",S156=""),"CHECK: closed without verification reference","OK")))))))</f>
        <v/>
      </c>
      <c r="Y156" s="52" t="str">
        <f aca="false">IF(OR(A156="",B156=""),"",IF(AND(U156="Active",B156=RptSup),B156&amp;"|"&amp;COUNTIFS($B$7:B156,B156,$U$7:U156,"Active"),""))</f>
        <v/>
      </c>
    </row>
  </sheetData>
  <sheetProtection sheet="true" formatColumns="false" formatRows="false" sort="false" autoFilter="false"/>
  <conditionalFormatting sqref="U7:U156">
    <cfRule type="expression" priority="2" aboveAverage="0" equalAverage="0" bottom="0" percent="0" rank="0" text="" dxfId="0">
      <formula>OR(ISNUMBER(SEARCH("Above appetite",U7)),ISNUMBER(SEARCH("Overdue",U7)),ISNUMBER(SEARCH("Expired",U7)),ISNUMBER(SEARCH("Breach",U7)),ISNUMBER(SEARCH("CHECK",U7)),ISNUMBER(SEARCH("Not ready",U7)),ISNUMBER(SEARCH("REMAINS",U7)),ISNUMBER(SEARCH("Failed",U7)),ISNUMBER(SEARCH("Cannot assess",U7)))</formula>
    </cfRule>
    <cfRule type="expression" priority="3" aboveAverage="0" equalAverage="0" bottom="0" percent="0" rank="0" text="" dxfId="21">
      <formula>OR(ISNUMBER(SEARCH("Incomplete",U7)),ISNUMBER(SEARCH("Pending",U7)),ISNUMBER(SEARCH("Approaching",U7)),ISNUMBER(SEARCH("insufficient",U7)),ISNUMBER(SEARCH("Awaiting",U7)),ISNUMBER(SEARCH("Review due",U7)),ISNUMBER(SEARCH("Not configured",U7)),ISNUMBER(SEARCH("Not classified",U7)),ISNUMBER(SEARCH("Proposed",U7)),ISNUMBER(SEARCH("Verification",U7)),ISNUMBER(SEARCH("Scope limitation",U7)),ISNUMBER(SEARCH("Follow-up",U7)),ISNUMBER(SEARCH("Open gap",U7)),ISNUMBER(SEARCH("Delivered - verification",U7)),ISNUMBER(SEARCH("Historical",U7)),ISNUMBER(SEARCH("Not scheduled",U7)),ISNUMBER(SEARCH("Not determined",U7)),ISNUMBER(SEARCH("Decision record",U7)),ISNUMBER(SEARCH("Due soon",U7)),ISNUMBER(SEARCH("Not reviewed",U7)),ISNUMBER(SEARCH("Tier not",U7)),ISNUMBER(SEARCH("No decision",U7)),ISNUMBER(SEARCH("Superseded",U7)),ISNUMBER(SEARCH("Optional",U7)),ISNUMBER(SEARCH("legal review",U7)),ISNUMBER(SEARCH("No treatment",U7)),ISNUMBER(SEARCH("not recorded",U7)),ISNUMBER(SEARCH("consider",U7)),ISNUMBER(SEARCH("Not set",U7)),ISNUMBER(SEARCH("Not started",U7)),ISNUMBER(SEARCH("No expiry",U7)),ISNUMBER(SEARCH("No KRI",U7)),ISNUMBER(SEARCH("no reassessment",U7)),ISNUMBER(SEARCH("Applicability",U7)),ISNUMBER(SEARCH("Not current",U7)),ISNUMBER(SEARCH("assess relevance",U7)))</formula>
    </cfRule>
    <cfRule type="expression" priority="4" aboveAverage="0" equalAverage="0" bottom="0" percent="0" rank="0" text="" dxfId="22">
      <formula>OR(LEFT(U7,2)="OK",LEFT(U7,8)="Complete",LEFT(U7,7)="Current",LEFT(U7,10)="Authorised",LEFT(U7,6)="Within",LEFT(U7,11)="On schedule",LEFT(U7,17)="Ready for closure",LEFT(U7,17)="Evidence reviewed",LEFT(U7,19)="Decision referenced",LEFT(U7,27)="Reassessment event recorded",LEFT(U7,14)="Period current",LEFT(U7,17)="Gap dispositioned",LEFT(U7,17)="Reviewed - no gap",LEFT(U7,11)="Recommended",LEFT(U7,17)="Closed - verified")</formula>
    </cfRule>
  </conditionalFormatting>
  <conditionalFormatting sqref="V7:V156">
    <cfRule type="expression" priority="5" aboveAverage="0" equalAverage="0" bottom="0" percent="0" rank="0" text="" dxfId="0">
      <formula>OR(ISNUMBER(SEARCH("Above appetite",V7)),ISNUMBER(SEARCH("Overdue",V7)),ISNUMBER(SEARCH("Expired",V7)),ISNUMBER(SEARCH("Breach",V7)),ISNUMBER(SEARCH("CHECK",V7)),ISNUMBER(SEARCH("Not ready",V7)),ISNUMBER(SEARCH("REMAINS",V7)),ISNUMBER(SEARCH("Failed",V7)),ISNUMBER(SEARCH("Cannot assess",V7)))</formula>
    </cfRule>
    <cfRule type="expression" priority="6" aboveAverage="0" equalAverage="0" bottom="0" percent="0" rank="0" text="" dxfId="21">
      <formula>OR(ISNUMBER(SEARCH("Incomplete",V7)),ISNUMBER(SEARCH("Pending",V7)),ISNUMBER(SEARCH("Approaching",V7)),ISNUMBER(SEARCH("insufficient",V7)),ISNUMBER(SEARCH("Awaiting",V7)),ISNUMBER(SEARCH("Review due",V7)),ISNUMBER(SEARCH("Not configured",V7)),ISNUMBER(SEARCH("Not classified",V7)),ISNUMBER(SEARCH("Proposed",V7)),ISNUMBER(SEARCH("Verification",V7)),ISNUMBER(SEARCH("Scope limitation",V7)),ISNUMBER(SEARCH("Follow-up",V7)),ISNUMBER(SEARCH("Open gap",V7)),ISNUMBER(SEARCH("Delivered - verification",V7)),ISNUMBER(SEARCH("Historical",V7)),ISNUMBER(SEARCH("Not scheduled",V7)),ISNUMBER(SEARCH("Not determined",V7)),ISNUMBER(SEARCH("Decision record",V7)),ISNUMBER(SEARCH("Due soon",V7)),ISNUMBER(SEARCH("Not reviewed",V7)),ISNUMBER(SEARCH("Tier not",V7)),ISNUMBER(SEARCH("No decision",V7)),ISNUMBER(SEARCH("Superseded",V7)),ISNUMBER(SEARCH("Optional",V7)),ISNUMBER(SEARCH("legal review",V7)),ISNUMBER(SEARCH("No treatment",V7)),ISNUMBER(SEARCH("not recorded",V7)),ISNUMBER(SEARCH("consider",V7)),ISNUMBER(SEARCH("Not set",V7)),ISNUMBER(SEARCH("Not started",V7)),ISNUMBER(SEARCH("No expiry",V7)),ISNUMBER(SEARCH("No KRI",V7)),ISNUMBER(SEARCH("no reassessment",V7)),ISNUMBER(SEARCH("Applicability",V7)),ISNUMBER(SEARCH("Not current",V7)),ISNUMBER(SEARCH("assess relevance",V7)))</formula>
    </cfRule>
    <cfRule type="expression" priority="7" aboveAverage="0" equalAverage="0" bottom="0" percent="0" rank="0" text="" dxfId="22">
      <formula>OR(LEFT(V7,2)="OK",LEFT(V7,8)="Complete",LEFT(V7,7)="Current",LEFT(V7,10)="Authorised",LEFT(V7,6)="Within",LEFT(V7,11)="On schedule",LEFT(V7,17)="Ready for closure",LEFT(V7,17)="Evidence reviewed",LEFT(V7,19)="Decision referenced",LEFT(V7,27)="Reassessment event recorded",LEFT(V7,14)="Period current",LEFT(V7,17)="Gap dispositioned",LEFT(V7,17)="Reviewed - no gap",LEFT(V7,11)="Recommended",LEFT(V7,17)="Closed - verified")</formula>
    </cfRule>
  </conditionalFormatting>
  <conditionalFormatting sqref="W7:W156">
    <cfRule type="expression" priority="8" aboveAverage="0" equalAverage="0" bottom="0" percent="0" rank="0" text="" dxfId="0">
      <formula>OR(ISNUMBER(SEARCH("Above appetite",W7)),ISNUMBER(SEARCH("Overdue",W7)),ISNUMBER(SEARCH("Expired",W7)),ISNUMBER(SEARCH("Breach",W7)),ISNUMBER(SEARCH("CHECK",W7)),ISNUMBER(SEARCH("Not ready",W7)),ISNUMBER(SEARCH("REMAINS",W7)),ISNUMBER(SEARCH("Failed",W7)),ISNUMBER(SEARCH("Cannot assess",W7)))</formula>
    </cfRule>
    <cfRule type="expression" priority="9" aboveAverage="0" equalAverage="0" bottom="0" percent="0" rank="0" text="" dxfId="21">
      <formula>OR(ISNUMBER(SEARCH("Incomplete",W7)),ISNUMBER(SEARCH("Pending",W7)),ISNUMBER(SEARCH("Approaching",W7)),ISNUMBER(SEARCH("insufficient",W7)),ISNUMBER(SEARCH("Awaiting",W7)),ISNUMBER(SEARCH("Review due",W7)),ISNUMBER(SEARCH("Not configured",W7)),ISNUMBER(SEARCH("Not classified",W7)),ISNUMBER(SEARCH("Proposed",W7)),ISNUMBER(SEARCH("Verification",W7)),ISNUMBER(SEARCH("Scope limitation",W7)),ISNUMBER(SEARCH("Follow-up",W7)),ISNUMBER(SEARCH("Open gap",W7)),ISNUMBER(SEARCH("Delivered - verification",W7)),ISNUMBER(SEARCH("Historical",W7)),ISNUMBER(SEARCH("Not scheduled",W7)),ISNUMBER(SEARCH("Not determined",W7)),ISNUMBER(SEARCH("Decision record",W7)),ISNUMBER(SEARCH("Due soon",W7)),ISNUMBER(SEARCH("Not reviewed",W7)),ISNUMBER(SEARCH("Tier not",W7)),ISNUMBER(SEARCH("No decision",W7)),ISNUMBER(SEARCH("Superseded",W7)),ISNUMBER(SEARCH("Optional",W7)),ISNUMBER(SEARCH("legal review",W7)),ISNUMBER(SEARCH("No treatment",W7)),ISNUMBER(SEARCH("not recorded",W7)),ISNUMBER(SEARCH("consider",W7)),ISNUMBER(SEARCH("Not set",W7)),ISNUMBER(SEARCH("Not started",W7)),ISNUMBER(SEARCH("No expiry",W7)),ISNUMBER(SEARCH("No KRI",W7)),ISNUMBER(SEARCH("no reassessment",W7)),ISNUMBER(SEARCH("Applicability",W7)),ISNUMBER(SEARCH("Not current",W7)),ISNUMBER(SEARCH("assess relevance",W7)))</formula>
    </cfRule>
    <cfRule type="expression" priority="10" aboveAverage="0" equalAverage="0" bottom="0" percent="0" rank="0" text="" dxfId="22">
      <formula>OR(LEFT(W7,2)="OK",LEFT(W7,8)="Complete",LEFT(W7,7)="Current",LEFT(W7,10)="Authorised",LEFT(W7,6)="Within",LEFT(W7,11)="On schedule",LEFT(W7,17)="Ready for closure",LEFT(W7,17)="Evidence reviewed",LEFT(W7,19)="Decision referenced",LEFT(W7,27)="Reassessment event recorded",LEFT(W7,14)="Period current",LEFT(W7,17)="Gap dispositioned",LEFT(W7,17)="Reviewed - no gap",LEFT(W7,11)="Recommended",LEFT(W7,17)="Closed - verified")</formula>
    </cfRule>
  </conditionalFormatting>
  <conditionalFormatting sqref="X7:X156">
    <cfRule type="expression" priority="11" aboveAverage="0" equalAverage="0" bottom="0" percent="0" rank="0" text="" dxfId="0">
      <formula>OR(ISNUMBER(SEARCH("Above appetite",X7)),ISNUMBER(SEARCH("Overdue",X7)),ISNUMBER(SEARCH("Expired",X7)),ISNUMBER(SEARCH("Breach",X7)),ISNUMBER(SEARCH("CHECK",X7)),ISNUMBER(SEARCH("Not ready",X7)),ISNUMBER(SEARCH("REMAINS",X7)),ISNUMBER(SEARCH("Failed",X7)),ISNUMBER(SEARCH("Cannot assess",X7)))</formula>
    </cfRule>
    <cfRule type="expression" priority="12" aboveAverage="0" equalAverage="0" bottom="0" percent="0" rank="0" text="" dxfId="21">
      <formula>OR(ISNUMBER(SEARCH("Incomplete",X7)),ISNUMBER(SEARCH("Pending",X7)),ISNUMBER(SEARCH("Approaching",X7)),ISNUMBER(SEARCH("insufficient",X7)),ISNUMBER(SEARCH("Awaiting",X7)),ISNUMBER(SEARCH("Review due",X7)),ISNUMBER(SEARCH("Not configured",X7)),ISNUMBER(SEARCH("Not classified",X7)),ISNUMBER(SEARCH("Proposed",X7)),ISNUMBER(SEARCH("Verification",X7)),ISNUMBER(SEARCH("Scope limitation",X7)),ISNUMBER(SEARCH("Follow-up",X7)),ISNUMBER(SEARCH("Open gap",X7)),ISNUMBER(SEARCH("Delivered - verification",X7)),ISNUMBER(SEARCH("Historical",X7)),ISNUMBER(SEARCH("Not scheduled",X7)),ISNUMBER(SEARCH("Not determined",X7)),ISNUMBER(SEARCH("Decision record",X7)),ISNUMBER(SEARCH("Due soon",X7)),ISNUMBER(SEARCH("Not reviewed",X7)),ISNUMBER(SEARCH("Tier not",X7)),ISNUMBER(SEARCH("No decision",X7)),ISNUMBER(SEARCH("Superseded",X7)),ISNUMBER(SEARCH("Optional",X7)),ISNUMBER(SEARCH("legal review",X7)),ISNUMBER(SEARCH("No treatment",X7)),ISNUMBER(SEARCH("not recorded",X7)),ISNUMBER(SEARCH("consider",X7)),ISNUMBER(SEARCH("Not set",X7)),ISNUMBER(SEARCH("Not started",X7)),ISNUMBER(SEARCH("No expiry",X7)),ISNUMBER(SEARCH("No KRI",X7)),ISNUMBER(SEARCH("no reassessment",X7)),ISNUMBER(SEARCH("Applicability",X7)),ISNUMBER(SEARCH("Not current",X7)),ISNUMBER(SEARCH("assess relevance",X7)))</formula>
    </cfRule>
    <cfRule type="expression" priority="13" aboveAverage="0" equalAverage="0" bottom="0" percent="0" rank="0" text="" dxfId="22">
      <formula>OR(LEFT(X7,2)="OK",LEFT(X7,8)="Complete",LEFT(X7,7)="Current",LEFT(X7,10)="Authorised",LEFT(X7,6)="Within",LEFT(X7,11)="On schedule",LEFT(X7,17)="Ready for closure",LEFT(X7,17)="Evidence reviewed",LEFT(X7,19)="Decision referenced",LEFT(X7,27)="Reassessment event recorded",LEFT(X7,14)="Period current",LEFT(X7,17)="Gap dispositioned",LEFT(X7,17)="Reviewed - no gap",LEFT(X7,11)="Recommended",LEFT(X7,17)="Closed - verified")</formula>
    </cfRule>
  </conditionalFormatting>
  <conditionalFormatting sqref="Y7:Y156">
    <cfRule type="expression" priority="14" aboveAverage="0" equalAverage="0" bottom="0" percent="0" rank="0" text="" dxfId="0">
      <formula>OR(ISNUMBER(SEARCH("Above appetite",Y7)),ISNUMBER(SEARCH("Overdue",Y7)),ISNUMBER(SEARCH("Expired",Y7)),ISNUMBER(SEARCH("Breach",Y7)),ISNUMBER(SEARCH("CHECK",Y7)),ISNUMBER(SEARCH("Not ready",Y7)),ISNUMBER(SEARCH("REMAINS",Y7)),ISNUMBER(SEARCH("Failed",Y7)),ISNUMBER(SEARCH("Cannot assess",Y7)))</formula>
    </cfRule>
    <cfRule type="expression" priority="15" aboveAverage="0" equalAverage="0" bottom="0" percent="0" rank="0" text="" dxfId="21">
      <formula>OR(ISNUMBER(SEARCH("Incomplete",Y7)),ISNUMBER(SEARCH("Pending",Y7)),ISNUMBER(SEARCH("Approaching",Y7)),ISNUMBER(SEARCH("insufficient",Y7)),ISNUMBER(SEARCH("Awaiting",Y7)),ISNUMBER(SEARCH("Review due",Y7)),ISNUMBER(SEARCH("Not configured",Y7)),ISNUMBER(SEARCH("Not classified",Y7)),ISNUMBER(SEARCH("Proposed",Y7)),ISNUMBER(SEARCH("Verification",Y7)),ISNUMBER(SEARCH("Scope limitation",Y7)),ISNUMBER(SEARCH("Follow-up",Y7)),ISNUMBER(SEARCH("Open gap",Y7)),ISNUMBER(SEARCH("Delivered - verification",Y7)),ISNUMBER(SEARCH("Historical",Y7)),ISNUMBER(SEARCH("Not scheduled",Y7)),ISNUMBER(SEARCH("Not determined",Y7)),ISNUMBER(SEARCH("Decision record",Y7)),ISNUMBER(SEARCH("Due soon",Y7)),ISNUMBER(SEARCH("Not reviewed",Y7)),ISNUMBER(SEARCH("Tier not",Y7)),ISNUMBER(SEARCH("No decision",Y7)),ISNUMBER(SEARCH("Superseded",Y7)),ISNUMBER(SEARCH("Optional",Y7)),ISNUMBER(SEARCH("legal review",Y7)),ISNUMBER(SEARCH("No treatment",Y7)),ISNUMBER(SEARCH("not recorded",Y7)),ISNUMBER(SEARCH("consider",Y7)),ISNUMBER(SEARCH("Not set",Y7)),ISNUMBER(SEARCH("Not started",Y7)),ISNUMBER(SEARCH("No expiry",Y7)),ISNUMBER(SEARCH("No KRI",Y7)),ISNUMBER(SEARCH("no reassessment",Y7)),ISNUMBER(SEARCH("Applicability",Y7)),ISNUMBER(SEARCH("Not current",Y7)),ISNUMBER(SEARCH("assess relevance",Y7)))</formula>
    </cfRule>
    <cfRule type="expression" priority="16" aboveAverage="0" equalAverage="0" bottom="0" percent="0" rank="0" text="" dxfId="22">
      <formula>OR(LEFT(Y7,2)="OK",LEFT(Y7,8)="Complete",LEFT(Y7,7)="Current",LEFT(Y7,10)="Authorised",LEFT(Y7,6)="Within",LEFT(Y7,11)="On schedule",LEFT(Y7,17)="Ready for closure",LEFT(Y7,17)="Evidence reviewed",LEFT(Y7,19)="Decision referenced",LEFT(Y7,27)="Reassessment event recorded",LEFT(Y7,14)="Period current",LEFT(Y7,17)="Gap dispositioned",LEFT(Y7,17)="Reviewed - no gap",LEFT(Y7,11)="Recommended",LEFT(Y7,17)="Closed - verified")</formula>
    </cfRule>
  </conditionalFormatting>
  <conditionalFormatting sqref="A7:A156">
    <cfRule type="expression" priority="17" aboveAverage="0" equalAverage="0" bottom="0" percent="0" rank="0" text="" dxfId="0">
      <formula>AND(A7&lt;&gt;"",COUNTIF($A$7:$A$156,A7)&gt;1)</formula>
    </cfRule>
  </conditionalFormatting>
  <dataValidations count="7">
    <dataValidation allowBlank="true" error="Enter a valid date (on or after 1 Jan 2000)." errorStyle="stop" errorTitle="Invalid date" operator="greaterThanOrEqual" showDropDown="false" showErrorMessage="true" showInputMessage="false" sqref="P7:R156" type="date">
      <formula1>36526</formula1>
      <formula2>0</formula2>
    </dataValidation>
    <dataValidation allowBlank="true" error="Choose a value from the list (controlled vocabulary or an existing ID)." errorStyle="stop" errorTitle="Invalid entry" operator="between" showDropDown="false" showErrorMessage="true" showInputMessage="false" sqref="B7:B156" type="list">
      <formula1>INV_ID</formula1>
      <formula2>0</formula2>
    </dataValidation>
    <dataValidation allowBlank="true" error="Choose a value from the list (controlled vocabulary or an existing ID)." errorStyle="stop" errorTitle="Invalid entry" operator="between" showDropDown="false" showErrorMessage="true" showInputMessage="false" sqref="D7:D156" type="list">
      <formula1>RSK_ID</formula1>
      <formula2>0</formula2>
    </dataValidation>
    <dataValidation allowBlank="true" error="Choose a value from the list (controlled vocabulary or an existing ID)." errorStyle="stop" errorTitle="Invalid entry" operator="between" showDropDown="false" showErrorMessage="true" showInputMessage="false" sqref="E7:E156" type="list">
      <formula1>CA_ID</formula1>
      <formula2>0</formula2>
    </dataValidation>
    <dataValidation allowBlank="true" error="Choose a value from the list (controlled vocabulary or an existing ID)." errorStyle="stop" errorTitle="Invalid entry" operator="between" showDropDown="false" showErrorMessage="true" showInputMessage="false" sqref="G7:G156" type="list">
      <formula1>L_FndType</formula1>
      <formula2>0</formula2>
    </dataValidation>
    <dataValidation allowBlank="true" error="Choose a value from the list (controlled vocabulary or an existing ID)." errorStyle="stop" errorTitle="Invalid entry" operator="between" showDropDown="false" showErrorMessage="true" showInputMessage="false" sqref="L7:L156" type="list">
      <formula1>L_Severity</formula1>
      <formula2>0</formula2>
    </dataValidation>
    <dataValidation allowBlank="true" error="Choose a value from the list (controlled vocabulary or an existing ID)." errorStyle="stop" errorTitle="Invalid entry" operator="between" showDropDown="false" showErrorMessage="true" showInputMessage="false" sqref="O7:O156" type="list">
      <formula1>L_FndStatus</formula1>
      <formula2>0</formula2>
    </dataValidation>
  </dataValidations>
  <hyperlinks>
    <hyperlink ref="H1" r:id="rId1" location="'01%20Start%20Here'!A1" display="&lt;&lt; Back to Start Here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tableParts>
    <tablePart r:id="rId2"/>
  </tableParts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X15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6" topLeftCell="C7" activePane="bottomRight" state="frozen"/>
      <selection pane="topLeft" activeCell="A1" activeCellId="0" sqref="A1"/>
      <selection pane="topRight" activeCell="C1" activeCellId="0" sqref="C1"/>
      <selection pane="bottomLeft" activeCell="A7" activeCellId="0" sqref="A7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10"/>
    <col collapsed="false" customWidth="true" hidden="false" outlineLevel="0" max="2" min="2" style="1" width="12"/>
    <col collapsed="false" customWidth="true" hidden="false" outlineLevel="0" max="3" min="3" style="1" width="22"/>
    <col collapsed="false" customWidth="true" hidden="false" outlineLevel="0" max="5" min="4" style="1" width="11"/>
    <col collapsed="false" customWidth="true" hidden="false" outlineLevel="0" max="6" min="6" style="1" width="14"/>
    <col collapsed="false" customWidth="true" hidden="false" outlineLevel="0" max="7" min="7" style="1" width="34"/>
    <col collapsed="false" customWidth="true" hidden="false" outlineLevel="0" max="8" min="8" style="1" width="20"/>
    <col collapsed="false" customWidth="true" hidden="false" outlineLevel="0" max="9" min="9" style="1" width="18"/>
    <col collapsed="false" customWidth="true" hidden="false" outlineLevel="0" max="10" min="10" style="1" width="13"/>
    <col collapsed="false" customWidth="true" hidden="false" outlineLevel="0" max="11" min="11" style="1" width="20"/>
    <col collapsed="false" customWidth="true" hidden="false" outlineLevel="0" max="12" min="12" style="1" width="28"/>
    <col collapsed="false" customWidth="true" hidden="false" outlineLevel="0" max="13" min="13" style="1" width="26"/>
    <col collapsed="false" customWidth="true" hidden="false" outlineLevel="0" max="14" min="14" style="1" width="16"/>
    <col collapsed="false" customWidth="true" hidden="false" outlineLevel="0" max="15" min="15" style="1" width="13"/>
    <col collapsed="false" customWidth="true" hidden="false" outlineLevel="0" max="16" min="16" style="1" width="12"/>
    <col collapsed="false" customWidth="true" hidden="false" outlineLevel="0" max="17" min="17" style="1" width="14"/>
    <col collapsed="false" customWidth="true" hidden="false" outlineLevel="0" max="18" min="18" style="1" width="26"/>
    <col collapsed="false" customWidth="true" hidden="false" outlineLevel="0" max="19" min="19" style="1" width="22"/>
    <col collapsed="false" customWidth="true" hidden="false" outlineLevel="0" max="20" min="20" style="1" width="11"/>
    <col collapsed="false" customWidth="true" hidden="false" outlineLevel="0" max="21" min="21" style="1" width="12"/>
    <col collapsed="false" customWidth="true" hidden="false" outlineLevel="0" max="22" min="22" style="1" width="26"/>
    <col collapsed="false" customWidth="true" hidden="false" outlineLevel="0" max="23" min="23" style="1" width="32"/>
    <col collapsed="false" customWidth="true" hidden="true" outlineLevel="0" max="24" min="24" style="1" width="10"/>
  </cols>
  <sheetData>
    <row r="1" customFormat="false" ht="17.35" hidden="false" customHeight="false" outlineLevel="0" collapsed="false">
      <c r="A1" s="22" t="s">
        <v>26</v>
      </c>
      <c r="H1" s="10" t="s">
        <v>100</v>
      </c>
    </row>
    <row r="2" customFormat="false" ht="15" hidden="false" customHeight="false" outlineLevel="0" collapsed="false">
      <c r="A2" s="3" t="s">
        <v>1452</v>
      </c>
    </row>
    <row r="3" customFormat="false" ht="15" hidden="false" customHeight="false" outlineLevel="0" collapsed="false">
      <c r="A3" s="4" t="s">
        <v>1453</v>
      </c>
    </row>
    <row r="4" customFormat="false" ht="24" hidden="false" customHeight="true" outlineLevel="0" collapsed="false">
      <c r="A4" s="45" t="s">
        <v>69</v>
      </c>
      <c r="B4" s="45" t="s">
        <v>69</v>
      </c>
      <c r="C4" s="55" t="s">
        <v>73</v>
      </c>
      <c r="D4" s="45" t="s">
        <v>69</v>
      </c>
      <c r="E4" s="45" t="s">
        <v>69</v>
      </c>
      <c r="F4" s="45" t="s">
        <v>69</v>
      </c>
      <c r="G4" s="45" t="s">
        <v>69</v>
      </c>
      <c r="H4" s="45" t="s">
        <v>69</v>
      </c>
      <c r="I4" s="45" t="s">
        <v>69</v>
      </c>
      <c r="J4" s="45" t="s">
        <v>69</v>
      </c>
      <c r="K4" s="45" t="s">
        <v>69</v>
      </c>
      <c r="L4" s="45" t="s">
        <v>69</v>
      </c>
      <c r="M4" s="45" t="s">
        <v>69</v>
      </c>
      <c r="N4" s="45" t="s">
        <v>69</v>
      </c>
      <c r="O4" s="45" t="s">
        <v>69</v>
      </c>
      <c r="P4" s="45" t="s">
        <v>69</v>
      </c>
      <c r="Q4" s="45" t="s">
        <v>69</v>
      </c>
      <c r="R4" s="45" t="s">
        <v>69</v>
      </c>
      <c r="S4" s="46" t="s">
        <v>442</v>
      </c>
      <c r="T4" s="46" t="s">
        <v>442</v>
      </c>
      <c r="U4" s="46" t="s">
        <v>442</v>
      </c>
      <c r="V4" s="46" t="s">
        <v>442</v>
      </c>
      <c r="W4" s="46" t="s">
        <v>442</v>
      </c>
      <c r="X4" s="46" t="s">
        <v>442</v>
      </c>
    </row>
    <row r="5" customFormat="false" ht="30" hidden="false" customHeight="true" outlineLevel="0" collapsed="false">
      <c r="A5" s="47" t="s">
        <v>1454</v>
      </c>
      <c r="B5" s="47" t="s">
        <v>443</v>
      </c>
      <c r="C5" s="47"/>
      <c r="D5" s="47" t="s">
        <v>1334</v>
      </c>
      <c r="E5" s="47" t="s">
        <v>1340</v>
      </c>
      <c r="F5" s="47" t="s">
        <v>1455</v>
      </c>
      <c r="G5" s="47"/>
      <c r="H5" s="47"/>
      <c r="I5" s="47"/>
      <c r="J5" s="47" t="s">
        <v>1145</v>
      </c>
      <c r="K5" s="47" t="s">
        <v>1456</v>
      </c>
      <c r="L5" s="47"/>
      <c r="M5" s="47"/>
      <c r="N5" s="47" t="s">
        <v>1457</v>
      </c>
      <c r="O5" s="47"/>
      <c r="P5" s="47" t="s">
        <v>1458</v>
      </c>
      <c r="Q5" s="47" t="s">
        <v>601</v>
      </c>
      <c r="R5" s="47"/>
      <c r="S5" s="47"/>
      <c r="T5" s="47"/>
      <c r="U5" s="47"/>
      <c r="V5" s="47"/>
      <c r="W5" s="47"/>
      <c r="X5" s="47"/>
    </row>
    <row r="6" customFormat="false" ht="48" hidden="false" customHeight="true" outlineLevel="0" collapsed="false">
      <c r="A6" s="48" t="s">
        <v>1459</v>
      </c>
      <c r="B6" s="48" t="s">
        <v>456</v>
      </c>
      <c r="C6" s="57" t="s">
        <v>538</v>
      </c>
      <c r="D6" s="48" t="s">
        <v>1344</v>
      </c>
      <c r="E6" s="48" t="s">
        <v>1460</v>
      </c>
      <c r="F6" s="48" t="s">
        <v>1461</v>
      </c>
      <c r="G6" s="48" t="s">
        <v>1462</v>
      </c>
      <c r="H6" s="48" t="s">
        <v>1463</v>
      </c>
      <c r="I6" s="48" t="s">
        <v>1464</v>
      </c>
      <c r="J6" s="48" t="s">
        <v>1465</v>
      </c>
      <c r="K6" s="48" t="s">
        <v>1466</v>
      </c>
      <c r="L6" s="48" t="s">
        <v>1467</v>
      </c>
      <c r="M6" s="48" t="s">
        <v>1468</v>
      </c>
      <c r="N6" s="48" t="s">
        <v>1469</v>
      </c>
      <c r="O6" s="48" t="s">
        <v>1470</v>
      </c>
      <c r="P6" s="48" t="s">
        <v>1471</v>
      </c>
      <c r="Q6" s="48" t="s">
        <v>1472</v>
      </c>
      <c r="R6" s="48" t="s">
        <v>469</v>
      </c>
      <c r="S6" s="49" t="s">
        <v>1473</v>
      </c>
      <c r="T6" s="49" t="s">
        <v>1474</v>
      </c>
      <c r="U6" s="49" t="s">
        <v>1416</v>
      </c>
      <c r="V6" s="49" t="s">
        <v>1475</v>
      </c>
      <c r="W6" s="49" t="s">
        <v>560</v>
      </c>
      <c r="X6" s="49" t="s">
        <v>632</v>
      </c>
    </row>
    <row r="7" customFormat="false" ht="23.85" hidden="false" customHeight="false" outlineLevel="0" collapsed="false">
      <c r="A7" s="50" t="s">
        <v>1476</v>
      </c>
      <c r="B7" s="50" t="s">
        <v>479</v>
      </c>
      <c r="C7" s="59" t="str">
        <f aca="false">IF(B7="","",IFERROR(INDEX(INV_NAME,MATCH(B7,INV_ID,0)),"CHECK: Supplier ID not found"))</f>
        <v>Northwind Cloud Hosting Ltd</v>
      </c>
      <c r="D7" s="50" t="s">
        <v>643</v>
      </c>
      <c r="E7" s="50" t="s">
        <v>1361</v>
      </c>
      <c r="F7" s="50" t="s">
        <v>296</v>
      </c>
      <c r="G7" s="34" t="s">
        <v>1477</v>
      </c>
      <c r="H7" s="34" t="s">
        <v>1478</v>
      </c>
      <c r="I7" s="34" t="s">
        <v>1170</v>
      </c>
      <c r="J7" s="51" t="n">
        <v>46310</v>
      </c>
      <c r="K7" s="34" t="s">
        <v>297</v>
      </c>
      <c r="L7" s="34" t="s">
        <v>1479</v>
      </c>
      <c r="M7" s="34" t="s">
        <v>1480</v>
      </c>
      <c r="N7" s="34" t="s">
        <v>298</v>
      </c>
      <c r="O7" s="51"/>
      <c r="P7" s="50" t="s">
        <v>299</v>
      </c>
      <c r="Q7" s="34"/>
      <c r="R7" s="34" t="s">
        <v>1481</v>
      </c>
      <c r="S7" s="54" t="str">
        <f aca="false">IF(A7="","",IF(K7="Cancelled","Cancelled",IF(K7="Delivered (self-reported)",IF(N7="Verified","Closed - verified","Delivered - verification pending"),IF(K7="","Not started",K7))))</f>
        <v>In progress</v>
      </c>
      <c r="T7" s="52" t="str">
        <f aca="false">IF(A7="","",IF(OR(S7="Cancelled",S7="Closed - verified"),"Closed","Open"))</f>
        <v>Open</v>
      </c>
      <c r="U7" s="61" t="str">
        <f aca="false">IF(A7="","",IF(AND(T7="Open",ISNUMBER(J7),J7&lt;AsOf),"Overdue",""))</f>
        <v>Overdue</v>
      </c>
      <c r="V7" s="54" t="str">
        <f aca="false">IF(A7="","",IF(F7="Accept",IF(Q7="","CHECK: decision record required - not recorded",IF(COUNTIF(DEC_ID,Q7)=0,"CHECK: Decision ID not found","Decision referenced")),""))</f>
        <v/>
      </c>
      <c r="W7" s="54" t="str">
        <f aca="false">IF(A7="","",IF(COUNTIF(TRT_ID,A7)&gt;1,"CHECK: duplicate ID",IF(B7="","CHECK: Supplier ID missing",IF(COUNTIF(INV_ID,B7)=0,"CHECK: Supplier ID not in inventory",IF(AND(D7&lt;&gt;"",COUNTIF(RSK_ID,D7)=0),"CHECK: Risk ID not found",IF(AND(D7&lt;&gt;"",COUNTIF(RSK_ID,D7)&gt;0,IFERROR(INDEX(RSK_SUP,MATCH(D7,RSK_ID,0)),"")&lt;&gt;B7),"CHECK: Risk belongs to a different supplier",IF(AND(E7&lt;&gt;"",COUNTIF(FND_ID,E7)=0),"CHECK: Finding ID not found",IF(AND(N7="Verified",K7&lt;&gt;"Delivered (self-reported)"),"CHECK: verified but not marked delivered","OK"))))))))</f>
        <v>OK</v>
      </c>
      <c r="X7" s="52" t="str">
        <f aca="false">IF(OR(A7="",B7=""),"",IF(AND(T7="Open",B7=RptSup),B7&amp;"|"&amp;COUNTIFS($B$7:B7,B7,$T$7:T7,"Open"),""))</f>
        <v>SUP-001|1</v>
      </c>
    </row>
    <row r="8" customFormat="false" ht="23.85" hidden="false" customHeight="false" outlineLevel="0" collapsed="false">
      <c r="A8" s="50" t="s">
        <v>1482</v>
      </c>
      <c r="B8" s="50" t="s">
        <v>479</v>
      </c>
      <c r="C8" s="59" t="str">
        <f aca="false">IF(B8="","",IFERROR(INDEX(INV_NAME,MATCH(B8,INV_ID,0)),"CHECK: Supplier ID not found"))</f>
        <v>Northwind Cloud Hosting Ltd</v>
      </c>
      <c r="D8" s="50" t="s">
        <v>633</v>
      </c>
      <c r="E8" s="50" t="s">
        <v>1365</v>
      </c>
      <c r="F8" s="50" t="s">
        <v>296</v>
      </c>
      <c r="G8" s="34" t="s">
        <v>1483</v>
      </c>
      <c r="H8" s="34" t="s">
        <v>1484</v>
      </c>
      <c r="I8" s="34" t="s">
        <v>1170</v>
      </c>
      <c r="J8" s="51" t="n">
        <v>46371</v>
      </c>
      <c r="K8" s="34" t="s">
        <v>297</v>
      </c>
      <c r="L8" s="34" t="s">
        <v>1485</v>
      </c>
      <c r="M8" s="34" t="s">
        <v>1486</v>
      </c>
      <c r="N8" s="34" t="s">
        <v>298</v>
      </c>
      <c r="O8" s="51"/>
      <c r="P8" s="50" t="s">
        <v>262</v>
      </c>
      <c r="Q8" s="34"/>
      <c r="R8" s="34" t="s">
        <v>1487</v>
      </c>
      <c r="S8" s="54" t="str">
        <f aca="false">IF(A8="","",IF(K8="Cancelled","Cancelled",IF(K8="Delivered (self-reported)",IF(N8="Verified","Closed - verified","Delivered - verification pending"),IF(K8="","Not started",K8))))</f>
        <v>In progress</v>
      </c>
      <c r="T8" s="52" t="str">
        <f aca="false">IF(A8="","",IF(OR(S8="Cancelled",S8="Closed - verified"),"Closed","Open"))</f>
        <v>Open</v>
      </c>
      <c r="U8" s="61" t="str">
        <f aca="false">IF(A8="","",IF(AND(T8="Open",ISNUMBER(J8),J8&lt;AsOf),"Overdue",""))</f>
        <v/>
      </c>
      <c r="V8" s="54" t="str">
        <f aca="false">IF(A8="","",IF(F8="Accept",IF(Q8="","CHECK: decision record required - not recorded",IF(COUNTIF(DEC_ID,Q8)=0,"CHECK: Decision ID not found","Decision referenced")),""))</f>
        <v/>
      </c>
      <c r="W8" s="54" t="str">
        <f aca="false">IF(A8="","",IF(COUNTIF(TRT_ID,A8)&gt;1,"CHECK: duplicate ID",IF(B8="","CHECK: Supplier ID missing",IF(COUNTIF(INV_ID,B8)=0,"CHECK: Supplier ID not in inventory",IF(AND(D8&lt;&gt;"",COUNTIF(RSK_ID,D8)=0),"CHECK: Risk ID not found",IF(AND(D8&lt;&gt;"",COUNTIF(RSK_ID,D8)&gt;0,IFERROR(INDEX(RSK_SUP,MATCH(D8,RSK_ID,0)),"")&lt;&gt;B8),"CHECK: Risk belongs to a different supplier",IF(AND(E8&lt;&gt;"",COUNTIF(FND_ID,E8)=0),"CHECK: Finding ID not found",IF(AND(N8="Verified",K8&lt;&gt;"Delivered (self-reported)"),"CHECK: verified but not marked delivered","OK"))))))))</f>
        <v>OK</v>
      </c>
      <c r="X8" s="52" t="str">
        <f aca="false">IF(OR(A8="",B8=""),"",IF(AND(T8="Open",B8=RptSup),B8&amp;"|"&amp;COUNTIFS($B$7:B8,B8,$T$7:T8,"Open"),""))</f>
        <v>SUP-001|2</v>
      </c>
    </row>
    <row r="9" customFormat="false" ht="23.85" hidden="false" customHeight="false" outlineLevel="0" collapsed="false">
      <c r="A9" s="50" t="s">
        <v>1488</v>
      </c>
      <c r="B9" s="50" t="s">
        <v>479</v>
      </c>
      <c r="C9" s="59" t="str">
        <f aca="false">IF(B9="","",IFERROR(INDEX(INV_NAME,MATCH(B9,INV_ID,0)),"CHECK: Supplier ID not found"))</f>
        <v>Northwind Cloud Hosting Ltd</v>
      </c>
      <c r="D9" s="50" t="s">
        <v>633</v>
      </c>
      <c r="E9" s="50"/>
      <c r="F9" s="50" t="s">
        <v>365</v>
      </c>
      <c r="G9" s="34" t="s">
        <v>1489</v>
      </c>
      <c r="H9" s="34" t="s">
        <v>1490</v>
      </c>
      <c r="I9" s="34" t="s">
        <v>1491</v>
      </c>
      <c r="J9" s="51" t="n">
        <v>46305</v>
      </c>
      <c r="K9" s="34" t="s">
        <v>366</v>
      </c>
      <c r="L9" s="34" t="s">
        <v>1492</v>
      </c>
      <c r="M9" s="34" t="s">
        <v>1493</v>
      </c>
      <c r="N9" s="34" t="s">
        <v>251</v>
      </c>
      <c r="O9" s="51" t="n">
        <v>46300</v>
      </c>
      <c r="P9" s="50" t="s">
        <v>262</v>
      </c>
      <c r="Q9" s="34" t="s">
        <v>642</v>
      </c>
      <c r="R9" s="34" t="s">
        <v>1494</v>
      </c>
      <c r="S9" s="54" t="str">
        <f aca="false">IF(A9="","",IF(K9="Cancelled","Cancelled",IF(K9="Delivered (self-reported)",IF(N9="Verified","Closed - verified","Delivered - verification pending"),IF(K9="","Not started",K9))))</f>
        <v>Closed - verified</v>
      </c>
      <c r="T9" s="52" t="str">
        <f aca="false">IF(A9="","",IF(OR(S9="Cancelled",S9="Closed - verified"),"Closed","Open"))</f>
        <v>Closed</v>
      </c>
      <c r="U9" s="61" t="str">
        <f aca="false">IF(A9="","",IF(AND(T9="Open",ISNUMBER(J9),J9&lt;AsOf),"Overdue",""))</f>
        <v/>
      </c>
      <c r="V9" s="54" t="str">
        <f aca="false">IF(A9="","",IF(F9="Accept",IF(Q9="","CHECK: decision record required - not recorded",IF(COUNTIF(DEC_ID,Q9)=0,"CHECK: Decision ID not found","Decision referenced")),""))</f>
        <v>Decision referenced</v>
      </c>
      <c r="W9" s="54" t="str">
        <f aca="false">IF(A9="","",IF(COUNTIF(TRT_ID,A9)&gt;1,"CHECK: duplicate ID",IF(B9="","CHECK: Supplier ID missing",IF(COUNTIF(INV_ID,B9)=0,"CHECK: Supplier ID not in inventory",IF(AND(D9&lt;&gt;"",COUNTIF(RSK_ID,D9)=0),"CHECK: Risk ID not found",IF(AND(D9&lt;&gt;"",COUNTIF(RSK_ID,D9)&gt;0,IFERROR(INDEX(RSK_SUP,MATCH(D9,RSK_ID,0)),"")&lt;&gt;B9),"CHECK: Risk belongs to a different supplier",IF(AND(E9&lt;&gt;"",COUNTIF(FND_ID,E9)=0),"CHECK: Finding ID not found",IF(AND(N9="Verified",K9&lt;&gt;"Delivered (self-reported)"),"CHECK: verified but not marked delivered","OK"))))))))</f>
        <v>OK</v>
      </c>
      <c r="X9" s="52" t="str">
        <f aca="false">IF(OR(A9="",B9=""),"",IF(AND(T9="Open",B9=RptSup),B9&amp;"|"&amp;COUNTIFS($B$7:B9,B9,$T$7:T9,"Open"),""))</f>
        <v/>
      </c>
    </row>
    <row r="10" customFormat="false" ht="23.85" hidden="false" customHeight="false" outlineLevel="0" collapsed="false">
      <c r="A10" s="50" t="s">
        <v>1495</v>
      </c>
      <c r="B10" s="50" t="s">
        <v>489</v>
      </c>
      <c r="C10" s="59" t="str">
        <f aca="false">IF(B10="","",IFERROR(INDEX(INV_NAME,MATCH(B10,INV_ID,0)),"CHECK: Supplier ID not found"))</f>
        <v>SupportLoop Ltd</v>
      </c>
      <c r="D10" s="50" t="s">
        <v>661</v>
      </c>
      <c r="E10" s="50" t="s">
        <v>1374</v>
      </c>
      <c r="F10" s="50" t="s">
        <v>296</v>
      </c>
      <c r="G10" s="34" t="s">
        <v>1496</v>
      </c>
      <c r="H10" s="34" t="s">
        <v>1497</v>
      </c>
      <c r="I10" s="34" t="s">
        <v>1206</v>
      </c>
      <c r="J10" s="51" t="n">
        <v>46315</v>
      </c>
      <c r="K10" s="34" t="s">
        <v>366</v>
      </c>
      <c r="L10" s="34" t="s">
        <v>1498</v>
      </c>
      <c r="M10" s="34" t="s">
        <v>1499</v>
      </c>
      <c r="N10" s="34" t="s">
        <v>298</v>
      </c>
      <c r="O10" s="51" t="n">
        <v>46314</v>
      </c>
      <c r="P10" s="50" t="s">
        <v>262</v>
      </c>
      <c r="Q10" s="34"/>
      <c r="R10" s="34" t="s">
        <v>1500</v>
      </c>
      <c r="S10" s="54" t="str">
        <f aca="false">IF(A10="","",IF(K10="Cancelled","Cancelled",IF(K10="Delivered (self-reported)",IF(N10="Verified","Closed - verified","Delivered - verification pending"),IF(K10="","Not started",K10))))</f>
        <v>Delivered - verification pending</v>
      </c>
      <c r="T10" s="52" t="str">
        <f aca="false">IF(A10="","",IF(OR(S10="Cancelled",S10="Closed - verified"),"Closed","Open"))</f>
        <v>Open</v>
      </c>
      <c r="U10" s="61" t="str">
        <f aca="false">IF(A10="","",IF(AND(T10="Open",ISNUMBER(J10),J10&lt;AsOf),"Overdue",""))</f>
        <v>Overdue</v>
      </c>
      <c r="V10" s="54" t="str">
        <f aca="false">IF(A10="","",IF(F10="Accept",IF(Q10="","CHECK: decision record required - not recorded",IF(COUNTIF(DEC_ID,Q10)=0,"CHECK: Decision ID not found","Decision referenced")),""))</f>
        <v/>
      </c>
      <c r="W10" s="54" t="str">
        <f aca="false">IF(A10="","",IF(COUNTIF(TRT_ID,A10)&gt;1,"CHECK: duplicate ID",IF(B10="","CHECK: Supplier ID missing",IF(COUNTIF(INV_ID,B10)=0,"CHECK: Supplier ID not in inventory",IF(AND(D10&lt;&gt;"",COUNTIF(RSK_ID,D10)=0),"CHECK: Risk ID not found",IF(AND(D10&lt;&gt;"",COUNTIF(RSK_ID,D10)&gt;0,IFERROR(INDEX(RSK_SUP,MATCH(D10,RSK_ID,0)),"")&lt;&gt;B10),"CHECK: Risk belongs to a different supplier",IF(AND(E10&lt;&gt;"",COUNTIF(FND_ID,E10)=0),"CHECK: Finding ID not found",IF(AND(N10="Verified",K10&lt;&gt;"Delivered (self-reported)"),"CHECK: verified but not marked delivered","OK"))))))))</f>
        <v>OK</v>
      </c>
      <c r="X10" s="52" t="str">
        <f aca="false">IF(OR(A10="",B10=""),"",IF(AND(T10="Open",B10=RptSup),B10&amp;"|"&amp;COUNTIFS($B$7:B10,B10,$T$7:T10,"Open"),""))</f>
        <v/>
      </c>
    </row>
    <row r="11" customFormat="false" ht="23.85" hidden="false" customHeight="false" outlineLevel="0" collapsed="false">
      <c r="A11" s="50" t="s">
        <v>1501</v>
      </c>
      <c r="B11" s="50" t="s">
        <v>506</v>
      </c>
      <c r="C11" s="59" t="str">
        <f aca="false">IF(B11="","",IFERROR(INDEX(INV_NAME,MATCH(B11,INV_ID,0)),"CHECK: Supplier ID not found"))</f>
        <v>Cleanwell Facilities Ltd</v>
      </c>
      <c r="D11" s="50" t="s">
        <v>693</v>
      </c>
      <c r="E11" s="50" t="s">
        <v>1387</v>
      </c>
      <c r="F11" s="50" t="s">
        <v>296</v>
      </c>
      <c r="G11" s="34" t="s">
        <v>1502</v>
      </c>
      <c r="H11" s="34" t="s">
        <v>1503</v>
      </c>
      <c r="I11" s="34" t="s">
        <v>1224</v>
      </c>
      <c r="J11" s="51" t="n">
        <v>46356</v>
      </c>
      <c r="K11" s="34" t="s">
        <v>249</v>
      </c>
      <c r="L11" s="34" t="s">
        <v>1504</v>
      </c>
      <c r="M11" s="34" t="s">
        <v>1505</v>
      </c>
      <c r="N11" s="34" t="s">
        <v>261</v>
      </c>
      <c r="O11" s="51"/>
      <c r="P11" s="50" t="s">
        <v>262</v>
      </c>
      <c r="Q11" s="34"/>
      <c r="R11" s="34"/>
      <c r="S11" s="54" t="str">
        <f aca="false">IF(A11="","",IF(K11="Cancelled","Cancelled",IF(K11="Delivered (self-reported)",IF(N11="Verified","Closed - verified","Delivered - verification pending"),IF(K11="","Not started",K11))))</f>
        <v>Not started</v>
      </c>
      <c r="T11" s="52" t="str">
        <f aca="false">IF(A11="","",IF(OR(S11="Cancelled",S11="Closed - verified"),"Closed","Open"))</f>
        <v>Open</v>
      </c>
      <c r="U11" s="61" t="str">
        <f aca="false">IF(A11="","",IF(AND(T11="Open",ISNUMBER(J11),J11&lt;AsOf),"Overdue",""))</f>
        <v/>
      </c>
      <c r="V11" s="54" t="str">
        <f aca="false">IF(A11="","",IF(F11="Accept",IF(Q11="","CHECK: decision record required - not recorded",IF(COUNTIF(DEC_ID,Q11)=0,"CHECK: Decision ID not found","Decision referenced")),""))</f>
        <v/>
      </c>
      <c r="W11" s="54" t="str">
        <f aca="false">IF(A11="","",IF(COUNTIF(TRT_ID,A11)&gt;1,"CHECK: duplicate ID",IF(B11="","CHECK: Supplier ID missing",IF(COUNTIF(INV_ID,B11)=0,"CHECK: Supplier ID not in inventory",IF(AND(D11&lt;&gt;"",COUNTIF(RSK_ID,D11)=0),"CHECK: Risk ID not found",IF(AND(D11&lt;&gt;"",COUNTIF(RSK_ID,D11)&gt;0,IFERROR(INDEX(RSK_SUP,MATCH(D11,RSK_ID,0)),"")&lt;&gt;B11),"CHECK: Risk belongs to a different supplier",IF(AND(E11&lt;&gt;"",COUNTIF(FND_ID,E11)=0),"CHECK: Finding ID not found",IF(AND(N11="Verified",K11&lt;&gt;"Delivered (self-reported)"),"CHECK: verified but not marked delivered","OK"))))))))</f>
        <v>OK</v>
      </c>
      <c r="X11" s="52" t="str">
        <f aca="false">IF(OR(A11="",B11=""),"",IF(AND(T11="Open",B11=RptSup),B11&amp;"|"&amp;COUNTIFS($B$7:B11,B11,$T$7:T11,"Open"),""))</f>
        <v/>
      </c>
    </row>
    <row r="12" customFormat="false" ht="23.85" hidden="false" customHeight="false" outlineLevel="0" collapsed="false">
      <c r="A12" s="50" t="s">
        <v>1506</v>
      </c>
      <c r="B12" s="50" t="s">
        <v>515</v>
      </c>
      <c r="C12" s="59" t="str">
        <f aca="false">IF(B12="","",IFERROR(INDEX(INV_NAME,MATCH(B12,INV_ID,0)),"CHECK: Supplier ID not found"))</f>
        <v>Datavault Backup Services Ltd</v>
      </c>
      <c r="D12" s="50" t="s">
        <v>702</v>
      </c>
      <c r="E12" s="50" t="s">
        <v>1391</v>
      </c>
      <c r="F12" s="50" t="s">
        <v>296</v>
      </c>
      <c r="G12" s="34" t="s">
        <v>1507</v>
      </c>
      <c r="H12" s="34" t="s">
        <v>1508</v>
      </c>
      <c r="I12" s="34" t="s">
        <v>1230</v>
      </c>
      <c r="J12" s="51" t="n">
        <v>46387</v>
      </c>
      <c r="K12" s="34" t="s">
        <v>297</v>
      </c>
      <c r="L12" s="34" t="s">
        <v>1509</v>
      </c>
      <c r="M12" s="34" t="s">
        <v>1510</v>
      </c>
      <c r="N12" s="34" t="s">
        <v>261</v>
      </c>
      <c r="O12" s="51"/>
      <c r="P12" s="50" t="s">
        <v>262</v>
      </c>
      <c r="Q12" s="34"/>
      <c r="R12" s="34"/>
      <c r="S12" s="54" t="str">
        <f aca="false">IF(A12="","",IF(K12="Cancelled","Cancelled",IF(K12="Delivered (self-reported)",IF(N12="Verified","Closed - verified","Delivered - verification pending"),IF(K12="","Not started",K12))))</f>
        <v>In progress</v>
      </c>
      <c r="T12" s="52" t="str">
        <f aca="false">IF(A12="","",IF(OR(S12="Cancelled",S12="Closed - verified"),"Closed","Open"))</f>
        <v>Open</v>
      </c>
      <c r="U12" s="61" t="str">
        <f aca="false">IF(A12="","",IF(AND(T12="Open",ISNUMBER(J12),J12&lt;AsOf),"Overdue",""))</f>
        <v/>
      </c>
      <c r="V12" s="54" t="str">
        <f aca="false">IF(A12="","",IF(F12="Accept",IF(Q12="","CHECK: decision record required - not recorded",IF(COUNTIF(DEC_ID,Q12)=0,"CHECK: Decision ID not found","Decision referenced")),""))</f>
        <v/>
      </c>
      <c r="W12" s="54" t="str">
        <f aca="false">IF(A12="","",IF(COUNTIF(TRT_ID,A12)&gt;1,"CHECK: duplicate ID",IF(B12="","CHECK: Supplier ID missing",IF(COUNTIF(INV_ID,B12)=0,"CHECK: Supplier ID not in inventory",IF(AND(D12&lt;&gt;"",COUNTIF(RSK_ID,D12)=0),"CHECK: Risk ID not found",IF(AND(D12&lt;&gt;"",COUNTIF(RSK_ID,D12)&gt;0,IFERROR(INDEX(RSK_SUP,MATCH(D12,RSK_ID,0)),"")&lt;&gt;B12),"CHECK: Risk belongs to a different supplier",IF(AND(E12&lt;&gt;"",COUNTIF(FND_ID,E12)=0),"CHECK: Finding ID not found",IF(AND(N12="Verified",K12&lt;&gt;"Delivered (self-reported)"),"CHECK: verified but not marked delivered","OK"))))))))</f>
        <v>OK</v>
      </c>
      <c r="X12" s="52" t="str">
        <f aca="false">IF(OR(A12="",B12=""),"",IF(AND(T12="Open",B12=RptSup),B12&amp;"|"&amp;COUNTIFS($B$7:B12,B12,$T$7:T12,"Open"),""))</f>
        <v/>
      </c>
    </row>
    <row r="13" customFormat="false" ht="23.85" hidden="false" customHeight="false" outlineLevel="0" collapsed="false">
      <c r="A13" s="50" t="s">
        <v>1511</v>
      </c>
      <c r="B13" s="50" t="s">
        <v>489</v>
      </c>
      <c r="C13" s="59" t="str">
        <f aca="false">IF(B13="","",IFERROR(INDEX(INV_NAME,MATCH(B13,INV_ID,0)),"CHECK: Supplier ID not found"))</f>
        <v>SupportLoop Ltd</v>
      </c>
      <c r="D13" s="50" t="s">
        <v>670</v>
      </c>
      <c r="E13" s="50" t="s">
        <v>1378</v>
      </c>
      <c r="F13" s="50" t="s">
        <v>296</v>
      </c>
      <c r="G13" s="34" t="s">
        <v>1512</v>
      </c>
      <c r="H13" s="34" t="s">
        <v>1513</v>
      </c>
      <c r="I13" s="34" t="s">
        <v>1206</v>
      </c>
      <c r="J13" s="51" t="n">
        <v>46346</v>
      </c>
      <c r="K13" s="34" t="s">
        <v>297</v>
      </c>
      <c r="L13" s="34" t="s">
        <v>1514</v>
      </c>
      <c r="M13" s="34" t="s">
        <v>1515</v>
      </c>
      <c r="N13" s="34" t="s">
        <v>298</v>
      </c>
      <c r="O13" s="51"/>
      <c r="P13" s="50" t="s">
        <v>262</v>
      </c>
      <c r="Q13" s="34"/>
      <c r="R13" s="34"/>
      <c r="S13" s="54" t="str">
        <f aca="false">IF(A13="","",IF(K13="Cancelled","Cancelled",IF(K13="Delivered (self-reported)",IF(N13="Verified","Closed - verified","Delivered - verification pending"),IF(K13="","Not started",K13))))</f>
        <v>In progress</v>
      </c>
      <c r="T13" s="52" t="str">
        <f aca="false">IF(A13="","",IF(OR(S13="Cancelled",S13="Closed - verified"),"Closed","Open"))</f>
        <v>Open</v>
      </c>
      <c r="U13" s="61" t="str">
        <f aca="false">IF(A13="","",IF(AND(T13="Open",ISNUMBER(J13),J13&lt;AsOf),"Overdue",""))</f>
        <v/>
      </c>
      <c r="V13" s="54" t="str">
        <f aca="false">IF(A13="","",IF(F13="Accept",IF(Q13="","CHECK: decision record required - not recorded",IF(COUNTIF(DEC_ID,Q13)=0,"CHECK: Decision ID not found","Decision referenced")),""))</f>
        <v/>
      </c>
      <c r="W13" s="54" t="str">
        <f aca="false">IF(A13="","",IF(COUNTIF(TRT_ID,A13)&gt;1,"CHECK: duplicate ID",IF(B13="","CHECK: Supplier ID missing",IF(COUNTIF(INV_ID,B13)=0,"CHECK: Supplier ID not in inventory",IF(AND(D13&lt;&gt;"",COUNTIF(RSK_ID,D13)=0),"CHECK: Risk ID not found",IF(AND(D13&lt;&gt;"",COUNTIF(RSK_ID,D13)&gt;0,IFERROR(INDEX(RSK_SUP,MATCH(D13,RSK_ID,0)),"")&lt;&gt;B13),"CHECK: Risk belongs to a different supplier",IF(AND(E13&lt;&gt;"",COUNTIF(FND_ID,E13)=0),"CHECK: Finding ID not found",IF(AND(N13="Verified",K13&lt;&gt;"Delivered (self-reported)"),"CHECK: verified but not marked delivered","OK"))))))))</f>
        <v>OK</v>
      </c>
      <c r="X13" s="52" t="str">
        <f aca="false">IF(OR(A13="",B13=""),"",IF(AND(T13="Open",B13=RptSup),B13&amp;"|"&amp;COUNTIFS($B$7:B13,B13,$T$7:T13,"Open"),""))</f>
        <v/>
      </c>
    </row>
    <row r="14" customFormat="false" ht="15" hidden="false" customHeight="false" outlineLevel="0" collapsed="false">
      <c r="A14" s="50"/>
      <c r="B14" s="50"/>
      <c r="C14" s="59" t="str">
        <f aca="false">IF(B14="","",IFERROR(INDEX(INV_NAME,MATCH(B14,INV_ID,0)),"CHECK: Supplier ID not found"))</f>
        <v/>
      </c>
      <c r="D14" s="50"/>
      <c r="E14" s="50"/>
      <c r="F14" s="50"/>
      <c r="G14" s="34"/>
      <c r="H14" s="34"/>
      <c r="I14" s="34"/>
      <c r="J14" s="51"/>
      <c r="K14" s="34"/>
      <c r="L14" s="34"/>
      <c r="M14" s="34"/>
      <c r="N14" s="34"/>
      <c r="O14" s="51"/>
      <c r="P14" s="50"/>
      <c r="Q14" s="34"/>
      <c r="R14" s="34"/>
      <c r="S14" s="54" t="str">
        <f aca="false">IF(A14="","",IF(K14="Cancelled","Cancelled",IF(K14="Delivered (self-reported)",IF(N14="Verified","Closed - verified","Delivered - verification pending"),IF(K14="","Not started",K14))))</f>
        <v/>
      </c>
      <c r="T14" s="52" t="str">
        <f aca="false">IF(A14="","",IF(OR(S14="Cancelled",S14="Closed - verified"),"Closed","Open"))</f>
        <v/>
      </c>
      <c r="U14" s="61" t="str">
        <f aca="false">IF(A14="","",IF(AND(T14="Open",ISNUMBER(J14),J14&lt;AsOf),"Overdue",""))</f>
        <v/>
      </c>
      <c r="V14" s="54" t="str">
        <f aca="false">IF(A14="","",IF(F14="Accept",IF(Q14="","CHECK: decision record required - not recorded",IF(COUNTIF(DEC_ID,Q14)=0,"CHECK: Decision ID not found","Decision referenced")),""))</f>
        <v/>
      </c>
      <c r="W14" s="54" t="str">
        <f aca="false">IF(A14="","",IF(COUNTIF(TRT_ID,A14)&gt;1,"CHECK: duplicate ID",IF(B14="","CHECK: Supplier ID missing",IF(COUNTIF(INV_ID,B14)=0,"CHECK: Supplier ID not in inventory",IF(AND(D14&lt;&gt;"",COUNTIF(RSK_ID,D14)=0),"CHECK: Risk ID not found",IF(AND(D14&lt;&gt;"",COUNTIF(RSK_ID,D14)&gt;0,IFERROR(INDEX(RSK_SUP,MATCH(D14,RSK_ID,0)),"")&lt;&gt;B14),"CHECK: Risk belongs to a different supplier",IF(AND(E14&lt;&gt;"",COUNTIF(FND_ID,E14)=0),"CHECK: Finding ID not found",IF(AND(N14="Verified",K14&lt;&gt;"Delivered (self-reported)"),"CHECK: verified but not marked delivered","OK"))))))))</f>
        <v/>
      </c>
      <c r="X14" s="52" t="str">
        <f aca="false">IF(OR(A14="",B14=""),"",IF(AND(T14="Open",B14=RptSup),B14&amp;"|"&amp;COUNTIFS($B$7:B14,B14,$T$7:T14,"Open"),""))</f>
        <v/>
      </c>
    </row>
    <row r="15" customFormat="false" ht="15" hidden="false" customHeight="false" outlineLevel="0" collapsed="false">
      <c r="A15" s="50"/>
      <c r="B15" s="50"/>
      <c r="C15" s="59" t="str">
        <f aca="false">IF(B15="","",IFERROR(INDEX(INV_NAME,MATCH(B15,INV_ID,0)),"CHECK: Supplier ID not found"))</f>
        <v/>
      </c>
      <c r="D15" s="50"/>
      <c r="E15" s="50"/>
      <c r="F15" s="50"/>
      <c r="G15" s="34"/>
      <c r="H15" s="34"/>
      <c r="I15" s="34"/>
      <c r="J15" s="51"/>
      <c r="K15" s="34"/>
      <c r="L15" s="34"/>
      <c r="M15" s="34"/>
      <c r="N15" s="34"/>
      <c r="O15" s="51"/>
      <c r="P15" s="50"/>
      <c r="Q15" s="34"/>
      <c r="R15" s="34"/>
      <c r="S15" s="54" t="str">
        <f aca="false">IF(A15="","",IF(K15="Cancelled","Cancelled",IF(K15="Delivered (self-reported)",IF(N15="Verified","Closed - verified","Delivered - verification pending"),IF(K15="","Not started",K15))))</f>
        <v/>
      </c>
      <c r="T15" s="52" t="str">
        <f aca="false">IF(A15="","",IF(OR(S15="Cancelled",S15="Closed - verified"),"Closed","Open"))</f>
        <v/>
      </c>
      <c r="U15" s="61" t="str">
        <f aca="false">IF(A15="","",IF(AND(T15="Open",ISNUMBER(J15),J15&lt;AsOf),"Overdue",""))</f>
        <v/>
      </c>
      <c r="V15" s="54" t="str">
        <f aca="false">IF(A15="","",IF(F15="Accept",IF(Q15="","CHECK: decision record required - not recorded",IF(COUNTIF(DEC_ID,Q15)=0,"CHECK: Decision ID not found","Decision referenced")),""))</f>
        <v/>
      </c>
      <c r="W15" s="54" t="str">
        <f aca="false">IF(A15="","",IF(COUNTIF(TRT_ID,A15)&gt;1,"CHECK: duplicate ID",IF(B15="","CHECK: Supplier ID missing",IF(COUNTIF(INV_ID,B15)=0,"CHECK: Supplier ID not in inventory",IF(AND(D15&lt;&gt;"",COUNTIF(RSK_ID,D15)=0),"CHECK: Risk ID not found",IF(AND(D15&lt;&gt;"",COUNTIF(RSK_ID,D15)&gt;0,IFERROR(INDEX(RSK_SUP,MATCH(D15,RSK_ID,0)),"")&lt;&gt;B15),"CHECK: Risk belongs to a different supplier",IF(AND(E15&lt;&gt;"",COUNTIF(FND_ID,E15)=0),"CHECK: Finding ID not found",IF(AND(N15="Verified",K15&lt;&gt;"Delivered (self-reported)"),"CHECK: verified but not marked delivered","OK"))))))))</f>
        <v/>
      </c>
      <c r="X15" s="52" t="str">
        <f aca="false">IF(OR(A15="",B15=""),"",IF(AND(T15="Open",B15=RptSup),B15&amp;"|"&amp;COUNTIFS($B$7:B15,B15,$T$7:T15,"Open"),""))</f>
        <v/>
      </c>
    </row>
    <row r="16" customFormat="false" ht="15" hidden="false" customHeight="false" outlineLevel="0" collapsed="false">
      <c r="A16" s="50"/>
      <c r="B16" s="50"/>
      <c r="C16" s="59" t="str">
        <f aca="false">IF(B16="","",IFERROR(INDEX(INV_NAME,MATCH(B16,INV_ID,0)),"CHECK: Supplier ID not found"))</f>
        <v/>
      </c>
      <c r="D16" s="50"/>
      <c r="E16" s="50"/>
      <c r="F16" s="50"/>
      <c r="G16" s="34"/>
      <c r="H16" s="34"/>
      <c r="I16" s="34"/>
      <c r="J16" s="51"/>
      <c r="K16" s="34"/>
      <c r="L16" s="34"/>
      <c r="M16" s="34"/>
      <c r="N16" s="34"/>
      <c r="O16" s="51"/>
      <c r="P16" s="50"/>
      <c r="Q16" s="34"/>
      <c r="R16" s="34"/>
      <c r="S16" s="54" t="str">
        <f aca="false">IF(A16="","",IF(K16="Cancelled","Cancelled",IF(K16="Delivered (self-reported)",IF(N16="Verified","Closed - verified","Delivered - verification pending"),IF(K16="","Not started",K16))))</f>
        <v/>
      </c>
      <c r="T16" s="52" t="str">
        <f aca="false">IF(A16="","",IF(OR(S16="Cancelled",S16="Closed - verified"),"Closed","Open"))</f>
        <v/>
      </c>
      <c r="U16" s="61" t="str">
        <f aca="false">IF(A16="","",IF(AND(T16="Open",ISNUMBER(J16),J16&lt;AsOf),"Overdue",""))</f>
        <v/>
      </c>
      <c r="V16" s="54" t="str">
        <f aca="false">IF(A16="","",IF(F16="Accept",IF(Q16="","CHECK: decision record required - not recorded",IF(COUNTIF(DEC_ID,Q16)=0,"CHECK: Decision ID not found","Decision referenced")),""))</f>
        <v/>
      </c>
      <c r="W16" s="54" t="str">
        <f aca="false">IF(A16="","",IF(COUNTIF(TRT_ID,A16)&gt;1,"CHECK: duplicate ID",IF(B16="","CHECK: Supplier ID missing",IF(COUNTIF(INV_ID,B16)=0,"CHECK: Supplier ID not in inventory",IF(AND(D16&lt;&gt;"",COUNTIF(RSK_ID,D16)=0),"CHECK: Risk ID not found",IF(AND(D16&lt;&gt;"",COUNTIF(RSK_ID,D16)&gt;0,IFERROR(INDEX(RSK_SUP,MATCH(D16,RSK_ID,0)),"")&lt;&gt;B16),"CHECK: Risk belongs to a different supplier",IF(AND(E16&lt;&gt;"",COUNTIF(FND_ID,E16)=0),"CHECK: Finding ID not found",IF(AND(N16="Verified",K16&lt;&gt;"Delivered (self-reported)"),"CHECK: verified but not marked delivered","OK"))))))))</f>
        <v/>
      </c>
      <c r="X16" s="52" t="str">
        <f aca="false">IF(OR(A16="",B16=""),"",IF(AND(T16="Open",B16=RptSup),B16&amp;"|"&amp;COUNTIFS($B$7:B16,B16,$T$7:T16,"Open"),""))</f>
        <v/>
      </c>
    </row>
    <row r="17" customFormat="false" ht="15" hidden="false" customHeight="false" outlineLevel="0" collapsed="false">
      <c r="A17" s="50"/>
      <c r="B17" s="50"/>
      <c r="C17" s="59" t="str">
        <f aca="false">IF(B17="","",IFERROR(INDEX(INV_NAME,MATCH(B17,INV_ID,0)),"CHECK: Supplier ID not found"))</f>
        <v/>
      </c>
      <c r="D17" s="50"/>
      <c r="E17" s="50"/>
      <c r="F17" s="50"/>
      <c r="G17" s="34"/>
      <c r="H17" s="34"/>
      <c r="I17" s="34"/>
      <c r="J17" s="51"/>
      <c r="K17" s="34"/>
      <c r="L17" s="34"/>
      <c r="M17" s="34"/>
      <c r="N17" s="34"/>
      <c r="O17" s="51"/>
      <c r="P17" s="50"/>
      <c r="Q17" s="34"/>
      <c r="R17" s="34"/>
      <c r="S17" s="54" t="str">
        <f aca="false">IF(A17="","",IF(K17="Cancelled","Cancelled",IF(K17="Delivered (self-reported)",IF(N17="Verified","Closed - verified","Delivered - verification pending"),IF(K17="","Not started",K17))))</f>
        <v/>
      </c>
      <c r="T17" s="52" t="str">
        <f aca="false">IF(A17="","",IF(OR(S17="Cancelled",S17="Closed - verified"),"Closed","Open"))</f>
        <v/>
      </c>
      <c r="U17" s="61" t="str">
        <f aca="false">IF(A17="","",IF(AND(T17="Open",ISNUMBER(J17),J17&lt;AsOf),"Overdue",""))</f>
        <v/>
      </c>
      <c r="V17" s="54" t="str">
        <f aca="false">IF(A17="","",IF(F17="Accept",IF(Q17="","CHECK: decision record required - not recorded",IF(COUNTIF(DEC_ID,Q17)=0,"CHECK: Decision ID not found","Decision referenced")),""))</f>
        <v/>
      </c>
      <c r="W17" s="54" t="str">
        <f aca="false">IF(A17="","",IF(COUNTIF(TRT_ID,A17)&gt;1,"CHECK: duplicate ID",IF(B17="","CHECK: Supplier ID missing",IF(COUNTIF(INV_ID,B17)=0,"CHECK: Supplier ID not in inventory",IF(AND(D17&lt;&gt;"",COUNTIF(RSK_ID,D17)=0),"CHECK: Risk ID not found",IF(AND(D17&lt;&gt;"",COUNTIF(RSK_ID,D17)&gt;0,IFERROR(INDEX(RSK_SUP,MATCH(D17,RSK_ID,0)),"")&lt;&gt;B17),"CHECK: Risk belongs to a different supplier",IF(AND(E17&lt;&gt;"",COUNTIF(FND_ID,E17)=0),"CHECK: Finding ID not found",IF(AND(N17="Verified",K17&lt;&gt;"Delivered (self-reported)"),"CHECK: verified but not marked delivered","OK"))))))))</f>
        <v/>
      </c>
      <c r="X17" s="52" t="str">
        <f aca="false">IF(OR(A17="",B17=""),"",IF(AND(T17="Open",B17=RptSup),B17&amp;"|"&amp;COUNTIFS($B$7:B17,B17,$T$7:T17,"Open"),""))</f>
        <v/>
      </c>
    </row>
    <row r="18" customFormat="false" ht="15" hidden="false" customHeight="false" outlineLevel="0" collapsed="false">
      <c r="A18" s="50"/>
      <c r="B18" s="50"/>
      <c r="C18" s="59" t="str">
        <f aca="false">IF(B18="","",IFERROR(INDEX(INV_NAME,MATCH(B18,INV_ID,0)),"CHECK: Supplier ID not found"))</f>
        <v/>
      </c>
      <c r="D18" s="50"/>
      <c r="E18" s="50"/>
      <c r="F18" s="50"/>
      <c r="G18" s="34"/>
      <c r="H18" s="34"/>
      <c r="I18" s="34"/>
      <c r="J18" s="51"/>
      <c r="K18" s="34"/>
      <c r="L18" s="34"/>
      <c r="M18" s="34"/>
      <c r="N18" s="34"/>
      <c r="O18" s="51"/>
      <c r="P18" s="50"/>
      <c r="Q18" s="34"/>
      <c r="R18" s="34"/>
      <c r="S18" s="54" t="str">
        <f aca="false">IF(A18="","",IF(K18="Cancelled","Cancelled",IF(K18="Delivered (self-reported)",IF(N18="Verified","Closed - verified","Delivered - verification pending"),IF(K18="","Not started",K18))))</f>
        <v/>
      </c>
      <c r="T18" s="52" t="str">
        <f aca="false">IF(A18="","",IF(OR(S18="Cancelled",S18="Closed - verified"),"Closed","Open"))</f>
        <v/>
      </c>
      <c r="U18" s="61" t="str">
        <f aca="false">IF(A18="","",IF(AND(T18="Open",ISNUMBER(J18),J18&lt;AsOf),"Overdue",""))</f>
        <v/>
      </c>
      <c r="V18" s="54" t="str">
        <f aca="false">IF(A18="","",IF(F18="Accept",IF(Q18="","CHECK: decision record required - not recorded",IF(COUNTIF(DEC_ID,Q18)=0,"CHECK: Decision ID not found","Decision referenced")),""))</f>
        <v/>
      </c>
      <c r="W18" s="54" t="str">
        <f aca="false">IF(A18="","",IF(COUNTIF(TRT_ID,A18)&gt;1,"CHECK: duplicate ID",IF(B18="","CHECK: Supplier ID missing",IF(COUNTIF(INV_ID,B18)=0,"CHECK: Supplier ID not in inventory",IF(AND(D18&lt;&gt;"",COUNTIF(RSK_ID,D18)=0),"CHECK: Risk ID not found",IF(AND(D18&lt;&gt;"",COUNTIF(RSK_ID,D18)&gt;0,IFERROR(INDEX(RSK_SUP,MATCH(D18,RSK_ID,0)),"")&lt;&gt;B18),"CHECK: Risk belongs to a different supplier",IF(AND(E18&lt;&gt;"",COUNTIF(FND_ID,E18)=0),"CHECK: Finding ID not found",IF(AND(N18="Verified",K18&lt;&gt;"Delivered (self-reported)"),"CHECK: verified but not marked delivered","OK"))))))))</f>
        <v/>
      </c>
      <c r="X18" s="52" t="str">
        <f aca="false">IF(OR(A18="",B18=""),"",IF(AND(T18="Open",B18=RptSup),B18&amp;"|"&amp;COUNTIFS($B$7:B18,B18,$T$7:T18,"Open"),""))</f>
        <v/>
      </c>
    </row>
    <row r="19" customFormat="false" ht="15" hidden="false" customHeight="false" outlineLevel="0" collapsed="false">
      <c r="A19" s="50"/>
      <c r="B19" s="50"/>
      <c r="C19" s="59" t="str">
        <f aca="false">IF(B19="","",IFERROR(INDEX(INV_NAME,MATCH(B19,INV_ID,0)),"CHECK: Supplier ID not found"))</f>
        <v/>
      </c>
      <c r="D19" s="50"/>
      <c r="E19" s="50"/>
      <c r="F19" s="50"/>
      <c r="G19" s="34"/>
      <c r="H19" s="34"/>
      <c r="I19" s="34"/>
      <c r="J19" s="51"/>
      <c r="K19" s="34"/>
      <c r="L19" s="34"/>
      <c r="M19" s="34"/>
      <c r="N19" s="34"/>
      <c r="O19" s="51"/>
      <c r="P19" s="50"/>
      <c r="Q19" s="34"/>
      <c r="R19" s="34"/>
      <c r="S19" s="54" t="str">
        <f aca="false">IF(A19="","",IF(K19="Cancelled","Cancelled",IF(K19="Delivered (self-reported)",IF(N19="Verified","Closed - verified","Delivered - verification pending"),IF(K19="","Not started",K19))))</f>
        <v/>
      </c>
      <c r="T19" s="52" t="str">
        <f aca="false">IF(A19="","",IF(OR(S19="Cancelled",S19="Closed - verified"),"Closed","Open"))</f>
        <v/>
      </c>
      <c r="U19" s="61" t="str">
        <f aca="false">IF(A19="","",IF(AND(T19="Open",ISNUMBER(J19),J19&lt;AsOf),"Overdue",""))</f>
        <v/>
      </c>
      <c r="V19" s="54" t="str">
        <f aca="false">IF(A19="","",IF(F19="Accept",IF(Q19="","CHECK: decision record required - not recorded",IF(COUNTIF(DEC_ID,Q19)=0,"CHECK: Decision ID not found","Decision referenced")),""))</f>
        <v/>
      </c>
      <c r="W19" s="54" t="str">
        <f aca="false">IF(A19="","",IF(COUNTIF(TRT_ID,A19)&gt;1,"CHECK: duplicate ID",IF(B19="","CHECK: Supplier ID missing",IF(COUNTIF(INV_ID,B19)=0,"CHECK: Supplier ID not in inventory",IF(AND(D19&lt;&gt;"",COUNTIF(RSK_ID,D19)=0),"CHECK: Risk ID not found",IF(AND(D19&lt;&gt;"",COUNTIF(RSK_ID,D19)&gt;0,IFERROR(INDEX(RSK_SUP,MATCH(D19,RSK_ID,0)),"")&lt;&gt;B19),"CHECK: Risk belongs to a different supplier",IF(AND(E19&lt;&gt;"",COUNTIF(FND_ID,E19)=0),"CHECK: Finding ID not found",IF(AND(N19="Verified",K19&lt;&gt;"Delivered (self-reported)"),"CHECK: verified but not marked delivered","OK"))))))))</f>
        <v/>
      </c>
      <c r="X19" s="52" t="str">
        <f aca="false">IF(OR(A19="",B19=""),"",IF(AND(T19="Open",B19=RptSup),B19&amp;"|"&amp;COUNTIFS($B$7:B19,B19,$T$7:T19,"Open"),""))</f>
        <v/>
      </c>
    </row>
    <row r="20" customFormat="false" ht="15" hidden="false" customHeight="false" outlineLevel="0" collapsed="false">
      <c r="A20" s="50"/>
      <c r="B20" s="50"/>
      <c r="C20" s="59" t="str">
        <f aca="false">IF(B20="","",IFERROR(INDEX(INV_NAME,MATCH(B20,INV_ID,0)),"CHECK: Supplier ID not found"))</f>
        <v/>
      </c>
      <c r="D20" s="50"/>
      <c r="E20" s="50"/>
      <c r="F20" s="50"/>
      <c r="G20" s="34"/>
      <c r="H20" s="34"/>
      <c r="I20" s="34"/>
      <c r="J20" s="51"/>
      <c r="K20" s="34"/>
      <c r="L20" s="34"/>
      <c r="M20" s="34"/>
      <c r="N20" s="34"/>
      <c r="O20" s="51"/>
      <c r="P20" s="50"/>
      <c r="Q20" s="34"/>
      <c r="R20" s="34"/>
      <c r="S20" s="54" t="str">
        <f aca="false">IF(A20="","",IF(K20="Cancelled","Cancelled",IF(K20="Delivered (self-reported)",IF(N20="Verified","Closed - verified","Delivered - verification pending"),IF(K20="","Not started",K20))))</f>
        <v/>
      </c>
      <c r="T20" s="52" t="str">
        <f aca="false">IF(A20="","",IF(OR(S20="Cancelled",S20="Closed - verified"),"Closed","Open"))</f>
        <v/>
      </c>
      <c r="U20" s="61" t="str">
        <f aca="false">IF(A20="","",IF(AND(T20="Open",ISNUMBER(J20),J20&lt;AsOf),"Overdue",""))</f>
        <v/>
      </c>
      <c r="V20" s="54" t="str">
        <f aca="false">IF(A20="","",IF(F20="Accept",IF(Q20="","CHECK: decision record required - not recorded",IF(COUNTIF(DEC_ID,Q20)=0,"CHECK: Decision ID not found","Decision referenced")),""))</f>
        <v/>
      </c>
      <c r="W20" s="54" t="str">
        <f aca="false">IF(A20="","",IF(COUNTIF(TRT_ID,A20)&gt;1,"CHECK: duplicate ID",IF(B20="","CHECK: Supplier ID missing",IF(COUNTIF(INV_ID,B20)=0,"CHECK: Supplier ID not in inventory",IF(AND(D20&lt;&gt;"",COUNTIF(RSK_ID,D20)=0),"CHECK: Risk ID not found",IF(AND(D20&lt;&gt;"",COUNTIF(RSK_ID,D20)&gt;0,IFERROR(INDEX(RSK_SUP,MATCH(D20,RSK_ID,0)),"")&lt;&gt;B20),"CHECK: Risk belongs to a different supplier",IF(AND(E20&lt;&gt;"",COUNTIF(FND_ID,E20)=0),"CHECK: Finding ID not found",IF(AND(N20="Verified",K20&lt;&gt;"Delivered (self-reported)"),"CHECK: verified but not marked delivered","OK"))))))))</f>
        <v/>
      </c>
      <c r="X20" s="52" t="str">
        <f aca="false">IF(OR(A20="",B20=""),"",IF(AND(T20="Open",B20=RptSup),B20&amp;"|"&amp;COUNTIFS($B$7:B20,B20,$T$7:T20,"Open"),""))</f>
        <v/>
      </c>
    </row>
    <row r="21" customFormat="false" ht="15" hidden="false" customHeight="false" outlineLevel="0" collapsed="false">
      <c r="A21" s="50"/>
      <c r="B21" s="50"/>
      <c r="C21" s="59" t="str">
        <f aca="false">IF(B21="","",IFERROR(INDEX(INV_NAME,MATCH(B21,INV_ID,0)),"CHECK: Supplier ID not found"))</f>
        <v/>
      </c>
      <c r="D21" s="50"/>
      <c r="E21" s="50"/>
      <c r="F21" s="50"/>
      <c r="G21" s="34"/>
      <c r="H21" s="34"/>
      <c r="I21" s="34"/>
      <c r="J21" s="51"/>
      <c r="K21" s="34"/>
      <c r="L21" s="34"/>
      <c r="M21" s="34"/>
      <c r="N21" s="34"/>
      <c r="O21" s="51"/>
      <c r="P21" s="50"/>
      <c r="Q21" s="34"/>
      <c r="R21" s="34"/>
      <c r="S21" s="54" t="str">
        <f aca="false">IF(A21="","",IF(K21="Cancelled","Cancelled",IF(K21="Delivered (self-reported)",IF(N21="Verified","Closed - verified","Delivered - verification pending"),IF(K21="","Not started",K21))))</f>
        <v/>
      </c>
      <c r="T21" s="52" t="str">
        <f aca="false">IF(A21="","",IF(OR(S21="Cancelled",S21="Closed - verified"),"Closed","Open"))</f>
        <v/>
      </c>
      <c r="U21" s="61" t="str">
        <f aca="false">IF(A21="","",IF(AND(T21="Open",ISNUMBER(J21),J21&lt;AsOf),"Overdue",""))</f>
        <v/>
      </c>
      <c r="V21" s="54" t="str">
        <f aca="false">IF(A21="","",IF(F21="Accept",IF(Q21="","CHECK: decision record required - not recorded",IF(COUNTIF(DEC_ID,Q21)=0,"CHECK: Decision ID not found","Decision referenced")),""))</f>
        <v/>
      </c>
      <c r="W21" s="54" t="str">
        <f aca="false">IF(A21="","",IF(COUNTIF(TRT_ID,A21)&gt;1,"CHECK: duplicate ID",IF(B21="","CHECK: Supplier ID missing",IF(COUNTIF(INV_ID,B21)=0,"CHECK: Supplier ID not in inventory",IF(AND(D21&lt;&gt;"",COUNTIF(RSK_ID,D21)=0),"CHECK: Risk ID not found",IF(AND(D21&lt;&gt;"",COUNTIF(RSK_ID,D21)&gt;0,IFERROR(INDEX(RSK_SUP,MATCH(D21,RSK_ID,0)),"")&lt;&gt;B21),"CHECK: Risk belongs to a different supplier",IF(AND(E21&lt;&gt;"",COUNTIF(FND_ID,E21)=0),"CHECK: Finding ID not found",IF(AND(N21="Verified",K21&lt;&gt;"Delivered (self-reported)"),"CHECK: verified but not marked delivered","OK"))))))))</f>
        <v/>
      </c>
      <c r="X21" s="52" t="str">
        <f aca="false">IF(OR(A21="",B21=""),"",IF(AND(T21="Open",B21=RptSup),B21&amp;"|"&amp;COUNTIFS($B$7:B21,B21,$T$7:T21,"Open"),""))</f>
        <v/>
      </c>
    </row>
    <row r="22" customFormat="false" ht="15" hidden="false" customHeight="false" outlineLevel="0" collapsed="false">
      <c r="A22" s="50"/>
      <c r="B22" s="50"/>
      <c r="C22" s="59" t="str">
        <f aca="false">IF(B22="","",IFERROR(INDEX(INV_NAME,MATCH(B22,INV_ID,0)),"CHECK: Supplier ID not found"))</f>
        <v/>
      </c>
      <c r="D22" s="50"/>
      <c r="E22" s="50"/>
      <c r="F22" s="50"/>
      <c r="G22" s="34"/>
      <c r="H22" s="34"/>
      <c r="I22" s="34"/>
      <c r="J22" s="51"/>
      <c r="K22" s="34"/>
      <c r="L22" s="34"/>
      <c r="M22" s="34"/>
      <c r="N22" s="34"/>
      <c r="O22" s="51"/>
      <c r="P22" s="50"/>
      <c r="Q22" s="34"/>
      <c r="R22" s="34"/>
      <c r="S22" s="54" t="str">
        <f aca="false">IF(A22="","",IF(K22="Cancelled","Cancelled",IF(K22="Delivered (self-reported)",IF(N22="Verified","Closed - verified","Delivered - verification pending"),IF(K22="","Not started",K22))))</f>
        <v/>
      </c>
      <c r="T22" s="52" t="str">
        <f aca="false">IF(A22="","",IF(OR(S22="Cancelled",S22="Closed - verified"),"Closed","Open"))</f>
        <v/>
      </c>
      <c r="U22" s="61" t="str">
        <f aca="false">IF(A22="","",IF(AND(T22="Open",ISNUMBER(J22),J22&lt;AsOf),"Overdue",""))</f>
        <v/>
      </c>
      <c r="V22" s="54" t="str">
        <f aca="false">IF(A22="","",IF(F22="Accept",IF(Q22="","CHECK: decision record required - not recorded",IF(COUNTIF(DEC_ID,Q22)=0,"CHECK: Decision ID not found","Decision referenced")),""))</f>
        <v/>
      </c>
      <c r="W22" s="54" t="str">
        <f aca="false">IF(A22="","",IF(COUNTIF(TRT_ID,A22)&gt;1,"CHECK: duplicate ID",IF(B22="","CHECK: Supplier ID missing",IF(COUNTIF(INV_ID,B22)=0,"CHECK: Supplier ID not in inventory",IF(AND(D22&lt;&gt;"",COUNTIF(RSK_ID,D22)=0),"CHECK: Risk ID not found",IF(AND(D22&lt;&gt;"",COUNTIF(RSK_ID,D22)&gt;0,IFERROR(INDEX(RSK_SUP,MATCH(D22,RSK_ID,0)),"")&lt;&gt;B22),"CHECK: Risk belongs to a different supplier",IF(AND(E22&lt;&gt;"",COUNTIF(FND_ID,E22)=0),"CHECK: Finding ID not found",IF(AND(N22="Verified",K22&lt;&gt;"Delivered (self-reported)"),"CHECK: verified but not marked delivered","OK"))))))))</f>
        <v/>
      </c>
      <c r="X22" s="52" t="str">
        <f aca="false">IF(OR(A22="",B22=""),"",IF(AND(T22="Open",B22=RptSup),B22&amp;"|"&amp;COUNTIFS($B$7:B22,B22,$T$7:T22,"Open"),""))</f>
        <v/>
      </c>
    </row>
    <row r="23" customFormat="false" ht="15" hidden="false" customHeight="false" outlineLevel="0" collapsed="false">
      <c r="A23" s="50"/>
      <c r="B23" s="50"/>
      <c r="C23" s="59" t="str">
        <f aca="false">IF(B23="","",IFERROR(INDEX(INV_NAME,MATCH(B23,INV_ID,0)),"CHECK: Supplier ID not found"))</f>
        <v/>
      </c>
      <c r="D23" s="50"/>
      <c r="E23" s="50"/>
      <c r="F23" s="50"/>
      <c r="G23" s="34"/>
      <c r="H23" s="34"/>
      <c r="I23" s="34"/>
      <c r="J23" s="51"/>
      <c r="K23" s="34"/>
      <c r="L23" s="34"/>
      <c r="M23" s="34"/>
      <c r="N23" s="34"/>
      <c r="O23" s="51"/>
      <c r="P23" s="50"/>
      <c r="Q23" s="34"/>
      <c r="R23" s="34"/>
      <c r="S23" s="54" t="str">
        <f aca="false">IF(A23="","",IF(K23="Cancelled","Cancelled",IF(K23="Delivered (self-reported)",IF(N23="Verified","Closed - verified","Delivered - verification pending"),IF(K23="","Not started",K23))))</f>
        <v/>
      </c>
      <c r="T23" s="52" t="str">
        <f aca="false">IF(A23="","",IF(OR(S23="Cancelled",S23="Closed - verified"),"Closed","Open"))</f>
        <v/>
      </c>
      <c r="U23" s="61" t="str">
        <f aca="false">IF(A23="","",IF(AND(T23="Open",ISNUMBER(J23),J23&lt;AsOf),"Overdue",""))</f>
        <v/>
      </c>
      <c r="V23" s="54" t="str">
        <f aca="false">IF(A23="","",IF(F23="Accept",IF(Q23="","CHECK: decision record required - not recorded",IF(COUNTIF(DEC_ID,Q23)=0,"CHECK: Decision ID not found","Decision referenced")),""))</f>
        <v/>
      </c>
      <c r="W23" s="54" t="str">
        <f aca="false">IF(A23="","",IF(COUNTIF(TRT_ID,A23)&gt;1,"CHECK: duplicate ID",IF(B23="","CHECK: Supplier ID missing",IF(COUNTIF(INV_ID,B23)=0,"CHECK: Supplier ID not in inventory",IF(AND(D23&lt;&gt;"",COUNTIF(RSK_ID,D23)=0),"CHECK: Risk ID not found",IF(AND(D23&lt;&gt;"",COUNTIF(RSK_ID,D23)&gt;0,IFERROR(INDEX(RSK_SUP,MATCH(D23,RSK_ID,0)),"")&lt;&gt;B23),"CHECK: Risk belongs to a different supplier",IF(AND(E23&lt;&gt;"",COUNTIF(FND_ID,E23)=0),"CHECK: Finding ID not found",IF(AND(N23="Verified",K23&lt;&gt;"Delivered (self-reported)"),"CHECK: verified but not marked delivered","OK"))))))))</f>
        <v/>
      </c>
      <c r="X23" s="52" t="str">
        <f aca="false">IF(OR(A23="",B23=""),"",IF(AND(T23="Open",B23=RptSup),B23&amp;"|"&amp;COUNTIFS($B$7:B23,B23,$T$7:T23,"Open"),""))</f>
        <v/>
      </c>
    </row>
    <row r="24" customFormat="false" ht="15" hidden="false" customHeight="false" outlineLevel="0" collapsed="false">
      <c r="A24" s="50"/>
      <c r="B24" s="50"/>
      <c r="C24" s="59" t="str">
        <f aca="false">IF(B24="","",IFERROR(INDEX(INV_NAME,MATCH(B24,INV_ID,0)),"CHECK: Supplier ID not found"))</f>
        <v/>
      </c>
      <c r="D24" s="50"/>
      <c r="E24" s="50"/>
      <c r="F24" s="50"/>
      <c r="G24" s="34"/>
      <c r="H24" s="34"/>
      <c r="I24" s="34"/>
      <c r="J24" s="51"/>
      <c r="K24" s="34"/>
      <c r="L24" s="34"/>
      <c r="M24" s="34"/>
      <c r="N24" s="34"/>
      <c r="O24" s="51"/>
      <c r="P24" s="50"/>
      <c r="Q24" s="34"/>
      <c r="R24" s="34"/>
      <c r="S24" s="54" t="str">
        <f aca="false">IF(A24="","",IF(K24="Cancelled","Cancelled",IF(K24="Delivered (self-reported)",IF(N24="Verified","Closed - verified","Delivered - verification pending"),IF(K24="","Not started",K24))))</f>
        <v/>
      </c>
      <c r="T24" s="52" t="str">
        <f aca="false">IF(A24="","",IF(OR(S24="Cancelled",S24="Closed - verified"),"Closed","Open"))</f>
        <v/>
      </c>
      <c r="U24" s="61" t="str">
        <f aca="false">IF(A24="","",IF(AND(T24="Open",ISNUMBER(J24),J24&lt;AsOf),"Overdue",""))</f>
        <v/>
      </c>
      <c r="V24" s="54" t="str">
        <f aca="false">IF(A24="","",IF(F24="Accept",IF(Q24="","CHECK: decision record required - not recorded",IF(COUNTIF(DEC_ID,Q24)=0,"CHECK: Decision ID not found","Decision referenced")),""))</f>
        <v/>
      </c>
      <c r="W24" s="54" t="str">
        <f aca="false">IF(A24="","",IF(COUNTIF(TRT_ID,A24)&gt;1,"CHECK: duplicate ID",IF(B24="","CHECK: Supplier ID missing",IF(COUNTIF(INV_ID,B24)=0,"CHECK: Supplier ID not in inventory",IF(AND(D24&lt;&gt;"",COUNTIF(RSK_ID,D24)=0),"CHECK: Risk ID not found",IF(AND(D24&lt;&gt;"",COUNTIF(RSK_ID,D24)&gt;0,IFERROR(INDEX(RSK_SUP,MATCH(D24,RSK_ID,0)),"")&lt;&gt;B24),"CHECK: Risk belongs to a different supplier",IF(AND(E24&lt;&gt;"",COUNTIF(FND_ID,E24)=0),"CHECK: Finding ID not found",IF(AND(N24="Verified",K24&lt;&gt;"Delivered (self-reported)"),"CHECK: verified but not marked delivered","OK"))))))))</f>
        <v/>
      </c>
      <c r="X24" s="52" t="str">
        <f aca="false">IF(OR(A24="",B24=""),"",IF(AND(T24="Open",B24=RptSup),B24&amp;"|"&amp;COUNTIFS($B$7:B24,B24,$T$7:T24,"Open"),""))</f>
        <v/>
      </c>
    </row>
    <row r="25" customFormat="false" ht="15" hidden="false" customHeight="false" outlineLevel="0" collapsed="false">
      <c r="A25" s="50"/>
      <c r="B25" s="50"/>
      <c r="C25" s="59" t="str">
        <f aca="false">IF(B25="","",IFERROR(INDEX(INV_NAME,MATCH(B25,INV_ID,0)),"CHECK: Supplier ID not found"))</f>
        <v/>
      </c>
      <c r="D25" s="50"/>
      <c r="E25" s="50"/>
      <c r="F25" s="50"/>
      <c r="G25" s="34"/>
      <c r="H25" s="34"/>
      <c r="I25" s="34"/>
      <c r="J25" s="51"/>
      <c r="K25" s="34"/>
      <c r="L25" s="34"/>
      <c r="M25" s="34"/>
      <c r="N25" s="34"/>
      <c r="O25" s="51"/>
      <c r="P25" s="50"/>
      <c r="Q25" s="34"/>
      <c r="R25" s="34"/>
      <c r="S25" s="54" t="str">
        <f aca="false">IF(A25="","",IF(K25="Cancelled","Cancelled",IF(K25="Delivered (self-reported)",IF(N25="Verified","Closed - verified","Delivered - verification pending"),IF(K25="","Not started",K25))))</f>
        <v/>
      </c>
      <c r="T25" s="52" t="str">
        <f aca="false">IF(A25="","",IF(OR(S25="Cancelled",S25="Closed - verified"),"Closed","Open"))</f>
        <v/>
      </c>
      <c r="U25" s="61" t="str">
        <f aca="false">IF(A25="","",IF(AND(T25="Open",ISNUMBER(J25),J25&lt;AsOf),"Overdue",""))</f>
        <v/>
      </c>
      <c r="V25" s="54" t="str">
        <f aca="false">IF(A25="","",IF(F25="Accept",IF(Q25="","CHECK: decision record required - not recorded",IF(COUNTIF(DEC_ID,Q25)=0,"CHECK: Decision ID not found","Decision referenced")),""))</f>
        <v/>
      </c>
      <c r="W25" s="54" t="str">
        <f aca="false">IF(A25="","",IF(COUNTIF(TRT_ID,A25)&gt;1,"CHECK: duplicate ID",IF(B25="","CHECK: Supplier ID missing",IF(COUNTIF(INV_ID,B25)=0,"CHECK: Supplier ID not in inventory",IF(AND(D25&lt;&gt;"",COUNTIF(RSK_ID,D25)=0),"CHECK: Risk ID not found",IF(AND(D25&lt;&gt;"",COUNTIF(RSK_ID,D25)&gt;0,IFERROR(INDEX(RSK_SUP,MATCH(D25,RSK_ID,0)),"")&lt;&gt;B25),"CHECK: Risk belongs to a different supplier",IF(AND(E25&lt;&gt;"",COUNTIF(FND_ID,E25)=0),"CHECK: Finding ID not found",IF(AND(N25="Verified",K25&lt;&gt;"Delivered (self-reported)"),"CHECK: verified but not marked delivered","OK"))))))))</f>
        <v/>
      </c>
      <c r="X25" s="52" t="str">
        <f aca="false">IF(OR(A25="",B25=""),"",IF(AND(T25="Open",B25=RptSup),B25&amp;"|"&amp;COUNTIFS($B$7:B25,B25,$T$7:T25,"Open"),""))</f>
        <v/>
      </c>
    </row>
    <row r="26" customFormat="false" ht="15" hidden="false" customHeight="false" outlineLevel="0" collapsed="false">
      <c r="A26" s="50"/>
      <c r="B26" s="50"/>
      <c r="C26" s="59" t="str">
        <f aca="false">IF(B26="","",IFERROR(INDEX(INV_NAME,MATCH(B26,INV_ID,0)),"CHECK: Supplier ID not found"))</f>
        <v/>
      </c>
      <c r="D26" s="50"/>
      <c r="E26" s="50"/>
      <c r="F26" s="50"/>
      <c r="G26" s="34"/>
      <c r="H26" s="34"/>
      <c r="I26" s="34"/>
      <c r="J26" s="51"/>
      <c r="K26" s="34"/>
      <c r="L26" s="34"/>
      <c r="M26" s="34"/>
      <c r="N26" s="34"/>
      <c r="O26" s="51"/>
      <c r="P26" s="50"/>
      <c r="Q26" s="34"/>
      <c r="R26" s="34"/>
      <c r="S26" s="54" t="str">
        <f aca="false">IF(A26="","",IF(K26="Cancelled","Cancelled",IF(K26="Delivered (self-reported)",IF(N26="Verified","Closed - verified","Delivered - verification pending"),IF(K26="","Not started",K26))))</f>
        <v/>
      </c>
      <c r="T26" s="52" t="str">
        <f aca="false">IF(A26="","",IF(OR(S26="Cancelled",S26="Closed - verified"),"Closed","Open"))</f>
        <v/>
      </c>
      <c r="U26" s="61" t="str">
        <f aca="false">IF(A26="","",IF(AND(T26="Open",ISNUMBER(J26),J26&lt;AsOf),"Overdue",""))</f>
        <v/>
      </c>
      <c r="V26" s="54" t="str">
        <f aca="false">IF(A26="","",IF(F26="Accept",IF(Q26="","CHECK: decision record required - not recorded",IF(COUNTIF(DEC_ID,Q26)=0,"CHECK: Decision ID not found","Decision referenced")),""))</f>
        <v/>
      </c>
      <c r="W26" s="54" t="str">
        <f aca="false">IF(A26="","",IF(COUNTIF(TRT_ID,A26)&gt;1,"CHECK: duplicate ID",IF(B26="","CHECK: Supplier ID missing",IF(COUNTIF(INV_ID,B26)=0,"CHECK: Supplier ID not in inventory",IF(AND(D26&lt;&gt;"",COUNTIF(RSK_ID,D26)=0),"CHECK: Risk ID not found",IF(AND(D26&lt;&gt;"",COUNTIF(RSK_ID,D26)&gt;0,IFERROR(INDEX(RSK_SUP,MATCH(D26,RSK_ID,0)),"")&lt;&gt;B26),"CHECK: Risk belongs to a different supplier",IF(AND(E26&lt;&gt;"",COUNTIF(FND_ID,E26)=0),"CHECK: Finding ID not found",IF(AND(N26="Verified",K26&lt;&gt;"Delivered (self-reported)"),"CHECK: verified but not marked delivered","OK"))))))))</f>
        <v/>
      </c>
      <c r="X26" s="52" t="str">
        <f aca="false">IF(OR(A26="",B26=""),"",IF(AND(T26="Open",B26=RptSup),B26&amp;"|"&amp;COUNTIFS($B$7:B26,B26,$T$7:T26,"Open"),""))</f>
        <v/>
      </c>
    </row>
    <row r="27" customFormat="false" ht="15" hidden="false" customHeight="false" outlineLevel="0" collapsed="false">
      <c r="A27" s="50"/>
      <c r="B27" s="50"/>
      <c r="C27" s="59" t="str">
        <f aca="false">IF(B27="","",IFERROR(INDEX(INV_NAME,MATCH(B27,INV_ID,0)),"CHECK: Supplier ID not found"))</f>
        <v/>
      </c>
      <c r="D27" s="50"/>
      <c r="E27" s="50"/>
      <c r="F27" s="50"/>
      <c r="G27" s="34"/>
      <c r="H27" s="34"/>
      <c r="I27" s="34"/>
      <c r="J27" s="51"/>
      <c r="K27" s="34"/>
      <c r="L27" s="34"/>
      <c r="M27" s="34"/>
      <c r="N27" s="34"/>
      <c r="O27" s="51"/>
      <c r="P27" s="50"/>
      <c r="Q27" s="34"/>
      <c r="R27" s="34"/>
      <c r="S27" s="54" t="str">
        <f aca="false">IF(A27="","",IF(K27="Cancelled","Cancelled",IF(K27="Delivered (self-reported)",IF(N27="Verified","Closed - verified","Delivered - verification pending"),IF(K27="","Not started",K27))))</f>
        <v/>
      </c>
      <c r="T27" s="52" t="str">
        <f aca="false">IF(A27="","",IF(OR(S27="Cancelled",S27="Closed - verified"),"Closed","Open"))</f>
        <v/>
      </c>
      <c r="U27" s="61" t="str">
        <f aca="false">IF(A27="","",IF(AND(T27="Open",ISNUMBER(J27),J27&lt;AsOf),"Overdue",""))</f>
        <v/>
      </c>
      <c r="V27" s="54" t="str">
        <f aca="false">IF(A27="","",IF(F27="Accept",IF(Q27="","CHECK: decision record required - not recorded",IF(COUNTIF(DEC_ID,Q27)=0,"CHECK: Decision ID not found","Decision referenced")),""))</f>
        <v/>
      </c>
      <c r="W27" s="54" t="str">
        <f aca="false">IF(A27="","",IF(COUNTIF(TRT_ID,A27)&gt;1,"CHECK: duplicate ID",IF(B27="","CHECK: Supplier ID missing",IF(COUNTIF(INV_ID,B27)=0,"CHECK: Supplier ID not in inventory",IF(AND(D27&lt;&gt;"",COUNTIF(RSK_ID,D27)=0),"CHECK: Risk ID not found",IF(AND(D27&lt;&gt;"",COUNTIF(RSK_ID,D27)&gt;0,IFERROR(INDEX(RSK_SUP,MATCH(D27,RSK_ID,0)),"")&lt;&gt;B27),"CHECK: Risk belongs to a different supplier",IF(AND(E27&lt;&gt;"",COUNTIF(FND_ID,E27)=0),"CHECK: Finding ID not found",IF(AND(N27="Verified",K27&lt;&gt;"Delivered (self-reported)"),"CHECK: verified but not marked delivered","OK"))))))))</f>
        <v/>
      </c>
      <c r="X27" s="52" t="str">
        <f aca="false">IF(OR(A27="",B27=""),"",IF(AND(T27="Open",B27=RptSup),B27&amp;"|"&amp;COUNTIFS($B$7:B27,B27,$T$7:T27,"Open"),""))</f>
        <v/>
      </c>
    </row>
    <row r="28" customFormat="false" ht="15" hidden="false" customHeight="false" outlineLevel="0" collapsed="false">
      <c r="A28" s="50"/>
      <c r="B28" s="50"/>
      <c r="C28" s="59" t="str">
        <f aca="false">IF(B28="","",IFERROR(INDEX(INV_NAME,MATCH(B28,INV_ID,0)),"CHECK: Supplier ID not found"))</f>
        <v/>
      </c>
      <c r="D28" s="50"/>
      <c r="E28" s="50"/>
      <c r="F28" s="50"/>
      <c r="G28" s="34"/>
      <c r="H28" s="34"/>
      <c r="I28" s="34"/>
      <c r="J28" s="51"/>
      <c r="K28" s="34"/>
      <c r="L28" s="34"/>
      <c r="M28" s="34"/>
      <c r="N28" s="34"/>
      <c r="O28" s="51"/>
      <c r="P28" s="50"/>
      <c r="Q28" s="34"/>
      <c r="R28" s="34"/>
      <c r="S28" s="54" t="str">
        <f aca="false">IF(A28="","",IF(K28="Cancelled","Cancelled",IF(K28="Delivered (self-reported)",IF(N28="Verified","Closed - verified","Delivered - verification pending"),IF(K28="","Not started",K28))))</f>
        <v/>
      </c>
      <c r="T28" s="52" t="str">
        <f aca="false">IF(A28="","",IF(OR(S28="Cancelled",S28="Closed - verified"),"Closed","Open"))</f>
        <v/>
      </c>
      <c r="U28" s="61" t="str">
        <f aca="false">IF(A28="","",IF(AND(T28="Open",ISNUMBER(J28),J28&lt;AsOf),"Overdue",""))</f>
        <v/>
      </c>
      <c r="V28" s="54" t="str">
        <f aca="false">IF(A28="","",IF(F28="Accept",IF(Q28="","CHECK: decision record required - not recorded",IF(COUNTIF(DEC_ID,Q28)=0,"CHECK: Decision ID not found","Decision referenced")),""))</f>
        <v/>
      </c>
      <c r="W28" s="54" t="str">
        <f aca="false">IF(A28="","",IF(COUNTIF(TRT_ID,A28)&gt;1,"CHECK: duplicate ID",IF(B28="","CHECK: Supplier ID missing",IF(COUNTIF(INV_ID,B28)=0,"CHECK: Supplier ID not in inventory",IF(AND(D28&lt;&gt;"",COUNTIF(RSK_ID,D28)=0),"CHECK: Risk ID not found",IF(AND(D28&lt;&gt;"",COUNTIF(RSK_ID,D28)&gt;0,IFERROR(INDEX(RSK_SUP,MATCH(D28,RSK_ID,0)),"")&lt;&gt;B28),"CHECK: Risk belongs to a different supplier",IF(AND(E28&lt;&gt;"",COUNTIF(FND_ID,E28)=0),"CHECK: Finding ID not found",IF(AND(N28="Verified",K28&lt;&gt;"Delivered (self-reported)"),"CHECK: verified but not marked delivered","OK"))))))))</f>
        <v/>
      </c>
      <c r="X28" s="52" t="str">
        <f aca="false">IF(OR(A28="",B28=""),"",IF(AND(T28="Open",B28=RptSup),B28&amp;"|"&amp;COUNTIFS($B$7:B28,B28,$T$7:T28,"Open"),""))</f>
        <v/>
      </c>
    </row>
    <row r="29" customFormat="false" ht="15" hidden="false" customHeight="false" outlineLevel="0" collapsed="false">
      <c r="A29" s="50"/>
      <c r="B29" s="50"/>
      <c r="C29" s="59" t="str">
        <f aca="false">IF(B29="","",IFERROR(INDEX(INV_NAME,MATCH(B29,INV_ID,0)),"CHECK: Supplier ID not found"))</f>
        <v/>
      </c>
      <c r="D29" s="50"/>
      <c r="E29" s="50"/>
      <c r="F29" s="50"/>
      <c r="G29" s="34"/>
      <c r="H29" s="34"/>
      <c r="I29" s="34"/>
      <c r="J29" s="51"/>
      <c r="K29" s="34"/>
      <c r="L29" s="34"/>
      <c r="M29" s="34"/>
      <c r="N29" s="34"/>
      <c r="O29" s="51"/>
      <c r="P29" s="50"/>
      <c r="Q29" s="34"/>
      <c r="R29" s="34"/>
      <c r="S29" s="54" t="str">
        <f aca="false">IF(A29="","",IF(K29="Cancelled","Cancelled",IF(K29="Delivered (self-reported)",IF(N29="Verified","Closed - verified","Delivered - verification pending"),IF(K29="","Not started",K29))))</f>
        <v/>
      </c>
      <c r="T29" s="52" t="str">
        <f aca="false">IF(A29="","",IF(OR(S29="Cancelled",S29="Closed - verified"),"Closed","Open"))</f>
        <v/>
      </c>
      <c r="U29" s="61" t="str">
        <f aca="false">IF(A29="","",IF(AND(T29="Open",ISNUMBER(J29),J29&lt;AsOf),"Overdue",""))</f>
        <v/>
      </c>
      <c r="V29" s="54" t="str">
        <f aca="false">IF(A29="","",IF(F29="Accept",IF(Q29="","CHECK: decision record required - not recorded",IF(COUNTIF(DEC_ID,Q29)=0,"CHECK: Decision ID not found","Decision referenced")),""))</f>
        <v/>
      </c>
      <c r="W29" s="54" t="str">
        <f aca="false">IF(A29="","",IF(COUNTIF(TRT_ID,A29)&gt;1,"CHECK: duplicate ID",IF(B29="","CHECK: Supplier ID missing",IF(COUNTIF(INV_ID,B29)=0,"CHECK: Supplier ID not in inventory",IF(AND(D29&lt;&gt;"",COUNTIF(RSK_ID,D29)=0),"CHECK: Risk ID not found",IF(AND(D29&lt;&gt;"",COUNTIF(RSK_ID,D29)&gt;0,IFERROR(INDEX(RSK_SUP,MATCH(D29,RSK_ID,0)),"")&lt;&gt;B29),"CHECK: Risk belongs to a different supplier",IF(AND(E29&lt;&gt;"",COUNTIF(FND_ID,E29)=0),"CHECK: Finding ID not found",IF(AND(N29="Verified",K29&lt;&gt;"Delivered (self-reported)"),"CHECK: verified but not marked delivered","OK"))))))))</f>
        <v/>
      </c>
      <c r="X29" s="52" t="str">
        <f aca="false">IF(OR(A29="",B29=""),"",IF(AND(T29="Open",B29=RptSup),B29&amp;"|"&amp;COUNTIFS($B$7:B29,B29,$T$7:T29,"Open"),""))</f>
        <v/>
      </c>
    </row>
    <row r="30" customFormat="false" ht="15" hidden="false" customHeight="false" outlineLevel="0" collapsed="false">
      <c r="A30" s="50"/>
      <c r="B30" s="50"/>
      <c r="C30" s="59" t="str">
        <f aca="false">IF(B30="","",IFERROR(INDEX(INV_NAME,MATCH(B30,INV_ID,0)),"CHECK: Supplier ID not found"))</f>
        <v/>
      </c>
      <c r="D30" s="50"/>
      <c r="E30" s="50"/>
      <c r="F30" s="50"/>
      <c r="G30" s="34"/>
      <c r="H30" s="34"/>
      <c r="I30" s="34"/>
      <c r="J30" s="51"/>
      <c r="K30" s="34"/>
      <c r="L30" s="34"/>
      <c r="M30" s="34"/>
      <c r="N30" s="34"/>
      <c r="O30" s="51"/>
      <c r="P30" s="50"/>
      <c r="Q30" s="34"/>
      <c r="R30" s="34"/>
      <c r="S30" s="54" t="str">
        <f aca="false">IF(A30="","",IF(K30="Cancelled","Cancelled",IF(K30="Delivered (self-reported)",IF(N30="Verified","Closed - verified","Delivered - verification pending"),IF(K30="","Not started",K30))))</f>
        <v/>
      </c>
      <c r="T30" s="52" t="str">
        <f aca="false">IF(A30="","",IF(OR(S30="Cancelled",S30="Closed - verified"),"Closed","Open"))</f>
        <v/>
      </c>
      <c r="U30" s="61" t="str">
        <f aca="false">IF(A30="","",IF(AND(T30="Open",ISNUMBER(J30),J30&lt;AsOf),"Overdue",""))</f>
        <v/>
      </c>
      <c r="V30" s="54" t="str">
        <f aca="false">IF(A30="","",IF(F30="Accept",IF(Q30="","CHECK: decision record required - not recorded",IF(COUNTIF(DEC_ID,Q30)=0,"CHECK: Decision ID not found","Decision referenced")),""))</f>
        <v/>
      </c>
      <c r="W30" s="54" t="str">
        <f aca="false">IF(A30="","",IF(COUNTIF(TRT_ID,A30)&gt;1,"CHECK: duplicate ID",IF(B30="","CHECK: Supplier ID missing",IF(COUNTIF(INV_ID,B30)=0,"CHECK: Supplier ID not in inventory",IF(AND(D30&lt;&gt;"",COUNTIF(RSK_ID,D30)=0),"CHECK: Risk ID not found",IF(AND(D30&lt;&gt;"",COUNTIF(RSK_ID,D30)&gt;0,IFERROR(INDEX(RSK_SUP,MATCH(D30,RSK_ID,0)),"")&lt;&gt;B30),"CHECK: Risk belongs to a different supplier",IF(AND(E30&lt;&gt;"",COUNTIF(FND_ID,E30)=0),"CHECK: Finding ID not found",IF(AND(N30="Verified",K30&lt;&gt;"Delivered (self-reported)"),"CHECK: verified but not marked delivered","OK"))))))))</f>
        <v/>
      </c>
      <c r="X30" s="52" t="str">
        <f aca="false">IF(OR(A30="",B30=""),"",IF(AND(T30="Open",B30=RptSup),B30&amp;"|"&amp;COUNTIFS($B$7:B30,B30,$T$7:T30,"Open"),""))</f>
        <v/>
      </c>
    </row>
    <row r="31" customFormat="false" ht="15" hidden="false" customHeight="false" outlineLevel="0" collapsed="false">
      <c r="A31" s="50"/>
      <c r="B31" s="50"/>
      <c r="C31" s="59" t="str">
        <f aca="false">IF(B31="","",IFERROR(INDEX(INV_NAME,MATCH(B31,INV_ID,0)),"CHECK: Supplier ID not found"))</f>
        <v/>
      </c>
      <c r="D31" s="50"/>
      <c r="E31" s="50"/>
      <c r="F31" s="50"/>
      <c r="G31" s="34"/>
      <c r="H31" s="34"/>
      <c r="I31" s="34"/>
      <c r="J31" s="51"/>
      <c r="K31" s="34"/>
      <c r="L31" s="34"/>
      <c r="M31" s="34"/>
      <c r="N31" s="34"/>
      <c r="O31" s="51"/>
      <c r="P31" s="50"/>
      <c r="Q31" s="34"/>
      <c r="R31" s="34"/>
      <c r="S31" s="54" t="str">
        <f aca="false">IF(A31="","",IF(K31="Cancelled","Cancelled",IF(K31="Delivered (self-reported)",IF(N31="Verified","Closed - verified","Delivered - verification pending"),IF(K31="","Not started",K31))))</f>
        <v/>
      </c>
      <c r="T31" s="52" t="str">
        <f aca="false">IF(A31="","",IF(OR(S31="Cancelled",S31="Closed - verified"),"Closed","Open"))</f>
        <v/>
      </c>
      <c r="U31" s="61" t="str">
        <f aca="false">IF(A31="","",IF(AND(T31="Open",ISNUMBER(J31),J31&lt;AsOf),"Overdue",""))</f>
        <v/>
      </c>
      <c r="V31" s="54" t="str">
        <f aca="false">IF(A31="","",IF(F31="Accept",IF(Q31="","CHECK: decision record required - not recorded",IF(COUNTIF(DEC_ID,Q31)=0,"CHECK: Decision ID not found","Decision referenced")),""))</f>
        <v/>
      </c>
      <c r="W31" s="54" t="str">
        <f aca="false">IF(A31="","",IF(COUNTIF(TRT_ID,A31)&gt;1,"CHECK: duplicate ID",IF(B31="","CHECK: Supplier ID missing",IF(COUNTIF(INV_ID,B31)=0,"CHECK: Supplier ID not in inventory",IF(AND(D31&lt;&gt;"",COUNTIF(RSK_ID,D31)=0),"CHECK: Risk ID not found",IF(AND(D31&lt;&gt;"",COUNTIF(RSK_ID,D31)&gt;0,IFERROR(INDEX(RSK_SUP,MATCH(D31,RSK_ID,0)),"")&lt;&gt;B31),"CHECK: Risk belongs to a different supplier",IF(AND(E31&lt;&gt;"",COUNTIF(FND_ID,E31)=0),"CHECK: Finding ID not found",IF(AND(N31="Verified",K31&lt;&gt;"Delivered (self-reported)"),"CHECK: verified but not marked delivered","OK"))))))))</f>
        <v/>
      </c>
      <c r="X31" s="52" t="str">
        <f aca="false">IF(OR(A31="",B31=""),"",IF(AND(T31="Open",B31=RptSup),B31&amp;"|"&amp;COUNTIFS($B$7:B31,B31,$T$7:T31,"Open"),""))</f>
        <v/>
      </c>
    </row>
    <row r="32" customFormat="false" ht="15" hidden="false" customHeight="false" outlineLevel="0" collapsed="false">
      <c r="A32" s="50"/>
      <c r="B32" s="50"/>
      <c r="C32" s="59" t="str">
        <f aca="false">IF(B32="","",IFERROR(INDEX(INV_NAME,MATCH(B32,INV_ID,0)),"CHECK: Supplier ID not found"))</f>
        <v/>
      </c>
      <c r="D32" s="50"/>
      <c r="E32" s="50"/>
      <c r="F32" s="50"/>
      <c r="G32" s="34"/>
      <c r="H32" s="34"/>
      <c r="I32" s="34"/>
      <c r="J32" s="51"/>
      <c r="K32" s="34"/>
      <c r="L32" s="34"/>
      <c r="M32" s="34"/>
      <c r="N32" s="34"/>
      <c r="O32" s="51"/>
      <c r="P32" s="50"/>
      <c r="Q32" s="34"/>
      <c r="R32" s="34"/>
      <c r="S32" s="54" t="str">
        <f aca="false">IF(A32="","",IF(K32="Cancelled","Cancelled",IF(K32="Delivered (self-reported)",IF(N32="Verified","Closed - verified","Delivered - verification pending"),IF(K32="","Not started",K32))))</f>
        <v/>
      </c>
      <c r="T32" s="52" t="str">
        <f aca="false">IF(A32="","",IF(OR(S32="Cancelled",S32="Closed - verified"),"Closed","Open"))</f>
        <v/>
      </c>
      <c r="U32" s="61" t="str">
        <f aca="false">IF(A32="","",IF(AND(T32="Open",ISNUMBER(J32),J32&lt;AsOf),"Overdue",""))</f>
        <v/>
      </c>
      <c r="V32" s="54" t="str">
        <f aca="false">IF(A32="","",IF(F32="Accept",IF(Q32="","CHECK: decision record required - not recorded",IF(COUNTIF(DEC_ID,Q32)=0,"CHECK: Decision ID not found","Decision referenced")),""))</f>
        <v/>
      </c>
      <c r="W32" s="54" t="str">
        <f aca="false">IF(A32="","",IF(COUNTIF(TRT_ID,A32)&gt;1,"CHECK: duplicate ID",IF(B32="","CHECK: Supplier ID missing",IF(COUNTIF(INV_ID,B32)=0,"CHECK: Supplier ID not in inventory",IF(AND(D32&lt;&gt;"",COUNTIF(RSK_ID,D32)=0),"CHECK: Risk ID not found",IF(AND(D32&lt;&gt;"",COUNTIF(RSK_ID,D32)&gt;0,IFERROR(INDEX(RSK_SUP,MATCH(D32,RSK_ID,0)),"")&lt;&gt;B32),"CHECK: Risk belongs to a different supplier",IF(AND(E32&lt;&gt;"",COUNTIF(FND_ID,E32)=0),"CHECK: Finding ID not found",IF(AND(N32="Verified",K32&lt;&gt;"Delivered (self-reported)"),"CHECK: verified but not marked delivered","OK"))))))))</f>
        <v/>
      </c>
      <c r="X32" s="52" t="str">
        <f aca="false">IF(OR(A32="",B32=""),"",IF(AND(T32="Open",B32=RptSup),B32&amp;"|"&amp;COUNTIFS($B$7:B32,B32,$T$7:T32,"Open"),""))</f>
        <v/>
      </c>
    </row>
    <row r="33" customFormat="false" ht="15" hidden="false" customHeight="false" outlineLevel="0" collapsed="false">
      <c r="A33" s="50"/>
      <c r="B33" s="50"/>
      <c r="C33" s="59" t="str">
        <f aca="false">IF(B33="","",IFERROR(INDEX(INV_NAME,MATCH(B33,INV_ID,0)),"CHECK: Supplier ID not found"))</f>
        <v/>
      </c>
      <c r="D33" s="50"/>
      <c r="E33" s="50"/>
      <c r="F33" s="50"/>
      <c r="G33" s="34"/>
      <c r="H33" s="34"/>
      <c r="I33" s="34"/>
      <c r="J33" s="51"/>
      <c r="K33" s="34"/>
      <c r="L33" s="34"/>
      <c r="M33" s="34"/>
      <c r="N33" s="34"/>
      <c r="O33" s="51"/>
      <c r="P33" s="50"/>
      <c r="Q33" s="34"/>
      <c r="R33" s="34"/>
      <c r="S33" s="54" t="str">
        <f aca="false">IF(A33="","",IF(K33="Cancelled","Cancelled",IF(K33="Delivered (self-reported)",IF(N33="Verified","Closed - verified","Delivered - verification pending"),IF(K33="","Not started",K33))))</f>
        <v/>
      </c>
      <c r="T33" s="52" t="str">
        <f aca="false">IF(A33="","",IF(OR(S33="Cancelled",S33="Closed - verified"),"Closed","Open"))</f>
        <v/>
      </c>
      <c r="U33" s="61" t="str">
        <f aca="false">IF(A33="","",IF(AND(T33="Open",ISNUMBER(J33),J33&lt;AsOf),"Overdue",""))</f>
        <v/>
      </c>
      <c r="V33" s="54" t="str">
        <f aca="false">IF(A33="","",IF(F33="Accept",IF(Q33="","CHECK: decision record required - not recorded",IF(COUNTIF(DEC_ID,Q33)=0,"CHECK: Decision ID not found","Decision referenced")),""))</f>
        <v/>
      </c>
      <c r="W33" s="54" t="str">
        <f aca="false">IF(A33="","",IF(COUNTIF(TRT_ID,A33)&gt;1,"CHECK: duplicate ID",IF(B33="","CHECK: Supplier ID missing",IF(COUNTIF(INV_ID,B33)=0,"CHECK: Supplier ID not in inventory",IF(AND(D33&lt;&gt;"",COUNTIF(RSK_ID,D33)=0),"CHECK: Risk ID not found",IF(AND(D33&lt;&gt;"",COUNTIF(RSK_ID,D33)&gt;0,IFERROR(INDEX(RSK_SUP,MATCH(D33,RSK_ID,0)),"")&lt;&gt;B33),"CHECK: Risk belongs to a different supplier",IF(AND(E33&lt;&gt;"",COUNTIF(FND_ID,E33)=0),"CHECK: Finding ID not found",IF(AND(N33="Verified",K33&lt;&gt;"Delivered (self-reported)"),"CHECK: verified but not marked delivered","OK"))))))))</f>
        <v/>
      </c>
      <c r="X33" s="52" t="str">
        <f aca="false">IF(OR(A33="",B33=""),"",IF(AND(T33="Open",B33=RptSup),B33&amp;"|"&amp;COUNTIFS($B$7:B33,B33,$T$7:T33,"Open"),""))</f>
        <v/>
      </c>
    </row>
    <row r="34" customFormat="false" ht="15" hidden="false" customHeight="false" outlineLevel="0" collapsed="false">
      <c r="A34" s="50"/>
      <c r="B34" s="50"/>
      <c r="C34" s="59" t="str">
        <f aca="false">IF(B34="","",IFERROR(INDEX(INV_NAME,MATCH(B34,INV_ID,0)),"CHECK: Supplier ID not found"))</f>
        <v/>
      </c>
      <c r="D34" s="50"/>
      <c r="E34" s="50"/>
      <c r="F34" s="50"/>
      <c r="G34" s="34"/>
      <c r="H34" s="34"/>
      <c r="I34" s="34"/>
      <c r="J34" s="51"/>
      <c r="K34" s="34"/>
      <c r="L34" s="34"/>
      <c r="M34" s="34"/>
      <c r="N34" s="34"/>
      <c r="O34" s="51"/>
      <c r="P34" s="50"/>
      <c r="Q34" s="34"/>
      <c r="R34" s="34"/>
      <c r="S34" s="54" t="str">
        <f aca="false">IF(A34="","",IF(K34="Cancelled","Cancelled",IF(K34="Delivered (self-reported)",IF(N34="Verified","Closed - verified","Delivered - verification pending"),IF(K34="","Not started",K34))))</f>
        <v/>
      </c>
      <c r="T34" s="52" t="str">
        <f aca="false">IF(A34="","",IF(OR(S34="Cancelled",S34="Closed - verified"),"Closed","Open"))</f>
        <v/>
      </c>
      <c r="U34" s="61" t="str">
        <f aca="false">IF(A34="","",IF(AND(T34="Open",ISNUMBER(J34),J34&lt;AsOf),"Overdue",""))</f>
        <v/>
      </c>
      <c r="V34" s="54" t="str">
        <f aca="false">IF(A34="","",IF(F34="Accept",IF(Q34="","CHECK: decision record required - not recorded",IF(COUNTIF(DEC_ID,Q34)=0,"CHECK: Decision ID not found","Decision referenced")),""))</f>
        <v/>
      </c>
      <c r="W34" s="54" t="str">
        <f aca="false">IF(A34="","",IF(COUNTIF(TRT_ID,A34)&gt;1,"CHECK: duplicate ID",IF(B34="","CHECK: Supplier ID missing",IF(COUNTIF(INV_ID,B34)=0,"CHECK: Supplier ID not in inventory",IF(AND(D34&lt;&gt;"",COUNTIF(RSK_ID,D34)=0),"CHECK: Risk ID not found",IF(AND(D34&lt;&gt;"",COUNTIF(RSK_ID,D34)&gt;0,IFERROR(INDEX(RSK_SUP,MATCH(D34,RSK_ID,0)),"")&lt;&gt;B34),"CHECK: Risk belongs to a different supplier",IF(AND(E34&lt;&gt;"",COUNTIF(FND_ID,E34)=0),"CHECK: Finding ID not found",IF(AND(N34="Verified",K34&lt;&gt;"Delivered (self-reported)"),"CHECK: verified but not marked delivered","OK"))))))))</f>
        <v/>
      </c>
      <c r="X34" s="52" t="str">
        <f aca="false">IF(OR(A34="",B34=""),"",IF(AND(T34="Open",B34=RptSup),B34&amp;"|"&amp;COUNTIFS($B$7:B34,B34,$T$7:T34,"Open"),""))</f>
        <v/>
      </c>
    </row>
    <row r="35" customFormat="false" ht="15" hidden="false" customHeight="false" outlineLevel="0" collapsed="false">
      <c r="A35" s="50"/>
      <c r="B35" s="50"/>
      <c r="C35" s="59" t="str">
        <f aca="false">IF(B35="","",IFERROR(INDEX(INV_NAME,MATCH(B35,INV_ID,0)),"CHECK: Supplier ID not found"))</f>
        <v/>
      </c>
      <c r="D35" s="50"/>
      <c r="E35" s="50"/>
      <c r="F35" s="50"/>
      <c r="G35" s="34"/>
      <c r="H35" s="34"/>
      <c r="I35" s="34"/>
      <c r="J35" s="51"/>
      <c r="K35" s="34"/>
      <c r="L35" s="34"/>
      <c r="M35" s="34"/>
      <c r="N35" s="34"/>
      <c r="O35" s="51"/>
      <c r="P35" s="50"/>
      <c r="Q35" s="34"/>
      <c r="R35" s="34"/>
      <c r="S35" s="54" t="str">
        <f aca="false">IF(A35="","",IF(K35="Cancelled","Cancelled",IF(K35="Delivered (self-reported)",IF(N35="Verified","Closed - verified","Delivered - verification pending"),IF(K35="","Not started",K35))))</f>
        <v/>
      </c>
      <c r="T35" s="52" t="str">
        <f aca="false">IF(A35="","",IF(OR(S35="Cancelled",S35="Closed - verified"),"Closed","Open"))</f>
        <v/>
      </c>
      <c r="U35" s="61" t="str">
        <f aca="false">IF(A35="","",IF(AND(T35="Open",ISNUMBER(J35),J35&lt;AsOf),"Overdue",""))</f>
        <v/>
      </c>
      <c r="V35" s="54" t="str">
        <f aca="false">IF(A35="","",IF(F35="Accept",IF(Q35="","CHECK: decision record required - not recorded",IF(COUNTIF(DEC_ID,Q35)=0,"CHECK: Decision ID not found","Decision referenced")),""))</f>
        <v/>
      </c>
      <c r="W35" s="54" t="str">
        <f aca="false">IF(A35="","",IF(COUNTIF(TRT_ID,A35)&gt;1,"CHECK: duplicate ID",IF(B35="","CHECK: Supplier ID missing",IF(COUNTIF(INV_ID,B35)=0,"CHECK: Supplier ID not in inventory",IF(AND(D35&lt;&gt;"",COUNTIF(RSK_ID,D35)=0),"CHECK: Risk ID not found",IF(AND(D35&lt;&gt;"",COUNTIF(RSK_ID,D35)&gt;0,IFERROR(INDEX(RSK_SUP,MATCH(D35,RSK_ID,0)),"")&lt;&gt;B35),"CHECK: Risk belongs to a different supplier",IF(AND(E35&lt;&gt;"",COUNTIF(FND_ID,E35)=0),"CHECK: Finding ID not found",IF(AND(N35="Verified",K35&lt;&gt;"Delivered (self-reported)"),"CHECK: verified but not marked delivered","OK"))))))))</f>
        <v/>
      </c>
      <c r="X35" s="52" t="str">
        <f aca="false">IF(OR(A35="",B35=""),"",IF(AND(T35="Open",B35=RptSup),B35&amp;"|"&amp;COUNTIFS($B$7:B35,B35,$T$7:T35,"Open"),""))</f>
        <v/>
      </c>
    </row>
    <row r="36" customFormat="false" ht="15" hidden="false" customHeight="false" outlineLevel="0" collapsed="false">
      <c r="A36" s="50"/>
      <c r="B36" s="50"/>
      <c r="C36" s="59" t="str">
        <f aca="false">IF(B36="","",IFERROR(INDEX(INV_NAME,MATCH(B36,INV_ID,0)),"CHECK: Supplier ID not found"))</f>
        <v/>
      </c>
      <c r="D36" s="50"/>
      <c r="E36" s="50"/>
      <c r="F36" s="50"/>
      <c r="G36" s="34"/>
      <c r="H36" s="34"/>
      <c r="I36" s="34"/>
      <c r="J36" s="51"/>
      <c r="K36" s="34"/>
      <c r="L36" s="34"/>
      <c r="M36" s="34"/>
      <c r="N36" s="34"/>
      <c r="O36" s="51"/>
      <c r="P36" s="50"/>
      <c r="Q36" s="34"/>
      <c r="R36" s="34"/>
      <c r="S36" s="54" t="str">
        <f aca="false">IF(A36="","",IF(K36="Cancelled","Cancelled",IF(K36="Delivered (self-reported)",IF(N36="Verified","Closed - verified","Delivered - verification pending"),IF(K36="","Not started",K36))))</f>
        <v/>
      </c>
      <c r="T36" s="52" t="str">
        <f aca="false">IF(A36="","",IF(OR(S36="Cancelled",S36="Closed - verified"),"Closed","Open"))</f>
        <v/>
      </c>
      <c r="U36" s="61" t="str">
        <f aca="false">IF(A36="","",IF(AND(T36="Open",ISNUMBER(J36),J36&lt;AsOf),"Overdue",""))</f>
        <v/>
      </c>
      <c r="V36" s="54" t="str">
        <f aca="false">IF(A36="","",IF(F36="Accept",IF(Q36="","CHECK: decision record required - not recorded",IF(COUNTIF(DEC_ID,Q36)=0,"CHECK: Decision ID not found","Decision referenced")),""))</f>
        <v/>
      </c>
      <c r="W36" s="54" t="str">
        <f aca="false">IF(A36="","",IF(COUNTIF(TRT_ID,A36)&gt;1,"CHECK: duplicate ID",IF(B36="","CHECK: Supplier ID missing",IF(COUNTIF(INV_ID,B36)=0,"CHECK: Supplier ID not in inventory",IF(AND(D36&lt;&gt;"",COUNTIF(RSK_ID,D36)=0),"CHECK: Risk ID not found",IF(AND(D36&lt;&gt;"",COUNTIF(RSK_ID,D36)&gt;0,IFERROR(INDEX(RSK_SUP,MATCH(D36,RSK_ID,0)),"")&lt;&gt;B36),"CHECK: Risk belongs to a different supplier",IF(AND(E36&lt;&gt;"",COUNTIF(FND_ID,E36)=0),"CHECK: Finding ID not found",IF(AND(N36="Verified",K36&lt;&gt;"Delivered (self-reported)"),"CHECK: verified but not marked delivered","OK"))))))))</f>
        <v/>
      </c>
      <c r="X36" s="52" t="str">
        <f aca="false">IF(OR(A36="",B36=""),"",IF(AND(T36="Open",B36=RptSup),B36&amp;"|"&amp;COUNTIFS($B$7:B36,B36,$T$7:T36,"Open"),""))</f>
        <v/>
      </c>
    </row>
    <row r="37" customFormat="false" ht="15" hidden="false" customHeight="false" outlineLevel="0" collapsed="false">
      <c r="A37" s="50"/>
      <c r="B37" s="50"/>
      <c r="C37" s="59" t="str">
        <f aca="false">IF(B37="","",IFERROR(INDEX(INV_NAME,MATCH(B37,INV_ID,0)),"CHECK: Supplier ID not found"))</f>
        <v/>
      </c>
      <c r="D37" s="50"/>
      <c r="E37" s="50"/>
      <c r="F37" s="50"/>
      <c r="G37" s="34"/>
      <c r="H37" s="34"/>
      <c r="I37" s="34"/>
      <c r="J37" s="51"/>
      <c r="K37" s="34"/>
      <c r="L37" s="34"/>
      <c r="M37" s="34"/>
      <c r="N37" s="34"/>
      <c r="O37" s="51"/>
      <c r="P37" s="50"/>
      <c r="Q37" s="34"/>
      <c r="R37" s="34"/>
      <c r="S37" s="54" t="str">
        <f aca="false">IF(A37="","",IF(K37="Cancelled","Cancelled",IF(K37="Delivered (self-reported)",IF(N37="Verified","Closed - verified","Delivered - verification pending"),IF(K37="","Not started",K37))))</f>
        <v/>
      </c>
      <c r="T37" s="52" t="str">
        <f aca="false">IF(A37="","",IF(OR(S37="Cancelled",S37="Closed - verified"),"Closed","Open"))</f>
        <v/>
      </c>
      <c r="U37" s="61" t="str">
        <f aca="false">IF(A37="","",IF(AND(T37="Open",ISNUMBER(J37),J37&lt;AsOf),"Overdue",""))</f>
        <v/>
      </c>
      <c r="V37" s="54" t="str">
        <f aca="false">IF(A37="","",IF(F37="Accept",IF(Q37="","CHECK: decision record required - not recorded",IF(COUNTIF(DEC_ID,Q37)=0,"CHECK: Decision ID not found","Decision referenced")),""))</f>
        <v/>
      </c>
      <c r="W37" s="54" t="str">
        <f aca="false">IF(A37="","",IF(COUNTIF(TRT_ID,A37)&gt;1,"CHECK: duplicate ID",IF(B37="","CHECK: Supplier ID missing",IF(COUNTIF(INV_ID,B37)=0,"CHECK: Supplier ID not in inventory",IF(AND(D37&lt;&gt;"",COUNTIF(RSK_ID,D37)=0),"CHECK: Risk ID not found",IF(AND(D37&lt;&gt;"",COUNTIF(RSK_ID,D37)&gt;0,IFERROR(INDEX(RSK_SUP,MATCH(D37,RSK_ID,0)),"")&lt;&gt;B37),"CHECK: Risk belongs to a different supplier",IF(AND(E37&lt;&gt;"",COUNTIF(FND_ID,E37)=0),"CHECK: Finding ID not found",IF(AND(N37="Verified",K37&lt;&gt;"Delivered (self-reported)"),"CHECK: verified but not marked delivered","OK"))))))))</f>
        <v/>
      </c>
      <c r="X37" s="52" t="str">
        <f aca="false">IF(OR(A37="",B37=""),"",IF(AND(T37="Open",B37=RptSup),B37&amp;"|"&amp;COUNTIFS($B$7:B37,B37,$T$7:T37,"Open"),""))</f>
        <v/>
      </c>
    </row>
    <row r="38" customFormat="false" ht="15" hidden="false" customHeight="false" outlineLevel="0" collapsed="false">
      <c r="A38" s="50"/>
      <c r="B38" s="50"/>
      <c r="C38" s="59" t="str">
        <f aca="false">IF(B38="","",IFERROR(INDEX(INV_NAME,MATCH(B38,INV_ID,0)),"CHECK: Supplier ID not found"))</f>
        <v/>
      </c>
      <c r="D38" s="50"/>
      <c r="E38" s="50"/>
      <c r="F38" s="50"/>
      <c r="G38" s="34"/>
      <c r="H38" s="34"/>
      <c r="I38" s="34"/>
      <c r="J38" s="51"/>
      <c r="K38" s="34"/>
      <c r="L38" s="34"/>
      <c r="M38" s="34"/>
      <c r="N38" s="34"/>
      <c r="O38" s="51"/>
      <c r="P38" s="50"/>
      <c r="Q38" s="34"/>
      <c r="R38" s="34"/>
      <c r="S38" s="54" t="str">
        <f aca="false">IF(A38="","",IF(K38="Cancelled","Cancelled",IF(K38="Delivered (self-reported)",IF(N38="Verified","Closed - verified","Delivered - verification pending"),IF(K38="","Not started",K38))))</f>
        <v/>
      </c>
      <c r="T38" s="52" t="str">
        <f aca="false">IF(A38="","",IF(OR(S38="Cancelled",S38="Closed - verified"),"Closed","Open"))</f>
        <v/>
      </c>
      <c r="U38" s="61" t="str">
        <f aca="false">IF(A38="","",IF(AND(T38="Open",ISNUMBER(J38),J38&lt;AsOf),"Overdue",""))</f>
        <v/>
      </c>
      <c r="V38" s="54" t="str">
        <f aca="false">IF(A38="","",IF(F38="Accept",IF(Q38="","CHECK: decision record required - not recorded",IF(COUNTIF(DEC_ID,Q38)=0,"CHECK: Decision ID not found","Decision referenced")),""))</f>
        <v/>
      </c>
      <c r="W38" s="54" t="str">
        <f aca="false">IF(A38="","",IF(COUNTIF(TRT_ID,A38)&gt;1,"CHECK: duplicate ID",IF(B38="","CHECK: Supplier ID missing",IF(COUNTIF(INV_ID,B38)=0,"CHECK: Supplier ID not in inventory",IF(AND(D38&lt;&gt;"",COUNTIF(RSK_ID,D38)=0),"CHECK: Risk ID not found",IF(AND(D38&lt;&gt;"",COUNTIF(RSK_ID,D38)&gt;0,IFERROR(INDEX(RSK_SUP,MATCH(D38,RSK_ID,0)),"")&lt;&gt;B38),"CHECK: Risk belongs to a different supplier",IF(AND(E38&lt;&gt;"",COUNTIF(FND_ID,E38)=0),"CHECK: Finding ID not found",IF(AND(N38="Verified",K38&lt;&gt;"Delivered (self-reported)"),"CHECK: verified but not marked delivered","OK"))))))))</f>
        <v/>
      </c>
      <c r="X38" s="52" t="str">
        <f aca="false">IF(OR(A38="",B38=""),"",IF(AND(T38="Open",B38=RptSup),B38&amp;"|"&amp;COUNTIFS($B$7:B38,B38,$T$7:T38,"Open"),""))</f>
        <v/>
      </c>
    </row>
    <row r="39" customFormat="false" ht="15" hidden="false" customHeight="false" outlineLevel="0" collapsed="false">
      <c r="A39" s="50"/>
      <c r="B39" s="50"/>
      <c r="C39" s="59" t="str">
        <f aca="false">IF(B39="","",IFERROR(INDEX(INV_NAME,MATCH(B39,INV_ID,0)),"CHECK: Supplier ID not found"))</f>
        <v/>
      </c>
      <c r="D39" s="50"/>
      <c r="E39" s="50"/>
      <c r="F39" s="50"/>
      <c r="G39" s="34"/>
      <c r="H39" s="34"/>
      <c r="I39" s="34"/>
      <c r="J39" s="51"/>
      <c r="K39" s="34"/>
      <c r="L39" s="34"/>
      <c r="M39" s="34"/>
      <c r="N39" s="34"/>
      <c r="O39" s="51"/>
      <c r="P39" s="50"/>
      <c r="Q39" s="34"/>
      <c r="R39" s="34"/>
      <c r="S39" s="54" t="str">
        <f aca="false">IF(A39="","",IF(K39="Cancelled","Cancelled",IF(K39="Delivered (self-reported)",IF(N39="Verified","Closed - verified","Delivered - verification pending"),IF(K39="","Not started",K39))))</f>
        <v/>
      </c>
      <c r="T39" s="52" t="str">
        <f aca="false">IF(A39="","",IF(OR(S39="Cancelled",S39="Closed - verified"),"Closed","Open"))</f>
        <v/>
      </c>
      <c r="U39" s="61" t="str">
        <f aca="false">IF(A39="","",IF(AND(T39="Open",ISNUMBER(J39),J39&lt;AsOf),"Overdue",""))</f>
        <v/>
      </c>
      <c r="V39" s="54" t="str">
        <f aca="false">IF(A39="","",IF(F39="Accept",IF(Q39="","CHECK: decision record required - not recorded",IF(COUNTIF(DEC_ID,Q39)=0,"CHECK: Decision ID not found","Decision referenced")),""))</f>
        <v/>
      </c>
      <c r="W39" s="54" t="str">
        <f aca="false">IF(A39="","",IF(COUNTIF(TRT_ID,A39)&gt;1,"CHECK: duplicate ID",IF(B39="","CHECK: Supplier ID missing",IF(COUNTIF(INV_ID,B39)=0,"CHECK: Supplier ID not in inventory",IF(AND(D39&lt;&gt;"",COUNTIF(RSK_ID,D39)=0),"CHECK: Risk ID not found",IF(AND(D39&lt;&gt;"",COUNTIF(RSK_ID,D39)&gt;0,IFERROR(INDEX(RSK_SUP,MATCH(D39,RSK_ID,0)),"")&lt;&gt;B39),"CHECK: Risk belongs to a different supplier",IF(AND(E39&lt;&gt;"",COUNTIF(FND_ID,E39)=0),"CHECK: Finding ID not found",IF(AND(N39="Verified",K39&lt;&gt;"Delivered (self-reported)"),"CHECK: verified but not marked delivered","OK"))))))))</f>
        <v/>
      </c>
      <c r="X39" s="52" t="str">
        <f aca="false">IF(OR(A39="",B39=""),"",IF(AND(T39="Open",B39=RptSup),B39&amp;"|"&amp;COUNTIFS($B$7:B39,B39,$T$7:T39,"Open"),""))</f>
        <v/>
      </c>
    </row>
    <row r="40" customFormat="false" ht="15" hidden="false" customHeight="false" outlineLevel="0" collapsed="false">
      <c r="A40" s="50"/>
      <c r="B40" s="50"/>
      <c r="C40" s="59" t="str">
        <f aca="false">IF(B40="","",IFERROR(INDEX(INV_NAME,MATCH(B40,INV_ID,0)),"CHECK: Supplier ID not found"))</f>
        <v/>
      </c>
      <c r="D40" s="50"/>
      <c r="E40" s="50"/>
      <c r="F40" s="50"/>
      <c r="G40" s="34"/>
      <c r="H40" s="34"/>
      <c r="I40" s="34"/>
      <c r="J40" s="51"/>
      <c r="K40" s="34"/>
      <c r="L40" s="34"/>
      <c r="M40" s="34"/>
      <c r="N40" s="34"/>
      <c r="O40" s="51"/>
      <c r="P40" s="50"/>
      <c r="Q40" s="34"/>
      <c r="R40" s="34"/>
      <c r="S40" s="54" t="str">
        <f aca="false">IF(A40="","",IF(K40="Cancelled","Cancelled",IF(K40="Delivered (self-reported)",IF(N40="Verified","Closed - verified","Delivered - verification pending"),IF(K40="","Not started",K40))))</f>
        <v/>
      </c>
      <c r="T40" s="52" t="str">
        <f aca="false">IF(A40="","",IF(OR(S40="Cancelled",S40="Closed - verified"),"Closed","Open"))</f>
        <v/>
      </c>
      <c r="U40" s="61" t="str">
        <f aca="false">IF(A40="","",IF(AND(T40="Open",ISNUMBER(J40),J40&lt;AsOf),"Overdue",""))</f>
        <v/>
      </c>
      <c r="V40" s="54" t="str">
        <f aca="false">IF(A40="","",IF(F40="Accept",IF(Q40="","CHECK: decision record required - not recorded",IF(COUNTIF(DEC_ID,Q40)=0,"CHECK: Decision ID not found","Decision referenced")),""))</f>
        <v/>
      </c>
      <c r="W40" s="54" t="str">
        <f aca="false">IF(A40="","",IF(COUNTIF(TRT_ID,A40)&gt;1,"CHECK: duplicate ID",IF(B40="","CHECK: Supplier ID missing",IF(COUNTIF(INV_ID,B40)=0,"CHECK: Supplier ID not in inventory",IF(AND(D40&lt;&gt;"",COUNTIF(RSK_ID,D40)=0),"CHECK: Risk ID not found",IF(AND(D40&lt;&gt;"",COUNTIF(RSK_ID,D40)&gt;0,IFERROR(INDEX(RSK_SUP,MATCH(D40,RSK_ID,0)),"")&lt;&gt;B40),"CHECK: Risk belongs to a different supplier",IF(AND(E40&lt;&gt;"",COUNTIF(FND_ID,E40)=0),"CHECK: Finding ID not found",IF(AND(N40="Verified",K40&lt;&gt;"Delivered (self-reported)"),"CHECK: verified but not marked delivered","OK"))))))))</f>
        <v/>
      </c>
      <c r="X40" s="52" t="str">
        <f aca="false">IF(OR(A40="",B40=""),"",IF(AND(T40="Open",B40=RptSup),B40&amp;"|"&amp;COUNTIFS($B$7:B40,B40,$T$7:T40,"Open"),""))</f>
        <v/>
      </c>
    </row>
    <row r="41" customFormat="false" ht="15" hidden="false" customHeight="false" outlineLevel="0" collapsed="false">
      <c r="A41" s="50"/>
      <c r="B41" s="50"/>
      <c r="C41" s="59" t="str">
        <f aca="false">IF(B41="","",IFERROR(INDEX(INV_NAME,MATCH(B41,INV_ID,0)),"CHECK: Supplier ID not found"))</f>
        <v/>
      </c>
      <c r="D41" s="50"/>
      <c r="E41" s="50"/>
      <c r="F41" s="50"/>
      <c r="G41" s="34"/>
      <c r="H41" s="34"/>
      <c r="I41" s="34"/>
      <c r="J41" s="51"/>
      <c r="K41" s="34"/>
      <c r="L41" s="34"/>
      <c r="M41" s="34"/>
      <c r="N41" s="34"/>
      <c r="O41" s="51"/>
      <c r="P41" s="50"/>
      <c r="Q41" s="34"/>
      <c r="R41" s="34"/>
      <c r="S41" s="54" t="str">
        <f aca="false">IF(A41="","",IF(K41="Cancelled","Cancelled",IF(K41="Delivered (self-reported)",IF(N41="Verified","Closed - verified","Delivered - verification pending"),IF(K41="","Not started",K41))))</f>
        <v/>
      </c>
      <c r="T41" s="52" t="str">
        <f aca="false">IF(A41="","",IF(OR(S41="Cancelled",S41="Closed - verified"),"Closed","Open"))</f>
        <v/>
      </c>
      <c r="U41" s="61" t="str">
        <f aca="false">IF(A41="","",IF(AND(T41="Open",ISNUMBER(J41),J41&lt;AsOf),"Overdue",""))</f>
        <v/>
      </c>
      <c r="V41" s="54" t="str">
        <f aca="false">IF(A41="","",IF(F41="Accept",IF(Q41="","CHECK: decision record required - not recorded",IF(COUNTIF(DEC_ID,Q41)=0,"CHECK: Decision ID not found","Decision referenced")),""))</f>
        <v/>
      </c>
      <c r="W41" s="54" t="str">
        <f aca="false">IF(A41="","",IF(COUNTIF(TRT_ID,A41)&gt;1,"CHECK: duplicate ID",IF(B41="","CHECK: Supplier ID missing",IF(COUNTIF(INV_ID,B41)=0,"CHECK: Supplier ID not in inventory",IF(AND(D41&lt;&gt;"",COUNTIF(RSK_ID,D41)=0),"CHECK: Risk ID not found",IF(AND(D41&lt;&gt;"",COUNTIF(RSK_ID,D41)&gt;0,IFERROR(INDEX(RSK_SUP,MATCH(D41,RSK_ID,0)),"")&lt;&gt;B41),"CHECK: Risk belongs to a different supplier",IF(AND(E41&lt;&gt;"",COUNTIF(FND_ID,E41)=0),"CHECK: Finding ID not found",IF(AND(N41="Verified",K41&lt;&gt;"Delivered (self-reported)"),"CHECK: verified but not marked delivered","OK"))))))))</f>
        <v/>
      </c>
      <c r="X41" s="52" t="str">
        <f aca="false">IF(OR(A41="",B41=""),"",IF(AND(T41="Open",B41=RptSup),B41&amp;"|"&amp;COUNTIFS($B$7:B41,B41,$T$7:T41,"Open"),""))</f>
        <v/>
      </c>
    </row>
    <row r="42" customFormat="false" ht="15" hidden="false" customHeight="false" outlineLevel="0" collapsed="false">
      <c r="A42" s="50"/>
      <c r="B42" s="50"/>
      <c r="C42" s="59" t="str">
        <f aca="false">IF(B42="","",IFERROR(INDEX(INV_NAME,MATCH(B42,INV_ID,0)),"CHECK: Supplier ID not found"))</f>
        <v/>
      </c>
      <c r="D42" s="50"/>
      <c r="E42" s="50"/>
      <c r="F42" s="50"/>
      <c r="G42" s="34"/>
      <c r="H42" s="34"/>
      <c r="I42" s="34"/>
      <c r="J42" s="51"/>
      <c r="K42" s="34"/>
      <c r="L42" s="34"/>
      <c r="M42" s="34"/>
      <c r="N42" s="34"/>
      <c r="O42" s="51"/>
      <c r="P42" s="50"/>
      <c r="Q42" s="34"/>
      <c r="R42" s="34"/>
      <c r="S42" s="54" t="str">
        <f aca="false">IF(A42="","",IF(K42="Cancelled","Cancelled",IF(K42="Delivered (self-reported)",IF(N42="Verified","Closed - verified","Delivered - verification pending"),IF(K42="","Not started",K42))))</f>
        <v/>
      </c>
      <c r="T42" s="52" t="str">
        <f aca="false">IF(A42="","",IF(OR(S42="Cancelled",S42="Closed - verified"),"Closed","Open"))</f>
        <v/>
      </c>
      <c r="U42" s="61" t="str">
        <f aca="false">IF(A42="","",IF(AND(T42="Open",ISNUMBER(J42),J42&lt;AsOf),"Overdue",""))</f>
        <v/>
      </c>
      <c r="V42" s="54" t="str">
        <f aca="false">IF(A42="","",IF(F42="Accept",IF(Q42="","CHECK: decision record required - not recorded",IF(COUNTIF(DEC_ID,Q42)=0,"CHECK: Decision ID not found","Decision referenced")),""))</f>
        <v/>
      </c>
      <c r="W42" s="54" t="str">
        <f aca="false">IF(A42="","",IF(COUNTIF(TRT_ID,A42)&gt;1,"CHECK: duplicate ID",IF(B42="","CHECK: Supplier ID missing",IF(COUNTIF(INV_ID,B42)=0,"CHECK: Supplier ID not in inventory",IF(AND(D42&lt;&gt;"",COUNTIF(RSK_ID,D42)=0),"CHECK: Risk ID not found",IF(AND(D42&lt;&gt;"",COUNTIF(RSK_ID,D42)&gt;0,IFERROR(INDEX(RSK_SUP,MATCH(D42,RSK_ID,0)),"")&lt;&gt;B42),"CHECK: Risk belongs to a different supplier",IF(AND(E42&lt;&gt;"",COUNTIF(FND_ID,E42)=0),"CHECK: Finding ID not found",IF(AND(N42="Verified",K42&lt;&gt;"Delivered (self-reported)"),"CHECK: verified but not marked delivered","OK"))))))))</f>
        <v/>
      </c>
      <c r="X42" s="52" t="str">
        <f aca="false">IF(OR(A42="",B42=""),"",IF(AND(T42="Open",B42=RptSup),B42&amp;"|"&amp;COUNTIFS($B$7:B42,B42,$T$7:T42,"Open"),""))</f>
        <v/>
      </c>
    </row>
    <row r="43" customFormat="false" ht="15" hidden="false" customHeight="false" outlineLevel="0" collapsed="false">
      <c r="A43" s="50"/>
      <c r="B43" s="50"/>
      <c r="C43" s="59" t="str">
        <f aca="false">IF(B43="","",IFERROR(INDEX(INV_NAME,MATCH(B43,INV_ID,0)),"CHECK: Supplier ID not found"))</f>
        <v/>
      </c>
      <c r="D43" s="50"/>
      <c r="E43" s="50"/>
      <c r="F43" s="50"/>
      <c r="G43" s="34"/>
      <c r="H43" s="34"/>
      <c r="I43" s="34"/>
      <c r="J43" s="51"/>
      <c r="K43" s="34"/>
      <c r="L43" s="34"/>
      <c r="M43" s="34"/>
      <c r="N43" s="34"/>
      <c r="O43" s="51"/>
      <c r="P43" s="50"/>
      <c r="Q43" s="34"/>
      <c r="R43" s="34"/>
      <c r="S43" s="54" t="str">
        <f aca="false">IF(A43="","",IF(K43="Cancelled","Cancelled",IF(K43="Delivered (self-reported)",IF(N43="Verified","Closed - verified","Delivered - verification pending"),IF(K43="","Not started",K43))))</f>
        <v/>
      </c>
      <c r="T43" s="52" t="str">
        <f aca="false">IF(A43="","",IF(OR(S43="Cancelled",S43="Closed - verified"),"Closed","Open"))</f>
        <v/>
      </c>
      <c r="U43" s="61" t="str">
        <f aca="false">IF(A43="","",IF(AND(T43="Open",ISNUMBER(J43),J43&lt;AsOf),"Overdue",""))</f>
        <v/>
      </c>
      <c r="V43" s="54" t="str">
        <f aca="false">IF(A43="","",IF(F43="Accept",IF(Q43="","CHECK: decision record required - not recorded",IF(COUNTIF(DEC_ID,Q43)=0,"CHECK: Decision ID not found","Decision referenced")),""))</f>
        <v/>
      </c>
      <c r="W43" s="54" t="str">
        <f aca="false">IF(A43="","",IF(COUNTIF(TRT_ID,A43)&gt;1,"CHECK: duplicate ID",IF(B43="","CHECK: Supplier ID missing",IF(COUNTIF(INV_ID,B43)=0,"CHECK: Supplier ID not in inventory",IF(AND(D43&lt;&gt;"",COUNTIF(RSK_ID,D43)=0),"CHECK: Risk ID not found",IF(AND(D43&lt;&gt;"",COUNTIF(RSK_ID,D43)&gt;0,IFERROR(INDEX(RSK_SUP,MATCH(D43,RSK_ID,0)),"")&lt;&gt;B43),"CHECK: Risk belongs to a different supplier",IF(AND(E43&lt;&gt;"",COUNTIF(FND_ID,E43)=0),"CHECK: Finding ID not found",IF(AND(N43="Verified",K43&lt;&gt;"Delivered (self-reported)"),"CHECK: verified but not marked delivered","OK"))))))))</f>
        <v/>
      </c>
      <c r="X43" s="52" t="str">
        <f aca="false">IF(OR(A43="",B43=""),"",IF(AND(T43="Open",B43=RptSup),B43&amp;"|"&amp;COUNTIFS($B$7:B43,B43,$T$7:T43,"Open"),""))</f>
        <v/>
      </c>
    </row>
    <row r="44" customFormat="false" ht="15" hidden="false" customHeight="false" outlineLevel="0" collapsed="false">
      <c r="A44" s="50"/>
      <c r="B44" s="50"/>
      <c r="C44" s="59" t="str">
        <f aca="false">IF(B44="","",IFERROR(INDEX(INV_NAME,MATCH(B44,INV_ID,0)),"CHECK: Supplier ID not found"))</f>
        <v/>
      </c>
      <c r="D44" s="50"/>
      <c r="E44" s="50"/>
      <c r="F44" s="50"/>
      <c r="G44" s="34"/>
      <c r="H44" s="34"/>
      <c r="I44" s="34"/>
      <c r="J44" s="51"/>
      <c r="K44" s="34"/>
      <c r="L44" s="34"/>
      <c r="M44" s="34"/>
      <c r="N44" s="34"/>
      <c r="O44" s="51"/>
      <c r="P44" s="50"/>
      <c r="Q44" s="34"/>
      <c r="R44" s="34"/>
      <c r="S44" s="54" t="str">
        <f aca="false">IF(A44="","",IF(K44="Cancelled","Cancelled",IF(K44="Delivered (self-reported)",IF(N44="Verified","Closed - verified","Delivered - verification pending"),IF(K44="","Not started",K44))))</f>
        <v/>
      </c>
      <c r="T44" s="52" t="str">
        <f aca="false">IF(A44="","",IF(OR(S44="Cancelled",S44="Closed - verified"),"Closed","Open"))</f>
        <v/>
      </c>
      <c r="U44" s="61" t="str">
        <f aca="false">IF(A44="","",IF(AND(T44="Open",ISNUMBER(J44),J44&lt;AsOf),"Overdue",""))</f>
        <v/>
      </c>
      <c r="V44" s="54" t="str">
        <f aca="false">IF(A44="","",IF(F44="Accept",IF(Q44="","CHECK: decision record required - not recorded",IF(COUNTIF(DEC_ID,Q44)=0,"CHECK: Decision ID not found","Decision referenced")),""))</f>
        <v/>
      </c>
      <c r="W44" s="54" t="str">
        <f aca="false">IF(A44="","",IF(COUNTIF(TRT_ID,A44)&gt;1,"CHECK: duplicate ID",IF(B44="","CHECK: Supplier ID missing",IF(COUNTIF(INV_ID,B44)=0,"CHECK: Supplier ID not in inventory",IF(AND(D44&lt;&gt;"",COUNTIF(RSK_ID,D44)=0),"CHECK: Risk ID not found",IF(AND(D44&lt;&gt;"",COUNTIF(RSK_ID,D44)&gt;0,IFERROR(INDEX(RSK_SUP,MATCH(D44,RSK_ID,0)),"")&lt;&gt;B44),"CHECK: Risk belongs to a different supplier",IF(AND(E44&lt;&gt;"",COUNTIF(FND_ID,E44)=0),"CHECK: Finding ID not found",IF(AND(N44="Verified",K44&lt;&gt;"Delivered (self-reported)"),"CHECK: verified but not marked delivered","OK"))))))))</f>
        <v/>
      </c>
      <c r="X44" s="52" t="str">
        <f aca="false">IF(OR(A44="",B44=""),"",IF(AND(T44="Open",B44=RptSup),B44&amp;"|"&amp;COUNTIFS($B$7:B44,B44,$T$7:T44,"Open"),""))</f>
        <v/>
      </c>
    </row>
    <row r="45" customFormat="false" ht="15" hidden="false" customHeight="false" outlineLevel="0" collapsed="false">
      <c r="A45" s="50"/>
      <c r="B45" s="50"/>
      <c r="C45" s="59" t="str">
        <f aca="false">IF(B45="","",IFERROR(INDEX(INV_NAME,MATCH(B45,INV_ID,0)),"CHECK: Supplier ID not found"))</f>
        <v/>
      </c>
      <c r="D45" s="50"/>
      <c r="E45" s="50"/>
      <c r="F45" s="50"/>
      <c r="G45" s="34"/>
      <c r="H45" s="34"/>
      <c r="I45" s="34"/>
      <c r="J45" s="51"/>
      <c r="K45" s="34"/>
      <c r="L45" s="34"/>
      <c r="M45" s="34"/>
      <c r="N45" s="34"/>
      <c r="O45" s="51"/>
      <c r="P45" s="50"/>
      <c r="Q45" s="34"/>
      <c r="R45" s="34"/>
      <c r="S45" s="54" t="str">
        <f aca="false">IF(A45="","",IF(K45="Cancelled","Cancelled",IF(K45="Delivered (self-reported)",IF(N45="Verified","Closed - verified","Delivered - verification pending"),IF(K45="","Not started",K45))))</f>
        <v/>
      </c>
      <c r="T45" s="52" t="str">
        <f aca="false">IF(A45="","",IF(OR(S45="Cancelled",S45="Closed - verified"),"Closed","Open"))</f>
        <v/>
      </c>
      <c r="U45" s="61" t="str">
        <f aca="false">IF(A45="","",IF(AND(T45="Open",ISNUMBER(J45),J45&lt;AsOf),"Overdue",""))</f>
        <v/>
      </c>
      <c r="V45" s="54" t="str">
        <f aca="false">IF(A45="","",IF(F45="Accept",IF(Q45="","CHECK: decision record required - not recorded",IF(COUNTIF(DEC_ID,Q45)=0,"CHECK: Decision ID not found","Decision referenced")),""))</f>
        <v/>
      </c>
      <c r="W45" s="54" t="str">
        <f aca="false">IF(A45="","",IF(COUNTIF(TRT_ID,A45)&gt;1,"CHECK: duplicate ID",IF(B45="","CHECK: Supplier ID missing",IF(COUNTIF(INV_ID,B45)=0,"CHECK: Supplier ID not in inventory",IF(AND(D45&lt;&gt;"",COUNTIF(RSK_ID,D45)=0),"CHECK: Risk ID not found",IF(AND(D45&lt;&gt;"",COUNTIF(RSK_ID,D45)&gt;0,IFERROR(INDEX(RSK_SUP,MATCH(D45,RSK_ID,0)),"")&lt;&gt;B45),"CHECK: Risk belongs to a different supplier",IF(AND(E45&lt;&gt;"",COUNTIF(FND_ID,E45)=0),"CHECK: Finding ID not found",IF(AND(N45="Verified",K45&lt;&gt;"Delivered (self-reported)"),"CHECK: verified but not marked delivered","OK"))))))))</f>
        <v/>
      </c>
      <c r="X45" s="52" t="str">
        <f aca="false">IF(OR(A45="",B45=""),"",IF(AND(T45="Open",B45=RptSup),B45&amp;"|"&amp;COUNTIFS($B$7:B45,B45,$T$7:T45,"Open"),""))</f>
        <v/>
      </c>
    </row>
    <row r="46" customFormat="false" ht="15" hidden="false" customHeight="false" outlineLevel="0" collapsed="false">
      <c r="A46" s="50"/>
      <c r="B46" s="50"/>
      <c r="C46" s="59" t="str">
        <f aca="false">IF(B46="","",IFERROR(INDEX(INV_NAME,MATCH(B46,INV_ID,0)),"CHECK: Supplier ID not found"))</f>
        <v/>
      </c>
      <c r="D46" s="50"/>
      <c r="E46" s="50"/>
      <c r="F46" s="50"/>
      <c r="G46" s="34"/>
      <c r="H46" s="34"/>
      <c r="I46" s="34"/>
      <c r="J46" s="51"/>
      <c r="K46" s="34"/>
      <c r="L46" s="34"/>
      <c r="M46" s="34"/>
      <c r="N46" s="34"/>
      <c r="O46" s="51"/>
      <c r="P46" s="50"/>
      <c r="Q46" s="34"/>
      <c r="R46" s="34"/>
      <c r="S46" s="54" t="str">
        <f aca="false">IF(A46="","",IF(K46="Cancelled","Cancelled",IF(K46="Delivered (self-reported)",IF(N46="Verified","Closed - verified","Delivered - verification pending"),IF(K46="","Not started",K46))))</f>
        <v/>
      </c>
      <c r="T46" s="52" t="str">
        <f aca="false">IF(A46="","",IF(OR(S46="Cancelled",S46="Closed - verified"),"Closed","Open"))</f>
        <v/>
      </c>
      <c r="U46" s="61" t="str">
        <f aca="false">IF(A46="","",IF(AND(T46="Open",ISNUMBER(J46),J46&lt;AsOf),"Overdue",""))</f>
        <v/>
      </c>
      <c r="V46" s="54" t="str">
        <f aca="false">IF(A46="","",IF(F46="Accept",IF(Q46="","CHECK: decision record required - not recorded",IF(COUNTIF(DEC_ID,Q46)=0,"CHECK: Decision ID not found","Decision referenced")),""))</f>
        <v/>
      </c>
      <c r="W46" s="54" t="str">
        <f aca="false">IF(A46="","",IF(COUNTIF(TRT_ID,A46)&gt;1,"CHECK: duplicate ID",IF(B46="","CHECK: Supplier ID missing",IF(COUNTIF(INV_ID,B46)=0,"CHECK: Supplier ID not in inventory",IF(AND(D46&lt;&gt;"",COUNTIF(RSK_ID,D46)=0),"CHECK: Risk ID not found",IF(AND(D46&lt;&gt;"",COUNTIF(RSK_ID,D46)&gt;0,IFERROR(INDEX(RSK_SUP,MATCH(D46,RSK_ID,0)),"")&lt;&gt;B46),"CHECK: Risk belongs to a different supplier",IF(AND(E46&lt;&gt;"",COUNTIF(FND_ID,E46)=0),"CHECK: Finding ID not found",IF(AND(N46="Verified",K46&lt;&gt;"Delivered (self-reported)"),"CHECK: verified but not marked delivered","OK"))))))))</f>
        <v/>
      </c>
      <c r="X46" s="52" t="str">
        <f aca="false">IF(OR(A46="",B46=""),"",IF(AND(T46="Open",B46=RptSup),B46&amp;"|"&amp;COUNTIFS($B$7:B46,B46,$T$7:T46,"Open"),""))</f>
        <v/>
      </c>
    </row>
    <row r="47" customFormat="false" ht="15" hidden="false" customHeight="false" outlineLevel="0" collapsed="false">
      <c r="A47" s="50"/>
      <c r="B47" s="50"/>
      <c r="C47" s="59" t="str">
        <f aca="false">IF(B47="","",IFERROR(INDEX(INV_NAME,MATCH(B47,INV_ID,0)),"CHECK: Supplier ID not found"))</f>
        <v/>
      </c>
      <c r="D47" s="50"/>
      <c r="E47" s="50"/>
      <c r="F47" s="50"/>
      <c r="G47" s="34"/>
      <c r="H47" s="34"/>
      <c r="I47" s="34"/>
      <c r="J47" s="51"/>
      <c r="K47" s="34"/>
      <c r="L47" s="34"/>
      <c r="M47" s="34"/>
      <c r="N47" s="34"/>
      <c r="O47" s="51"/>
      <c r="P47" s="50"/>
      <c r="Q47" s="34"/>
      <c r="R47" s="34"/>
      <c r="S47" s="54" t="str">
        <f aca="false">IF(A47="","",IF(K47="Cancelled","Cancelled",IF(K47="Delivered (self-reported)",IF(N47="Verified","Closed - verified","Delivered - verification pending"),IF(K47="","Not started",K47))))</f>
        <v/>
      </c>
      <c r="T47" s="52" t="str">
        <f aca="false">IF(A47="","",IF(OR(S47="Cancelled",S47="Closed - verified"),"Closed","Open"))</f>
        <v/>
      </c>
      <c r="U47" s="61" t="str">
        <f aca="false">IF(A47="","",IF(AND(T47="Open",ISNUMBER(J47),J47&lt;AsOf),"Overdue",""))</f>
        <v/>
      </c>
      <c r="V47" s="54" t="str">
        <f aca="false">IF(A47="","",IF(F47="Accept",IF(Q47="","CHECK: decision record required - not recorded",IF(COUNTIF(DEC_ID,Q47)=0,"CHECK: Decision ID not found","Decision referenced")),""))</f>
        <v/>
      </c>
      <c r="W47" s="54" t="str">
        <f aca="false">IF(A47="","",IF(COUNTIF(TRT_ID,A47)&gt;1,"CHECK: duplicate ID",IF(B47="","CHECK: Supplier ID missing",IF(COUNTIF(INV_ID,B47)=0,"CHECK: Supplier ID not in inventory",IF(AND(D47&lt;&gt;"",COUNTIF(RSK_ID,D47)=0),"CHECK: Risk ID not found",IF(AND(D47&lt;&gt;"",COUNTIF(RSK_ID,D47)&gt;0,IFERROR(INDEX(RSK_SUP,MATCH(D47,RSK_ID,0)),"")&lt;&gt;B47),"CHECK: Risk belongs to a different supplier",IF(AND(E47&lt;&gt;"",COUNTIF(FND_ID,E47)=0),"CHECK: Finding ID not found",IF(AND(N47="Verified",K47&lt;&gt;"Delivered (self-reported)"),"CHECK: verified but not marked delivered","OK"))))))))</f>
        <v/>
      </c>
      <c r="X47" s="52" t="str">
        <f aca="false">IF(OR(A47="",B47=""),"",IF(AND(T47="Open",B47=RptSup),B47&amp;"|"&amp;COUNTIFS($B$7:B47,B47,$T$7:T47,"Open"),""))</f>
        <v/>
      </c>
    </row>
    <row r="48" customFormat="false" ht="15" hidden="false" customHeight="false" outlineLevel="0" collapsed="false">
      <c r="A48" s="50"/>
      <c r="B48" s="50"/>
      <c r="C48" s="59" t="str">
        <f aca="false">IF(B48="","",IFERROR(INDEX(INV_NAME,MATCH(B48,INV_ID,0)),"CHECK: Supplier ID not found"))</f>
        <v/>
      </c>
      <c r="D48" s="50"/>
      <c r="E48" s="50"/>
      <c r="F48" s="50"/>
      <c r="G48" s="34"/>
      <c r="H48" s="34"/>
      <c r="I48" s="34"/>
      <c r="J48" s="51"/>
      <c r="K48" s="34"/>
      <c r="L48" s="34"/>
      <c r="M48" s="34"/>
      <c r="N48" s="34"/>
      <c r="O48" s="51"/>
      <c r="P48" s="50"/>
      <c r="Q48" s="34"/>
      <c r="R48" s="34"/>
      <c r="S48" s="54" t="str">
        <f aca="false">IF(A48="","",IF(K48="Cancelled","Cancelled",IF(K48="Delivered (self-reported)",IF(N48="Verified","Closed - verified","Delivered - verification pending"),IF(K48="","Not started",K48))))</f>
        <v/>
      </c>
      <c r="T48" s="52" t="str">
        <f aca="false">IF(A48="","",IF(OR(S48="Cancelled",S48="Closed - verified"),"Closed","Open"))</f>
        <v/>
      </c>
      <c r="U48" s="61" t="str">
        <f aca="false">IF(A48="","",IF(AND(T48="Open",ISNUMBER(J48),J48&lt;AsOf),"Overdue",""))</f>
        <v/>
      </c>
      <c r="V48" s="54" t="str">
        <f aca="false">IF(A48="","",IF(F48="Accept",IF(Q48="","CHECK: decision record required - not recorded",IF(COUNTIF(DEC_ID,Q48)=0,"CHECK: Decision ID not found","Decision referenced")),""))</f>
        <v/>
      </c>
      <c r="W48" s="54" t="str">
        <f aca="false">IF(A48="","",IF(COUNTIF(TRT_ID,A48)&gt;1,"CHECK: duplicate ID",IF(B48="","CHECK: Supplier ID missing",IF(COUNTIF(INV_ID,B48)=0,"CHECK: Supplier ID not in inventory",IF(AND(D48&lt;&gt;"",COUNTIF(RSK_ID,D48)=0),"CHECK: Risk ID not found",IF(AND(D48&lt;&gt;"",COUNTIF(RSK_ID,D48)&gt;0,IFERROR(INDEX(RSK_SUP,MATCH(D48,RSK_ID,0)),"")&lt;&gt;B48),"CHECK: Risk belongs to a different supplier",IF(AND(E48&lt;&gt;"",COUNTIF(FND_ID,E48)=0),"CHECK: Finding ID not found",IF(AND(N48="Verified",K48&lt;&gt;"Delivered (self-reported)"),"CHECK: verified but not marked delivered","OK"))))))))</f>
        <v/>
      </c>
      <c r="X48" s="52" t="str">
        <f aca="false">IF(OR(A48="",B48=""),"",IF(AND(T48="Open",B48=RptSup),B48&amp;"|"&amp;COUNTIFS($B$7:B48,B48,$T$7:T48,"Open"),""))</f>
        <v/>
      </c>
    </row>
    <row r="49" customFormat="false" ht="15" hidden="false" customHeight="false" outlineLevel="0" collapsed="false">
      <c r="A49" s="50"/>
      <c r="B49" s="50"/>
      <c r="C49" s="59" t="str">
        <f aca="false">IF(B49="","",IFERROR(INDEX(INV_NAME,MATCH(B49,INV_ID,0)),"CHECK: Supplier ID not found"))</f>
        <v/>
      </c>
      <c r="D49" s="50"/>
      <c r="E49" s="50"/>
      <c r="F49" s="50"/>
      <c r="G49" s="34"/>
      <c r="H49" s="34"/>
      <c r="I49" s="34"/>
      <c r="J49" s="51"/>
      <c r="K49" s="34"/>
      <c r="L49" s="34"/>
      <c r="M49" s="34"/>
      <c r="N49" s="34"/>
      <c r="O49" s="51"/>
      <c r="P49" s="50"/>
      <c r="Q49" s="34"/>
      <c r="R49" s="34"/>
      <c r="S49" s="54" t="str">
        <f aca="false">IF(A49="","",IF(K49="Cancelled","Cancelled",IF(K49="Delivered (self-reported)",IF(N49="Verified","Closed - verified","Delivered - verification pending"),IF(K49="","Not started",K49))))</f>
        <v/>
      </c>
      <c r="T49" s="52" t="str">
        <f aca="false">IF(A49="","",IF(OR(S49="Cancelled",S49="Closed - verified"),"Closed","Open"))</f>
        <v/>
      </c>
      <c r="U49" s="61" t="str">
        <f aca="false">IF(A49="","",IF(AND(T49="Open",ISNUMBER(J49),J49&lt;AsOf),"Overdue",""))</f>
        <v/>
      </c>
      <c r="V49" s="54" t="str">
        <f aca="false">IF(A49="","",IF(F49="Accept",IF(Q49="","CHECK: decision record required - not recorded",IF(COUNTIF(DEC_ID,Q49)=0,"CHECK: Decision ID not found","Decision referenced")),""))</f>
        <v/>
      </c>
      <c r="W49" s="54" t="str">
        <f aca="false">IF(A49="","",IF(COUNTIF(TRT_ID,A49)&gt;1,"CHECK: duplicate ID",IF(B49="","CHECK: Supplier ID missing",IF(COUNTIF(INV_ID,B49)=0,"CHECK: Supplier ID not in inventory",IF(AND(D49&lt;&gt;"",COUNTIF(RSK_ID,D49)=0),"CHECK: Risk ID not found",IF(AND(D49&lt;&gt;"",COUNTIF(RSK_ID,D49)&gt;0,IFERROR(INDEX(RSK_SUP,MATCH(D49,RSK_ID,0)),"")&lt;&gt;B49),"CHECK: Risk belongs to a different supplier",IF(AND(E49&lt;&gt;"",COUNTIF(FND_ID,E49)=0),"CHECK: Finding ID not found",IF(AND(N49="Verified",K49&lt;&gt;"Delivered (self-reported)"),"CHECK: verified but not marked delivered","OK"))))))))</f>
        <v/>
      </c>
      <c r="X49" s="52" t="str">
        <f aca="false">IF(OR(A49="",B49=""),"",IF(AND(T49="Open",B49=RptSup),B49&amp;"|"&amp;COUNTIFS($B$7:B49,B49,$T$7:T49,"Open"),""))</f>
        <v/>
      </c>
    </row>
    <row r="50" customFormat="false" ht="15" hidden="false" customHeight="false" outlineLevel="0" collapsed="false">
      <c r="A50" s="50"/>
      <c r="B50" s="50"/>
      <c r="C50" s="59" t="str">
        <f aca="false">IF(B50="","",IFERROR(INDEX(INV_NAME,MATCH(B50,INV_ID,0)),"CHECK: Supplier ID not found"))</f>
        <v/>
      </c>
      <c r="D50" s="50"/>
      <c r="E50" s="50"/>
      <c r="F50" s="50"/>
      <c r="G50" s="34"/>
      <c r="H50" s="34"/>
      <c r="I50" s="34"/>
      <c r="J50" s="51"/>
      <c r="K50" s="34"/>
      <c r="L50" s="34"/>
      <c r="M50" s="34"/>
      <c r="N50" s="34"/>
      <c r="O50" s="51"/>
      <c r="P50" s="50"/>
      <c r="Q50" s="34"/>
      <c r="R50" s="34"/>
      <c r="S50" s="54" t="str">
        <f aca="false">IF(A50="","",IF(K50="Cancelled","Cancelled",IF(K50="Delivered (self-reported)",IF(N50="Verified","Closed - verified","Delivered - verification pending"),IF(K50="","Not started",K50))))</f>
        <v/>
      </c>
      <c r="T50" s="52" t="str">
        <f aca="false">IF(A50="","",IF(OR(S50="Cancelled",S50="Closed - verified"),"Closed","Open"))</f>
        <v/>
      </c>
      <c r="U50" s="61" t="str">
        <f aca="false">IF(A50="","",IF(AND(T50="Open",ISNUMBER(J50),J50&lt;AsOf),"Overdue",""))</f>
        <v/>
      </c>
      <c r="V50" s="54" t="str">
        <f aca="false">IF(A50="","",IF(F50="Accept",IF(Q50="","CHECK: decision record required - not recorded",IF(COUNTIF(DEC_ID,Q50)=0,"CHECK: Decision ID not found","Decision referenced")),""))</f>
        <v/>
      </c>
      <c r="W50" s="54" t="str">
        <f aca="false">IF(A50="","",IF(COUNTIF(TRT_ID,A50)&gt;1,"CHECK: duplicate ID",IF(B50="","CHECK: Supplier ID missing",IF(COUNTIF(INV_ID,B50)=0,"CHECK: Supplier ID not in inventory",IF(AND(D50&lt;&gt;"",COUNTIF(RSK_ID,D50)=0),"CHECK: Risk ID not found",IF(AND(D50&lt;&gt;"",COUNTIF(RSK_ID,D50)&gt;0,IFERROR(INDEX(RSK_SUP,MATCH(D50,RSK_ID,0)),"")&lt;&gt;B50),"CHECK: Risk belongs to a different supplier",IF(AND(E50&lt;&gt;"",COUNTIF(FND_ID,E50)=0),"CHECK: Finding ID not found",IF(AND(N50="Verified",K50&lt;&gt;"Delivered (self-reported)"),"CHECK: verified but not marked delivered","OK"))))))))</f>
        <v/>
      </c>
      <c r="X50" s="52" t="str">
        <f aca="false">IF(OR(A50="",B50=""),"",IF(AND(T50="Open",B50=RptSup),B50&amp;"|"&amp;COUNTIFS($B$7:B50,B50,$T$7:T50,"Open"),""))</f>
        <v/>
      </c>
    </row>
    <row r="51" customFormat="false" ht="15" hidden="false" customHeight="false" outlineLevel="0" collapsed="false">
      <c r="A51" s="50"/>
      <c r="B51" s="50"/>
      <c r="C51" s="59" t="str">
        <f aca="false">IF(B51="","",IFERROR(INDEX(INV_NAME,MATCH(B51,INV_ID,0)),"CHECK: Supplier ID not found"))</f>
        <v/>
      </c>
      <c r="D51" s="50"/>
      <c r="E51" s="50"/>
      <c r="F51" s="50"/>
      <c r="G51" s="34"/>
      <c r="H51" s="34"/>
      <c r="I51" s="34"/>
      <c r="J51" s="51"/>
      <c r="K51" s="34"/>
      <c r="L51" s="34"/>
      <c r="M51" s="34"/>
      <c r="N51" s="34"/>
      <c r="O51" s="51"/>
      <c r="P51" s="50"/>
      <c r="Q51" s="34"/>
      <c r="R51" s="34"/>
      <c r="S51" s="54" t="str">
        <f aca="false">IF(A51="","",IF(K51="Cancelled","Cancelled",IF(K51="Delivered (self-reported)",IF(N51="Verified","Closed - verified","Delivered - verification pending"),IF(K51="","Not started",K51))))</f>
        <v/>
      </c>
      <c r="T51" s="52" t="str">
        <f aca="false">IF(A51="","",IF(OR(S51="Cancelled",S51="Closed - verified"),"Closed","Open"))</f>
        <v/>
      </c>
      <c r="U51" s="61" t="str">
        <f aca="false">IF(A51="","",IF(AND(T51="Open",ISNUMBER(J51),J51&lt;AsOf),"Overdue",""))</f>
        <v/>
      </c>
      <c r="V51" s="54" t="str">
        <f aca="false">IF(A51="","",IF(F51="Accept",IF(Q51="","CHECK: decision record required - not recorded",IF(COUNTIF(DEC_ID,Q51)=0,"CHECK: Decision ID not found","Decision referenced")),""))</f>
        <v/>
      </c>
      <c r="W51" s="54" t="str">
        <f aca="false">IF(A51="","",IF(COUNTIF(TRT_ID,A51)&gt;1,"CHECK: duplicate ID",IF(B51="","CHECK: Supplier ID missing",IF(COUNTIF(INV_ID,B51)=0,"CHECK: Supplier ID not in inventory",IF(AND(D51&lt;&gt;"",COUNTIF(RSK_ID,D51)=0),"CHECK: Risk ID not found",IF(AND(D51&lt;&gt;"",COUNTIF(RSK_ID,D51)&gt;0,IFERROR(INDEX(RSK_SUP,MATCH(D51,RSK_ID,0)),"")&lt;&gt;B51),"CHECK: Risk belongs to a different supplier",IF(AND(E51&lt;&gt;"",COUNTIF(FND_ID,E51)=0),"CHECK: Finding ID not found",IF(AND(N51="Verified",K51&lt;&gt;"Delivered (self-reported)"),"CHECK: verified but not marked delivered","OK"))))))))</f>
        <v/>
      </c>
      <c r="X51" s="52" t="str">
        <f aca="false">IF(OR(A51="",B51=""),"",IF(AND(T51="Open",B51=RptSup),B51&amp;"|"&amp;COUNTIFS($B$7:B51,B51,$T$7:T51,"Open"),""))</f>
        <v/>
      </c>
    </row>
    <row r="52" customFormat="false" ht="15" hidden="false" customHeight="false" outlineLevel="0" collapsed="false">
      <c r="A52" s="50"/>
      <c r="B52" s="50"/>
      <c r="C52" s="59" t="str">
        <f aca="false">IF(B52="","",IFERROR(INDEX(INV_NAME,MATCH(B52,INV_ID,0)),"CHECK: Supplier ID not found"))</f>
        <v/>
      </c>
      <c r="D52" s="50"/>
      <c r="E52" s="50"/>
      <c r="F52" s="50"/>
      <c r="G52" s="34"/>
      <c r="H52" s="34"/>
      <c r="I52" s="34"/>
      <c r="J52" s="51"/>
      <c r="K52" s="34"/>
      <c r="L52" s="34"/>
      <c r="M52" s="34"/>
      <c r="N52" s="34"/>
      <c r="O52" s="51"/>
      <c r="P52" s="50"/>
      <c r="Q52" s="34"/>
      <c r="R52" s="34"/>
      <c r="S52" s="54" t="str">
        <f aca="false">IF(A52="","",IF(K52="Cancelled","Cancelled",IF(K52="Delivered (self-reported)",IF(N52="Verified","Closed - verified","Delivered - verification pending"),IF(K52="","Not started",K52))))</f>
        <v/>
      </c>
      <c r="T52" s="52" t="str">
        <f aca="false">IF(A52="","",IF(OR(S52="Cancelled",S52="Closed - verified"),"Closed","Open"))</f>
        <v/>
      </c>
      <c r="U52" s="61" t="str">
        <f aca="false">IF(A52="","",IF(AND(T52="Open",ISNUMBER(J52),J52&lt;AsOf),"Overdue",""))</f>
        <v/>
      </c>
      <c r="V52" s="54" t="str">
        <f aca="false">IF(A52="","",IF(F52="Accept",IF(Q52="","CHECK: decision record required - not recorded",IF(COUNTIF(DEC_ID,Q52)=0,"CHECK: Decision ID not found","Decision referenced")),""))</f>
        <v/>
      </c>
      <c r="W52" s="54" t="str">
        <f aca="false">IF(A52="","",IF(COUNTIF(TRT_ID,A52)&gt;1,"CHECK: duplicate ID",IF(B52="","CHECK: Supplier ID missing",IF(COUNTIF(INV_ID,B52)=0,"CHECK: Supplier ID not in inventory",IF(AND(D52&lt;&gt;"",COUNTIF(RSK_ID,D52)=0),"CHECK: Risk ID not found",IF(AND(D52&lt;&gt;"",COUNTIF(RSK_ID,D52)&gt;0,IFERROR(INDEX(RSK_SUP,MATCH(D52,RSK_ID,0)),"")&lt;&gt;B52),"CHECK: Risk belongs to a different supplier",IF(AND(E52&lt;&gt;"",COUNTIF(FND_ID,E52)=0),"CHECK: Finding ID not found",IF(AND(N52="Verified",K52&lt;&gt;"Delivered (self-reported)"),"CHECK: verified but not marked delivered","OK"))))))))</f>
        <v/>
      </c>
      <c r="X52" s="52" t="str">
        <f aca="false">IF(OR(A52="",B52=""),"",IF(AND(T52="Open",B52=RptSup),B52&amp;"|"&amp;COUNTIFS($B$7:B52,B52,$T$7:T52,"Open"),""))</f>
        <v/>
      </c>
    </row>
    <row r="53" customFormat="false" ht="15" hidden="false" customHeight="false" outlineLevel="0" collapsed="false">
      <c r="A53" s="50"/>
      <c r="B53" s="50"/>
      <c r="C53" s="59" t="str">
        <f aca="false">IF(B53="","",IFERROR(INDEX(INV_NAME,MATCH(B53,INV_ID,0)),"CHECK: Supplier ID not found"))</f>
        <v/>
      </c>
      <c r="D53" s="50"/>
      <c r="E53" s="50"/>
      <c r="F53" s="50"/>
      <c r="G53" s="34"/>
      <c r="H53" s="34"/>
      <c r="I53" s="34"/>
      <c r="J53" s="51"/>
      <c r="K53" s="34"/>
      <c r="L53" s="34"/>
      <c r="M53" s="34"/>
      <c r="N53" s="34"/>
      <c r="O53" s="51"/>
      <c r="P53" s="50"/>
      <c r="Q53" s="34"/>
      <c r="R53" s="34"/>
      <c r="S53" s="54" t="str">
        <f aca="false">IF(A53="","",IF(K53="Cancelled","Cancelled",IF(K53="Delivered (self-reported)",IF(N53="Verified","Closed - verified","Delivered - verification pending"),IF(K53="","Not started",K53))))</f>
        <v/>
      </c>
      <c r="T53" s="52" t="str">
        <f aca="false">IF(A53="","",IF(OR(S53="Cancelled",S53="Closed - verified"),"Closed","Open"))</f>
        <v/>
      </c>
      <c r="U53" s="61" t="str">
        <f aca="false">IF(A53="","",IF(AND(T53="Open",ISNUMBER(J53),J53&lt;AsOf),"Overdue",""))</f>
        <v/>
      </c>
      <c r="V53" s="54" t="str">
        <f aca="false">IF(A53="","",IF(F53="Accept",IF(Q53="","CHECK: decision record required - not recorded",IF(COUNTIF(DEC_ID,Q53)=0,"CHECK: Decision ID not found","Decision referenced")),""))</f>
        <v/>
      </c>
      <c r="W53" s="54" t="str">
        <f aca="false">IF(A53="","",IF(COUNTIF(TRT_ID,A53)&gt;1,"CHECK: duplicate ID",IF(B53="","CHECK: Supplier ID missing",IF(COUNTIF(INV_ID,B53)=0,"CHECK: Supplier ID not in inventory",IF(AND(D53&lt;&gt;"",COUNTIF(RSK_ID,D53)=0),"CHECK: Risk ID not found",IF(AND(D53&lt;&gt;"",COUNTIF(RSK_ID,D53)&gt;0,IFERROR(INDEX(RSK_SUP,MATCH(D53,RSK_ID,0)),"")&lt;&gt;B53),"CHECK: Risk belongs to a different supplier",IF(AND(E53&lt;&gt;"",COUNTIF(FND_ID,E53)=0),"CHECK: Finding ID not found",IF(AND(N53="Verified",K53&lt;&gt;"Delivered (self-reported)"),"CHECK: verified but not marked delivered","OK"))))))))</f>
        <v/>
      </c>
      <c r="X53" s="52" t="str">
        <f aca="false">IF(OR(A53="",B53=""),"",IF(AND(T53="Open",B53=RptSup),B53&amp;"|"&amp;COUNTIFS($B$7:B53,B53,$T$7:T53,"Open"),""))</f>
        <v/>
      </c>
    </row>
    <row r="54" customFormat="false" ht="15" hidden="false" customHeight="false" outlineLevel="0" collapsed="false">
      <c r="A54" s="50"/>
      <c r="B54" s="50"/>
      <c r="C54" s="59" t="str">
        <f aca="false">IF(B54="","",IFERROR(INDEX(INV_NAME,MATCH(B54,INV_ID,0)),"CHECK: Supplier ID not found"))</f>
        <v/>
      </c>
      <c r="D54" s="50"/>
      <c r="E54" s="50"/>
      <c r="F54" s="50"/>
      <c r="G54" s="34"/>
      <c r="H54" s="34"/>
      <c r="I54" s="34"/>
      <c r="J54" s="51"/>
      <c r="K54" s="34"/>
      <c r="L54" s="34"/>
      <c r="M54" s="34"/>
      <c r="N54" s="34"/>
      <c r="O54" s="51"/>
      <c r="P54" s="50"/>
      <c r="Q54" s="34"/>
      <c r="R54" s="34"/>
      <c r="S54" s="54" t="str">
        <f aca="false">IF(A54="","",IF(K54="Cancelled","Cancelled",IF(K54="Delivered (self-reported)",IF(N54="Verified","Closed - verified","Delivered - verification pending"),IF(K54="","Not started",K54))))</f>
        <v/>
      </c>
      <c r="T54" s="52" t="str">
        <f aca="false">IF(A54="","",IF(OR(S54="Cancelled",S54="Closed - verified"),"Closed","Open"))</f>
        <v/>
      </c>
      <c r="U54" s="61" t="str">
        <f aca="false">IF(A54="","",IF(AND(T54="Open",ISNUMBER(J54),J54&lt;AsOf),"Overdue",""))</f>
        <v/>
      </c>
      <c r="V54" s="54" t="str">
        <f aca="false">IF(A54="","",IF(F54="Accept",IF(Q54="","CHECK: decision record required - not recorded",IF(COUNTIF(DEC_ID,Q54)=0,"CHECK: Decision ID not found","Decision referenced")),""))</f>
        <v/>
      </c>
      <c r="W54" s="54" t="str">
        <f aca="false">IF(A54="","",IF(COUNTIF(TRT_ID,A54)&gt;1,"CHECK: duplicate ID",IF(B54="","CHECK: Supplier ID missing",IF(COUNTIF(INV_ID,B54)=0,"CHECK: Supplier ID not in inventory",IF(AND(D54&lt;&gt;"",COUNTIF(RSK_ID,D54)=0),"CHECK: Risk ID not found",IF(AND(D54&lt;&gt;"",COUNTIF(RSK_ID,D54)&gt;0,IFERROR(INDEX(RSK_SUP,MATCH(D54,RSK_ID,0)),"")&lt;&gt;B54),"CHECK: Risk belongs to a different supplier",IF(AND(E54&lt;&gt;"",COUNTIF(FND_ID,E54)=0),"CHECK: Finding ID not found",IF(AND(N54="Verified",K54&lt;&gt;"Delivered (self-reported)"),"CHECK: verified but not marked delivered","OK"))))))))</f>
        <v/>
      </c>
      <c r="X54" s="52" t="str">
        <f aca="false">IF(OR(A54="",B54=""),"",IF(AND(T54="Open",B54=RptSup),B54&amp;"|"&amp;COUNTIFS($B$7:B54,B54,$T$7:T54,"Open"),""))</f>
        <v/>
      </c>
    </row>
    <row r="55" customFormat="false" ht="15" hidden="false" customHeight="false" outlineLevel="0" collapsed="false">
      <c r="A55" s="50"/>
      <c r="B55" s="50"/>
      <c r="C55" s="59" t="str">
        <f aca="false">IF(B55="","",IFERROR(INDEX(INV_NAME,MATCH(B55,INV_ID,0)),"CHECK: Supplier ID not found"))</f>
        <v/>
      </c>
      <c r="D55" s="50"/>
      <c r="E55" s="50"/>
      <c r="F55" s="50"/>
      <c r="G55" s="34"/>
      <c r="H55" s="34"/>
      <c r="I55" s="34"/>
      <c r="J55" s="51"/>
      <c r="K55" s="34"/>
      <c r="L55" s="34"/>
      <c r="M55" s="34"/>
      <c r="N55" s="34"/>
      <c r="O55" s="51"/>
      <c r="P55" s="50"/>
      <c r="Q55" s="34"/>
      <c r="R55" s="34"/>
      <c r="S55" s="54" t="str">
        <f aca="false">IF(A55="","",IF(K55="Cancelled","Cancelled",IF(K55="Delivered (self-reported)",IF(N55="Verified","Closed - verified","Delivered - verification pending"),IF(K55="","Not started",K55))))</f>
        <v/>
      </c>
      <c r="T55" s="52" t="str">
        <f aca="false">IF(A55="","",IF(OR(S55="Cancelled",S55="Closed - verified"),"Closed","Open"))</f>
        <v/>
      </c>
      <c r="U55" s="61" t="str">
        <f aca="false">IF(A55="","",IF(AND(T55="Open",ISNUMBER(J55),J55&lt;AsOf),"Overdue",""))</f>
        <v/>
      </c>
      <c r="V55" s="54" t="str">
        <f aca="false">IF(A55="","",IF(F55="Accept",IF(Q55="","CHECK: decision record required - not recorded",IF(COUNTIF(DEC_ID,Q55)=0,"CHECK: Decision ID not found","Decision referenced")),""))</f>
        <v/>
      </c>
      <c r="W55" s="54" t="str">
        <f aca="false">IF(A55="","",IF(COUNTIF(TRT_ID,A55)&gt;1,"CHECK: duplicate ID",IF(B55="","CHECK: Supplier ID missing",IF(COUNTIF(INV_ID,B55)=0,"CHECK: Supplier ID not in inventory",IF(AND(D55&lt;&gt;"",COUNTIF(RSK_ID,D55)=0),"CHECK: Risk ID not found",IF(AND(D55&lt;&gt;"",COUNTIF(RSK_ID,D55)&gt;0,IFERROR(INDEX(RSK_SUP,MATCH(D55,RSK_ID,0)),"")&lt;&gt;B55),"CHECK: Risk belongs to a different supplier",IF(AND(E55&lt;&gt;"",COUNTIF(FND_ID,E55)=0),"CHECK: Finding ID not found",IF(AND(N55="Verified",K55&lt;&gt;"Delivered (self-reported)"),"CHECK: verified but not marked delivered","OK"))))))))</f>
        <v/>
      </c>
      <c r="X55" s="52" t="str">
        <f aca="false">IF(OR(A55="",B55=""),"",IF(AND(T55="Open",B55=RptSup),B55&amp;"|"&amp;COUNTIFS($B$7:B55,B55,$T$7:T55,"Open"),""))</f>
        <v/>
      </c>
    </row>
    <row r="56" customFormat="false" ht="15" hidden="false" customHeight="false" outlineLevel="0" collapsed="false">
      <c r="A56" s="50"/>
      <c r="B56" s="50"/>
      <c r="C56" s="59" t="str">
        <f aca="false">IF(B56="","",IFERROR(INDEX(INV_NAME,MATCH(B56,INV_ID,0)),"CHECK: Supplier ID not found"))</f>
        <v/>
      </c>
      <c r="D56" s="50"/>
      <c r="E56" s="50"/>
      <c r="F56" s="50"/>
      <c r="G56" s="34"/>
      <c r="H56" s="34"/>
      <c r="I56" s="34"/>
      <c r="J56" s="51"/>
      <c r="K56" s="34"/>
      <c r="L56" s="34"/>
      <c r="M56" s="34"/>
      <c r="N56" s="34"/>
      <c r="O56" s="51"/>
      <c r="P56" s="50"/>
      <c r="Q56" s="34"/>
      <c r="R56" s="34"/>
      <c r="S56" s="54" t="str">
        <f aca="false">IF(A56="","",IF(K56="Cancelled","Cancelled",IF(K56="Delivered (self-reported)",IF(N56="Verified","Closed - verified","Delivered - verification pending"),IF(K56="","Not started",K56))))</f>
        <v/>
      </c>
      <c r="T56" s="52" t="str">
        <f aca="false">IF(A56="","",IF(OR(S56="Cancelled",S56="Closed - verified"),"Closed","Open"))</f>
        <v/>
      </c>
      <c r="U56" s="61" t="str">
        <f aca="false">IF(A56="","",IF(AND(T56="Open",ISNUMBER(J56),J56&lt;AsOf),"Overdue",""))</f>
        <v/>
      </c>
      <c r="V56" s="54" t="str">
        <f aca="false">IF(A56="","",IF(F56="Accept",IF(Q56="","CHECK: decision record required - not recorded",IF(COUNTIF(DEC_ID,Q56)=0,"CHECK: Decision ID not found","Decision referenced")),""))</f>
        <v/>
      </c>
      <c r="W56" s="54" t="str">
        <f aca="false">IF(A56="","",IF(COUNTIF(TRT_ID,A56)&gt;1,"CHECK: duplicate ID",IF(B56="","CHECK: Supplier ID missing",IF(COUNTIF(INV_ID,B56)=0,"CHECK: Supplier ID not in inventory",IF(AND(D56&lt;&gt;"",COUNTIF(RSK_ID,D56)=0),"CHECK: Risk ID not found",IF(AND(D56&lt;&gt;"",COUNTIF(RSK_ID,D56)&gt;0,IFERROR(INDEX(RSK_SUP,MATCH(D56,RSK_ID,0)),"")&lt;&gt;B56),"CHECK: Risk belongs to a different supplier",IF(AND(E56&lt;&gt;"",COUNTIF(FND_ID,E56)=0),"CHECK: Finding ID not found",IF(AND(N56="Verified",K56&lt;&gt;"Delivered (self-reported)"),"CHECK: verified but not marked delivered","OK"))))))))</f>
        <v/>
      </c>
      <c r="X56" s="52" t="str">
        <f aca="false">IF(OR(A56="",B56=""),"",IF(AND(T56="Open",B56=RptSup),B56&amp;"|"&amp;COUNTIFS($B$7:B56,B56,$T$7:T56,"Open"),""))</f>
        <v/>
      </c>
    </row>
    <row r="57" customFormat="false" ht="15" hidden="false" customHeight="false" outlineLevel="0" collapsed="false">
      <c r="A57" s="50"/>
      <c r="B57" s="50"/>
      <c r="C57" s="59" t="str">
        <f aca="false">IF(B57="","",IFERROR(INDEX(INV_NAME,MATCH(B57,INV_ID,0)),"CHECK: Supplier ID not found"))</f>
        <v/>
      </c>
      <c r="D57" s="50"/>
      <c r="E57" s="50"/>
      <c r="F57" s="50"/>
      <c r="G57" s="34"/>
      <c r="H57" s="34"/>
      <c r="I57" s="34"/>
      <c r="J57" s="51"/>
      <c r="K57" s="34"/>
      <c r="L57" s="34"/>
      <c r="M57" s="34"/>
      <c r="N57" s="34"/>
      <c r="O57" s="51"/>
      <c r="P57" s="50"/>
      <c r="Q57" s="34"/>
      <c r="R57" s="34"/>
      <c r="S57" s="54" t="str">
        <f aca="false">IF(A57="","",IF(K57="Cancelled","Cancelled",IF(K57="Delivered (self-reported)",IF(N57="Verified","Closed - verified","Delivered - verification pending"),IF(K57="","Not started",K57))))</f>
        <v/>
      </c>
      <c r="T57" s="52" t="str">
        <f aca="false">IF(A57="","",IF(OR(S57="Cancelled",S57="Closed - verified"),"Closed","Open"))</f>
        <v/>
      </c>
      <c r="U57" s="61" t="str">
        <f aca="false">IF(A57="","",IF(AND(T57="Open",ISNUMBER(J57),J57&lt;AsOf),"Overdue",""))</f>
        <v/>
      </c>
      <c r="V57" s="54" t="str">
        <f aca="false">IF(A57="","",IF(F57="Accept",IF(Q57="","CHECK: decision record required - not recorded",IF(COUNTIF(DEC_ID,Q57)=0,"CHECK: Decision ID not found","Decision referenced")),""))</f>
        <v/>
      </c>
      <c r="W57" s="54" t="str">
        <f aca="false">IF(A57="","",IF(COUNTIF(TRT_ID,A57)&gt;1,"CHECK: duplicate ID",IF(B57="","CHECK: Supplier ID missing",IF(COUNTIF(INV_ID,B57)=0,"CHECK: Supplier ID not in inventory",IF(AND(D57&lt;&gt;"",COUNTIF(RSK_ID,D57)=0),"CHECK: Risk ID not found",IF(AND(D57&lt;&gt;"",COUNTIF(RSK_ID,D57)&gt;0,IFERROR(INDEX(RSK_SUP,MATCH(D57,RSK_ID,0)),"")&lt;&gt;B57),"CHECK: Risk belongs to a different supplier",IF(AND(E57&lt;&gt;"",COUNTIF(FND_ID,E57)=0),"CHECK: Finding ID not found",IF(AND(N57="Verified",K57&lt;&gt;"Delivered (self-reported)"),"CHECK: verified but not marked delivered","OK"))))))))</f>
        <v/>
      </c>
      <c r="X57" s="52" t="str">
        <f aca="false">IF(OR(A57="",B57=""),"",IF(AND(T57="Open",B57=RptSup),B57&amp;"|"&amp;COUNTIFS($B$7:B57,B57,$T$7:T57,"Open"),""))</f>
        <v/>
      </c>
    </row>
    <row r="58" customFormat="false" ht="15" hidden="false" customHeight="false" outlineLevel="0" collapsed="false">
      <c r="A58" s="50"/>
      <c r="B58" s="50"/>
      <c r="C58" s="59" t="str">
        <f aca="false">IF(B58="","",IFERROR(INDEX(INV_NAME,MATCH(B58,INV_ID,0)),"CHECK: Supplier ID not found"))</f>
        <v/>
      </c>
      <c r="D58" s="50"/>
      <c r="E58" s="50"/>
      <c r="F58" s="50"/>
      <c r="G58" s="34"/>
      <c r="H58" s="34"/>
      <c r="I58" s="34"/>
      <c r="J58" s="51"/>
      <c r="K58" s="34"/>
      <c r="L58" s="34"/>
      <c r="M58" s="34"/>
      <c r="N58" s="34"/>
      <c r="O58" s="51"/>
      <c r="P58" s="50"/>
      <c r="Q58" s="34"/>
      <c r="R58" s="34"/>
      <c r="S58" s="54" t="str">
        <f aca="false">IF(A58="","",IF(K58="Cancelled","Cancelled",IF(K58="Delivered (self-reported)",IF(N58="Verified","Closed - verified","Delivered - verification pending"),IF(K58="","Not started",K58))))</f>
        <v/>
      </c>
      <c r="T58" s="52" t="str">
        <f aca="false">IF(A58="","",IF(OR(S58="Cancelled",S58="Closed - verified"),"Closed","Open"))</f>
        <v/>
      </c>
      <c r="U58" s="61" t="str">
        <f aca="false">IF(A58="","",IF(AND(T58="Open",ISNUMBER(J58),J58&lt;AsOf),"Overdue",""))</f>
        <v/>
      </c>
      <c r="V58" s="54" t="str">
        <f aca="false">IF(A58="","",IF(F58="Accept",IF(Q58="","CHECK: decision record required - not recorded",IF(COUNTIF(DEC_ID,Q58)=0,"CHECK: Decision ID not found","Decision referenced")),""))</f>
        <v/>
      </c>
      <c r="W58" s="54" t="str">
        <f aca="false">IF(A58="","",IF(COUNTIF(TRT_ID,A58)&gt;1,"CHECK: duplicate ID",IF(B58="","CHECK: Supplier ID missing",IF(COUNTIF(INV_ID,B58)=0,"CHECK: Supplier ID not in inventory",IF(AND(D58&lt;&gt;"",COUNTIF(RSK_ID,D58)=0),"CHECK: Risk ID not found",IF(AND(D58&lt;&gt;"",COUNTIF(RSK_ID,D58)&gt;0,IFERROR(INDEX(RSK_SUP,MATCH(D58,RSK_ID,0)),"")&lt;&gt;B58),"CHECK: Risk belongs to a different supplier",IF(AND(E58&lt;&gt;"",COUNTIF(FND_ID,E58)=0),"CHECK: Finding ID not found",IF(AND(N58="Verified",K58&lt;&gt;"Delivered (self-reported)"),"CHECK: verified but not marked delivered","OK"))))))))</f>
        <v/>
      </c>
      <c r="X58" s="52" t="str">
        <f aca="false">IF(OR(A58="",B58=""),"",IF(AND(T58="Open",B58=RptSup),B58&amp;"|"&amp;COUNTIFS($B$7:B58,B58,$T$7:T58,"Open"),""))</f>
        <v/>
      </c>
    </row>
    <row r="59" customFormat="false" ht="15" hidden="false" customHeight="false" outlineLevel="0" collapsed="false">
      <c r="A59" s="50"/>
      <c r="B59" s="50"/>
      <c r="C59" s="59" t="str">
        <f aca="false">IF(B59="","",IFERROR(INDEX(INV_NAME,MATCH(B59,INV_ID,0)),"CHECK: Supplier ID not found"))</f>
        <v/>
      </c>
      <c r="D59" s="50"/>
      <c r="E59" s="50"/>
      <c r="F59" s="50"/>
      <c r="G59" s="34"/>
      <c r="H59" s="34"/>
      <c r="I59" s="34"/>
      <c r="J59" s="51"/>
      <c r="K59" s="34"/>
      <c r="L59" s="34"/>
      <c r="M59" s="34"/>
      <c r="N59" s="34"/>
      <c r="O59" s="51"/>
      <c r="P59" s="50"/>
      <c r="Q59" s="34"/>
      <c r="R59" s="34"/>
      <c r="S59" s="54" t="str">
        <f aca="false">IF(A59="","",IF(K59="Cancelled","Cancelled",IF(K59="Delivered (self-reported)",IF(N59="Verified","Closed - verified","Delivered - verification pending"),IF(K59="","Not started",K59))))</f>
        <v/>
      </c>
      <c r="T59" s="52" t="str">
        <f aca="false">IF(A59="","",IF(OR(S59="Cancelled",S59="Closed - verified"),"Closed","Open"))</f>
        <v/>
      </c>
      <c r="U59" s="61" t="str">
        <f aca="false">IF(A59="","",IF(AND(T59="Open",ISNUMBER(J59),J59&lt;AsOf),"Overdue",""))</f>
        <v/>
      </c>
      <c r="V59" s="54" t="str">
        <f aca="false">IF(A59="","",IF(F59="Accept",IF(Q59="","CHECK: decision record required - not recorded",IF(COUNTIF(DEC_ID,Q59)=0,"CHECK: Decision ID not found","Decision referenced")),""))</f>
        <v/>
      </c>
      <c r="W59" s="54" t="str">
        <f aca="false">IF(A59="","",IF(COUNTIF(TRT_ID,A59)&gt;1,"CHECK: duplicate ID",IF(B59="","CHECK: Supplier ID missing",IF(COUNTIF(INV_ID,B59)=0,"CHECK: Supplier ID not in inventory",IF(AND(D59&lt;&gt;"",COUNTIF(RSK_ID,D59)=0),"CHECK: Risk ID not found",IF(AND(D59&lt;&gt;"",COUNTIF(RSK_ID,D59)&gt;0,IFERROR(INDEX(RSK_SUP,MATCH(D59,RSK_ID,0)),"")&lt;&gt;B59),"CHECK: Risk belongs to a different supplier",IF(AND(E59&lt;&gt;"",COUNTIF(FND_ID,E59)=0),"CHECK: Finding ID not found",IF(AND(N59="Verified",K59&lt;&gt;"Delivered (self-reported)"),"CHECK: verified but not marked delivered","OK"))))))))</f>
        <v/>
      </c>
      <c r="X59" s="52" t="str">
        <f aca="false">IF(OR(A59="",B59=""),"",IF(AND(T59="Open",B59=RptSup),B59&amp;"|"&amp;COUNTIFS($B$7:B59,B59,$T$7:T59,"Open"),""))</f>
        <v/>
      </c>
    </row>
    <row r="60" customFormat="false" ht="15" hidden="false" customHeight="false" outlineLevel="0" collapsed="false">
      <c r="A60" s="50"/>
      <c r="B60" s="50"/>
      <c r="C60" s="59" t="str">
        <f aca="false">IF(B60="","",IFERROR(INDEX(INV_NAME,MATCH(B60,INV_ID,0)),"CHECK: Supplier ID not found"))</f>
        <v/>
      </c>
      <c r="D60" s="50"/>
      <c r="E60" s="50"/>
      <c r="F60" s="50"/>
      <c r="G60" s="34"/>
      <c r="H60" s="34"/>
      <c r="I60" s="34"/>
      <c r="J60" s="51"/>
      <c r="K60" s="34"/>
      <c r="L60" s="34"/>
      <c r="M60" s="34"/>
      <c r="N60" s="34"/>
      <c r="O60" s="51"/>
      <c r="P60" s="50"/>
      <c r="Q60" s="34"/>
      <c r="R60" s="34"/>
      <c r="S60" s="54" t="str">
        <f aca="false">IF(A60="","",IF(K60="Cancelled","Cancelled",IF(K60="Delivered (self-reported)",IF(N60="Verified","Closed - verified","Delivered - verification pending"),IF(K60="","Not started",K60))))</f>
        <v/>
      </c>
      <c r="T60" s="52" t="str">
        <f aca="false">IF(A60="","",IF(OR(S60="Cancelled",S60="Closed - verified"),"Closed","Open"))</f>
        <v/>
      </c>
      <c r="U60" s="61" t="str">
        <f aca="false">IF(A60="","",IF(AND(T60="Open",ISNUMBER(J60),J60&lt;AsOf),"Overdue",""))</f>
        <v/>
      </c>
      <c r="V60" s="54" t="str">
        <f aca="false">IF(A60="","",IF(F60="Accept",IF(Q60="","CHECK: decision record required - not recorded",IF(COUNTIF(DEC_ID,Q60)=0,"CHECK: Decision ID not found","Decision referenced")),""))</f>
        <v/>
      </c>
      <c r="W60" s="54" t="str">
        <f aca="false">IF(A60="","",IF(COUNTIF(TRT_ID,A60)&gt;1,"CHECK: duplicate ID",IF(B60="","CHECK: Supplier ID missing",IF(COUNTIF(INV_ID,B60)=0,"CHECK: Supplier ID not in inventory",IF(AND(D60&lt;&gt;"",COUNTIF(RSK_ID,D60)=0),"CHECK: Risk ID not found",IF(AND(D60&lt;&gt;"",COUNTIF(RSK_ID,D60)&gt;0,IFERROR(INDEX(RSK_SUP,MATCH(D60,RSK_ID,0)),"")&lt;&gt;B60),"CHECK: Risk belongs to a different supplier",IF(AND(E60&lt;&gt;"",COUNTIF(FND_ID,E60)=0),"CHECK: Finding ID not found",IF(AND(N60="Verified",K60&lt;&gt;"Delivered (self-reported)"),"CHECK: verified but not marked delivered","OK"))))))))</f>
        <v/>
      </c>
      <c r="X60" s="52" t="str">
        <f aca="false">IF(OR(A60="",B60=""),"",IF(AND(T60="Open",B60=RptSup),B60&amp;"|"&amp;COUNTIFS($B$7:B60,B60,$T$7:T60,"Open"),""))</f>
        <v/>
      </c>
    </row>
    <row r="61" customFormat="false" ht="15" hidden="false" customHeight="false" outlineLevel="0" collapsed="false">
      <c r="A61" s="50"/>
      <c r="B61" s="50"/>
      <c r="C61" s="59" t="str">
        <f aca="false">IF(B61="","",IFERROR(INDEX(INV_NAME,MATCH(B61,INV_ID,0)),"CHECK: Supplier ID not found"))</f>
        <v/>
      </c>
      <c r="D61" s="50"/>
      <c r="E61" s="50"/>
      <c r="F61" s="50"/>
      <c r="G61" s="34"/>
      <c r="H61" s="34"/>
      <c r="I61" s="34"/>
      <c r="J61" s="51"/>
      <c r="K61" s="34"/>
      <c r="L61" s="34"/>
      <c r="M61" s="34"/>
      <c r="N61" s="34"/>
      <c r="O61" s="51"/>
      <c r="P61" s="50"/>
      <c r="Q61" s="34"/>
      <c r="R61" s="34"/>
      <c r="S61" s="54" t="str">
        <f aca="false">IF(A61="","",IF(K61="Cancelled","Cancelled",IF(K61="Delivered (self-reported)",IF(N61="Verified","Closed - verified","Delivered - verification pending"),IF(K61="","Not started",K61))))</f>
        <v/>
      </c>
      <c r="T61" s="52" t="str">
        <f aca="false">IF(A61="","",IF(OR(S61="Cancelled",S61="Closed - verified"),"Closed","Open"))</f>
        <v/>
      </c>
      <c r="U61" s="61" t="str">
        <f aca="false">IF(A61="","",IF(AND(T61="Open",ISNUMBER(J61),J61&lt;AsOf),"Overdue",""))</f>
        <v/>
      </c>
      <c r="V61" s="54" t="str">
        <f aca="false">IF(A61="","",IF(F61="Accept",IF(Q61="","CHECK: decision record required - not recorded",IF(COUNTIF(DEC_ID,Q61)=0,"CHECK: Decision ID not found","Decision referenced")),""))</f>
        <v/>
      </c>
      <c r="W61" s="54" t="str">
        <f aca="false">IF(A61="","",IF(COUNTIF(TRT_ID,A61)&gt;1,"CHECK: duplicate ID",IF(B61="","CHECK: Supplier ID missing",IF(COUNTIF(INV_ID,B61)=0,"CHECK: Supplier ID not in inventory",IF(AND(D61&lt;&gt;"",COUNTIF(RSK_ID,D61)=0),"CHECK: Risk ID not found",IF(AND(D61&lt;&gt;"",COUNTIF(RSK_ID,D61)&gt;0,IFERROR(INDEX(RSK_SUP,MATCH(D61,RSK_ID,0)),"")&lt;&gt;B61),"CHECK: Risk belongs to a different supplier",IF(AND(E61&lt;&gt;"",COUNTIF(FND_ID,E61)=0),"CHECK: Finding ID not found",IF(AND(N61="Verified",K61&lt;&gt;"Delivered (self-reported)"),"CHECK: verified but not marked delivered","OK"))))))))</f>
        <v/>
      </c>
      <c r="X61" s="52" t="str">
        <f aca="false">IF(OR(A61="",B61=""),"",IF(AND(T61="Open",B61=RptSup),B61&amp;"|"&amp;COUNTIFS($B$7:B61,B61,$T$7:T61,"Open"),""))</f>
        <v/>
      </c>
    </row>
    <row r="62" customFormat="false" ht="15" hidden="false" customHeight="false" outlineLevel="0" collapsed="false">
      <c r="A62" s="50"/>
      <c r="B62" s="50"/>
      <c r="C62" s="59" t="str">
        <f aca="false">IF(B62="","",IFERROR(INDEX(INV_NAME,MATCH(B62,INV_ID,0)),"CHECK: Supplier ID not found"))</f>
        <v/>
      </c>
      <c r="D62" s="50"/>
      <c r="E62" s="50"/>
      <c r="F62" s="50"/>
      <c r="G62" s="34"/>
      <c r="H62" s="34"/>
      <c r="I62" s="34"/>
      <c r="J62" s="51"/>
      <c r="K62" s="34"/>
      <c r="L62" s="34"/>
      <c r="M62" s="34"/>
      <c r="N62" s="34"/>
      <c r="O62" s="51"/>
      <c r="P62" s="50"/>
      <c r="Q62" s="34"/>
      <c r="R62" s="34"/>
      <c r="S62" s="54" t="str">
        <f aca="false">IF(A62="","",IF(K62="Cancelled","Cancelled",IF(K62="Delivered (self-reported)",IF(N62="Verified","Closed - verified","Delivered - verification pending"),IF(K62="","Not started",K62))))</f>
        <v/>
      </c>
      <c r="T62" s="52" t="str">
        <f aca="false">IF(A62="","",IF(OR(S62="Cancelled",S62="Closed - verified"),"Closed","Open"))</f>
        <v/>
      </c>
      <c r="U62" s="61" t="str">
        <f aca="false">IF(A62="","",IF(AND(T62="Open",ISNUMBER(J62),J62&lt;AsOf),"Overdue",""))</f>
        <v/>
      </c>
      <c r="V62" s="54" t="str">
        <f aca="false">IF(A62="","",IF(F62="Accept",IF(Q62="","CHECK: decision record required - not recorded",IF(COUNTIF(DEC_ID,Q62)=0,"CHECK: Decision ID not found","Decision referenced")),""))</f>
        <v/>
      </c>
      <c r="W62" s="54" t="str">
        <f aca="false">IF(A62="","",IF(COUNTIF(TRT_ID,A62)&gt;1,"CHECK: duplicate ID",IF(B62="","CHECK: Supplier ID missing",IF(COUNTIF(INV_ID,B62)=0,"CHECK: Supplier ID not in inventory",IF(AND(D62&lt;&gt;"",COUNTIF(RSK_ID,D62)=0),"CHECK: Risk ID not found",IF(AND(D62&lt;&gt;"",COUNTIF(RSK_ID,D62)&gt;0,IFERROR(INDEX(RSK_SUP,MATCH(D62,RSK_ID,0)),"")&lt;&gt;B62),"CHECK: Risk belongs to a different supplier",IF(AND(E62&lt;&gt;"",COUNTIF(FND_ID,E62)=0),"CHECK: Finding ID not found",IF(AND(N62="Verified",K62&lt;&gt;"Delivered (self-reported)"),"CHECK: verified but not marked delivered","OK"))))))))</f>
        <v/>
      </c>
      <c r="X62" s="52" t="str">
        <f aca="false">IF(OR(A62="",B62=""),"",IF(AND(T62="Open",B62=RptSup),B62&amp;"|"&amp;COUNTIFS($B$7:B62,B62,$T$7:T62,"Open"),""))</f>
        <v/>
      </c>
    </row>
    <row r="63" customFormat="false" ht="15" hidden="false" customHeight="false" outlineLevel="0" collapsed="false">
      <c r="A63" s="50"/>
      <c r="B63" s="50"/>
      <c r="C63" s="59" t="str">
        <f aca="false">IF(B63="","",IFERROR(INDEX(INV_NAME,MATCH(B63,INV_ID,0)),"CHECK: Supplier ID not found"))</f>
        <v/>
      </c>
      <c r="D63" s="50"/>
      <c r="E63" s="50"/>
      <c r="F63" s="50"/>
      <c r="G63" s="34"/>
      <c r="H63" s="34"/>
      <c r="I63" s="34"/>
      <c r="J63" s="51"/>
      <c r="K63" s="34"/>
      <c r="L63" s="34"/>
      <c r="M63" s="34"/>
      <c r="N63" s="34"/>
      <c r="O63" s="51"/>
      <c r="P63" s="50"/>
      <c r="Q63" s="34"/>
      <c r="R63" s="34"/>
      <c r="S63" s="54" t="str">
        <f aca="false">IF(A63="","",IF(K63="Cancelled","Cancelled",IF(K63="Delivered (self-reported)",IF(N63="Verified","Closed - verified","Delivered - verification pending"),IF(K63="","Not started",K63))))</f>
        <v/>
      </c>
      <c r="T63" s="52" t="str">
        <f aca="false">IF(A63="","",IF(OR(S63="Cancelled",S63="Closed - verified"),"Closed","Open"))</f>
        <v/>
      </c>
      <c r="U63" s="61" t="str">
        <f aca="false">IF(A63="","",IF(AND(T63="Open",ISNUMBER(J63),J63&lt;AsOf),"Overdue",""))</f>
        <v/>
      </c>
      <c r="V63" s="54" t="str">
        <f aca="false">IF(A63="","",IF(F63="Accept",IF(Q63="","CHECK: decision record required - not recorded",IF(COUNTIF(DEC_ID,Q63)=0,"CHECK: Decision ID not found","Decision referenced")),""))</f>
        <v/>
      </c>
      <c r="W63" s="54" t="str">
        <f aca="false">IF(A63="","",IF(COUNTIF(TRT_ID,A63)&gt;1,"CHECK: duplicate ID",IF(B63="","CHECK: Supplier ID missing",IF(COUNTIF(INV_ID,B63)=0,"CHECK: Supplier ID not in inventory",IF(AND(D63&lt;&gt;"",COUNTIF(RSK_ID,D63)=0),"CHECK: Risk ID not found",IF(AND(D63&lt;&gt;"",COUNTIF(RSK_ID,D63)&gt;0,IFERROR(INDEX(RSK_SUP,MATCH(D63,RSK_ID,0)),"")&lt;&gt;B63),"CHECK: Risk belongs to a different supplier",IF(AND(E63&lt;&gt;"",COUNTIF(FND_ID,E63)=0),"CHECK: Finding ID not found",IF(AND(N63="Verified",K63&lt;&gt;"Delivered (self-reported)"),"CHECK: verified but not marked delivered","OK"))))))))</f>
        <v/>
      </c>
      <c r="X63" s="52" t="str">
        <f aca="false">IF(OR(A63="",B63=""),"",IF(AND(T63="Open",B63=RptSup),B63&amp;"|"&amp;COUNTIFS($B$7:B63,B63,$T$7:T63,"Open"),""))</f>
        <v/>
      </c>
    </row>
    <row r="64" customFormat="false" ht="15" hidden="false" customHeight="false" outlineLevel="0" collapsed="false">
      <c r="A64" s="50"/>
      <c r="B64" s="50"/>
      <c r="C64" s="59" t="str">
        <f aca="false">IF(B64="","",IFERROR(INDEX(INV_NAME,MATCH(B64,INV_ID,0)),"CHECK: Supplier ID not found"))</f>
        <v/>
      </c>
      <c r="D64" s="50"/>
      <c r="E64" s="50"/>
      <c r="F64" s="50"/>
      <c r="G64" s="34"/>
      <c r="H64" s="34"/>
      <c r="I64" s="34"/>
      <c r="J64" s="51"/>
      <c r="K64" s="34"/>
      <c r="L64" s="34"/>
      <c r="M64" s="34"/>
      <c r="N64" s="34"/>
      <c r="O64" s="51"/>
      <c r="P64" s="50"/>
      <c r="Q64" s="34"/>
      <c r="R64" s="34"/>
      <c r="S64" s="54" t="str">
        <f aca="false">IF(A64="","",IF(K64="Cancelled","Cancelled",IF(K64="Delivered (self-reported)",IF(N64="Verified","Closed - verified","Delivered - verification pending"),IF(K64="","Not started",K64))))</f>
        <v/>
      </c>
      <c r="T64" s="52" t="str">
        <f aca="false">IF(A64="","",IF(OR(S64="Cancelled",S64="Closed - verified"),"Closed","Open"))</f>
        <v/>
      </c>
      <c r="U64" s="61" t="str">
        <f aca="false">IF(A64="","",IF(AND(T64="Open",ISNUMBER(J64),J64&lt;AsOf),"Overdue",""))</f>
        <v/>
      </c>
      <c r="V64" s="54" t="str">
        <f aca="false">IF(A64="","",IF(F64="Accept",IF(Q64="","CHECK: decision record required - not recorded",IF(COUNTIF(DEC_ID,Q64)=0,"CHECK: Decision ID not found","Decision referenced")),""))</f>
        <v/>
      </c>
      <c r="W64" s="54" t="str">
        <f aca="false">IF(A64="","",IF(COUNTIF(TRT_ID,A64)&gt;1,"CHECK: duplicate ID",IF(B64="","CHECK: Supplier ID missing",IF(COUNTIF(INV_ID,B64)=0,"CHECK: Supplier ID not in inventory",IF(AND(D64&lt;&gt;"",COUNTIF(RSK_ID,D64)=0),"CHECK: Risk ID not found",IF(AND(D64&lt;&gt;"",COUNTIF(RSK_ID,D64)&gt;0,IFERROR(INDEX(RSK_SUP,MATCH(D64,RSK_ID,0)),"")&lt;&gt;B64),"CHECK: Risk belongs to a different supplier",IF(AND(E64&lt;&gt;"",COUNTIF(FND_ID,E64)=0),"CHECK: Finding ID not found",IF(AND(N64="Verified",K64&lt;&gt;"Delivered (self-reported)"),"CHECK: verified but not marked delivered","OK"))))))))</f>
        <v/>
      </c>
      <c r="X64" s="52" t="str">
        <f aca="false">IF(OR(A64="",B64=""),"",IF(AND(T64="Open",B64=RptSup),B64&amp;"|"&amp;COUNTIFS($B$7:B64,B64,$T$7:T64,"Open"),""))</f>
        <v/>
      </c>
    </row>
    <row r="65" customFormat="false" ht="15" hidden="false" customHeight="false" outlineLevel="0" collapsed="false">
      <c r="A65" s="50"/>
      <c r="B65" s="50"/>
      <c r="C65" s="59" t="str">
        <f aca="false">IF(B65="","",IFERROR(INDEX(INV_NAME,MATCH(B65,INV_ID,0)),"CHECK: Supplier ID not found"))</f>
        <v/>
      </c>
      <c r="D65" s="50"/>
      <c r="E65" s="50"/>
      <c r="F65" s="50"/>
      <c r="G65" s="34"/>
      <c r="H65" s="34"/>
      <c r="I65" s="34"/>
      <c r="J65" s="51"/>
      <c r="K65" s="34"/>
      <c r="L65" s="34"/>
      <c r="M65" s="34"/>
      <c r="N65" s="34"/>
      <c r="O65" s="51"/>
      <c r="P65" s="50"/>
      <c r="Q65" s="34"/>
      <c r="R65" s="34"/>
      <c r="S65" s="54" t="str">
        <f aca="false">IF(A65="","",IF(K65="Cancelled","Cancelled",IF(K65="Delivered (self-reported)",IF(N65="Verified","Closed - verified","Delivered - verification pending"),IF(K65="","Not started",K65))))</f>
        <v/>
      </c>
      <c r="T65" s="52" t="str">
        <f aca="false">IF(A65="","",IF(OR(S65="Cancelled",S65="Closed - verified"),"Closed","Open"))</f>
        <v/>
      </c>
      <c r="U65" s="61" t="str">
        <f aca="false">IF(A65="","",IF(AND(T65="Open",ISNUMBER(J65),J65&lt;AsOf),"Overdue",""))</f>
        <v/>
      </c>
      <c r="V65" s="54" t="str">
        <f aca="false">IF(A65="","",IF(F65="Accept",IF(Q65="","CHECK: decision record required - not recorded",IF(COUNTIF(DEC_ID,Q65)=0,"CHECK: Decision ID not found","Decision referenced")),""))</f>
        <v/>
      </c>
      <c r="W65" s="54" t="str">
        <f aca="false">IF(A65="","",IF(COUNTIF(TRT_ID,A65)&gt;1,"CHECK: duplicate ID",IF(B65="","CHECK: Supplier ID missing",IF(COUNTIF(INV_ID,B65)=0,"CHECK: Supplier ID not in inventory",IF(AND(D65&lt;&gt;"",COUNTIF(RSK_ID,D65)=0),"CHECK: Risk ID not found",IF(AND(D65&lt;&gt;"",COUNTIF(RSK_ID,D65)&gt;0,IFERROR(INDEX(RSK_SUP,MATCH(D65,RSK_ID,0)),"")&lt;&gt;B65),"CHECK: Risk belongs to a different supplier",IF(AND(E65&lt;&gt;"",COUNTIF(FND_ID,E65)=0),"CHECK: Finding ID not found",IF(AND(N65="Verified",K65&lt;&gt;"Delivered (self-reported)"),"CHECK: verified but not marked delivered","OK"))))))))</f>
        <v/>
      </c>
      <c r="X65" s="52" t="str">
        <f aca="false">IF(OR(A65="",B65=""),"",IF(AND(T65="Open",B65=RptSup),B65&amp;"|"&amp;COUNTIFS($B$7:B65,B65,$T$7:T65,"Open"),""))</f>
        <v/>
      </c>
    </row>
    <row r="66" customFormat="false" ht="15" hidden="false" customHeight="false" outlineLevel="0" collapsed="false">
      <c r="A66" s="50"/>
      <c r="B66" s="50"/>
      <c r="C66" s="59" t="str">
        <f aca="false">IF(B66="","",IFERROR(INDEX(INV_NAME,MATCH(B66,INV_ID,0)),"CHECK: Supplier ID not found"))</f>
        <v/>
      </c>
      <c r="D66" s="50"/>
      <c r="E66" s="50"/>
      <c r="F66" s="50"/>
      <c r="G66" s="34"/>
      <c r="H66" s="34"/>
      <c r="I66" s="34"/>
      <c r="J66" s="51"/>
      <c r="K66" s="34"/>
      <c r="L66" s="34"/>
      <c r="M66" s="34"/>
      <c r="N66" s="34"/>
      <c r="O66" s="51"/>
      <c r="P66" s="50"/>
      <c r="Q66" s="34"/>
      <c r="R66" s="34"/>
      <c r="S66" s="54" t="str">
        <f aca="false">IF(A66="","",IF(K66="Cancelled","Cancelled",IF(K66="Delivered (self-reported)",IF(N66="Verified","Closed - verified","Delivered - verification pending"),IF(K66="","Not started",K66))))</f>
        <v/>
      </c>
      <c r="T66" s="52" t="str">
        <f aca="false">IF(A66="","",IF(OR(S66="Cancelled",S66="Closed - verified"),"Closed","Open"))</f>
        <v/>
      </c>
      <c r="U66" s="61" t="str">
        <f aca="false">IF(A66="","",IF(AND(T66="Open",ISNUMBER(J66),J66&lt;AsOf),"Overdue",""))</f>
        <v/>
      </c>
      <c r="V66" s="54" t="str">
        <f aca="false">IF(A66="","",IF(F66="Accept",IF(Q66="","CHECK: decision record required - not recorded",IF(COUNTIF(DEC_ID,Q66)=0,"CHECK: Decision ID not found","Decision referenced")),""))</f>
        <v/>
      </c>
      <c r="W66" s="54" t="str">
        <f aca="false">IF(A66="","",IF(COUNTIF(TRT_ID,A66)&gt;1,"CHECK: duplicate ID",IF(B66="","CHECK: Supplier ID missing",IF(COUNTIF(INV_ID,B66)=0,"CHECK: Supplier ID not in inventory",IF(AND(D66&lt;&gt;"",COUNTIF(RSK_ID,D66)=0),"CHECK: Risk ID not found",IF(AND(D66&lt;&gt;"",COUNTIF(RSK_ID,D66)&gt;0,IFERROR(INDEX(RSK_SUP,MATCH(D66,RSK_ID,0)),"")&lt;&gt;B66),"CHECK: Risk belongs to a different supplier",IF(AND(E66&lt;&gt;"",COUNTIF(FND_ID,E66)=0),"CHECK: Finding ID not found",IF(AND(N66="Verified",K66&lt;&gt;"Delivered (self-reported)"),"CHECK: verified but not marked delivered","OK"))))))))</f>
        <v/>
      </c>
      <c r="X66" s="52" t="str">
        <f aca="false">IF(OR(A66="",B66=""),"",IF(AND(T66="Open",B66=RptSup),B66&amp;"|"&amp;COUNTIFS($B$7:B66,B66,$T$7:T66,"Open"),""))</f>
        <v/>
      </c>
    </row>
    <row r="67" customFormat="false" ht="15" hidden="false" customHeight="false" outlineLevel="0" collapsed="false">
      <c r="A67" s="50"/>
      <c r="B67" s="50"/>
      <c r="C67" s="59" t="str">
        <f aca="false">IF(B67="","",IFERROR(INDEX(INV_NAME,MATCH(B67,INV_ID,0)),"CHECK: Supplier ID not found"))</f>
        <v/>
      </c>
      <c r="D67" s="50"/>
      <c r="E67" s="50"/>
      <c r="F67" s="50"/>
      <c r="G67" s="34"/>
      <c r="H67" s="34"/>
      <c r="I67" s="34"/>
      <c r="J67" s="51"/>
      <c r="K67" s="34"/>
      <c r="L67" s="34"/>
      <c r="M67" s="34"/>
      <c r="N67" s="34"/>
      <c r="O67" s="51"/>
      <c r="P67" s="50"/>
      <c r="Q67" s="34"/>
      <c r="R67" s="34"/>
      <c r="S67" s="54" t="str">
        <f aca="false">IF(A67="","",IF(K67="Cancelled","Cancelled",IF(K67="Delivered (self-reported)",IF(N67="Verified","Closed - verified","Delivered - verification pending"),IF(K67="","Not started",K67))))</f>
        <v/>
      </c>
      <c r="T67" s="52" t="str">
        <f aca="false">IF(A67="","",IF(OR(S67="Cancelled",S67="Closed - verified"),"Closed","Open"))</f>
        <v/>
      </c>
      <c r="U67" s="61" t="str">
        <f aca="false">IF(A67="","",IF(AND(T67="Open",ISNUMBER(J67),J67&lt;AsOf),"Overdue",""))</f>
        <v/>
      </c>
      <c r="V67" s="54" t="str">
        <f aca="false">IF(A67="","",IF(F67="Accept",IF(Q67="","CHECK: decision record required - not recorded",IF(COUNTIF(DEC_ID,Q67)=0,"CHECK: Decision ID not found","Decision referenced")),""))</f>
        <v/>
      </c>
      <c r="W67" s="54" t="str">
        <f aca="false">IF(A67="","",IF(COUNTIF(TRT_ID,A67)&gt;1,"CHECK: duplicate ID",IF(B67="","CHECK: Supplier ID missing",IF(COUNTIF(INV_ID,B67)=0,"CHECK: Supplier ID not in inventory",IF(AND(D67&lt;&gt;"",COUNTIF(RSK_ID,D67)=0),"CHECK: Risk ID not found",IF(AND(D67&lt;&gt;"",COUNTIF(RSK_ID,D67)&gt;0,IFERROR(INDEX(RSK_SUP,MATCH(D67,RSK_ID,0)),"")&lt;&gt;B67),"CHECK: Risk belongs to a different supplier",IF(AND(E67&lt;&gt;"",COUNTIF(FND_ID,E67)=0),"CHECK: Finding ID not found",IF(AND(N67="Verified",K67&lt;&gt;"Delivered (self-reported)"),"CHECK: verified but not marked delivered","OK"))))))))</f>
        <v/>
      </c>
      <c r="X67" s="52" t="str">
        <f aca="false">IF(OR(A67="",B67=""),"",IF(AND(T67="Open",B67=RptSup),B67&amp;"|"&amp;COUNTIFS($B$7:B67,B67,$T$7:T67,"Open"),""))</f>
        <v/>
      </c>
    </row>
    <row r="68" customFormat="false" ht="15" hidden="false" customHeight="false" outlineLevel="0" collapsed="false">
      <c r="A68" s="50"/>
      <c r="B68" s="50"/>
      <c r="C68" s="59" t="str">
        <f aca="false">IF(B68="","",IFERROR(INDEX(INV_NAME,MATCH(B68,INV_ID,0)),"CHECK: Supplier ID not found"))</f>
        <v/>
      </c>
      <c r="D68" s="50"/>
      <c r="E68" s="50"/>
      <c r="F68" s="50"/>
      <c r="G68" s="34"/>
      <c r="H68" s="34"/>
      <c r="I68" s="34"/>
      <c r="J68" s="51"/>
      <c r="K68" s="34"/>
      <c r="L68" s="34"/>
      <c r="M68" s="34"/>
      <c r="N68" s="34"/>
      <c r="O68" s="51"/>
      <c r="P68" s="50"/>
      <c r="Q68" s="34"/>
      <c r="R68" s="34"/>
      <c r="S68" s="54" t="str">
        <f aca="false">IF(A68="","",IF(K68="Cancelled","Cancelled",IF(K68="Delivered (self-reported)",IF(N68="Verified","Closed - verified","Delivered - verification pending"),IF(K68="","Not started",K68))))</f>
        <v/>
      </c>
      <c r="T68" s="52" t="str">
        <f aca="false">IF(A68="","",IF(OR(S68="Cancelled",S68="Closed - verified"),"Closed","Open"))</f>
        <v/>
      </c>
      <c r="U68" s="61" t="str">
        <f aca="false">IF(A68="","",IF(AND(T68="Open",ISNUMBER(J68),J68&lt;AsOf),"Overdue",""))</f>
        <v/>
      </c>
      <c r="V68" s="54" t="str">
        <f aca="false">IF(A68="","",IF(F68="Accept",IF(Q68="","CHECK: decision record required - not recorded",IF(COUNTIF(DEC_ID,Q68)=0,"CHECK: Decision ID not found","Decision referenced")),""))</f>
        <v/>
      </c>
      <c r="W68" s="54" t="str">
        <f aca="false">IF(A68="","",IF(COUNTIF(TRT_ID,A68)&gt;1,"CHECK: duplicate ID",IF(B68="","CHECK: Supplier ID missing",IF(COUNTIF(INV_ID,B68)=0,"CHECK: Supplier ID not in inventory",IF(AND(D68&lt;&gt;"",COUNTIF(RSK_ID,D68)=0),"CHECK: Risk ID not found",IF(AND(D68&lt;&gt;"",COUNTIF(RSK_ID,D68)&gt;0,IFERROR(INDEX(RSK_SUP,MATCH(D68,RSK_ID,0)),"")&lt;&gt;B68),"CHECK: Risk belongs to a different supplier",IF(AND(E68&lt;&gt;"",COUNTIF(FND_ID,E68)=0),"CHECK: Finding ID not found",IF(AND(N68="Verified",K68&lt;&gt;"Delivered (self-reported)"),"CHECK: verified but not marked delivered","OK"))))))))</f>
        <v/>
      </c>
      <c r="X68" s="52" t="str">
        <f aca="false">IF(OR(A68="",B68=""),"",IF(AND(T68="Open",B68=RptSup),B68&amp;"|"&amp;COUNTIFS($B$7:B68,B68,$T$7:T68,"Open"),""))</f>
        <v/>
      </c>
    </row>
    <row r="69" customFormat="false" ht="15" hidden="false" customHeight="false" outlineLevel="0" collapsed="false">
      <c r="A69" s="50"/>
      <c r="B69" s="50"/>
      <c r="C69" s="59" t="str">
        <f aca="false">IF(B69="","",IFERROR(INDEX(INV_NAME,MATCH(B69,INV_ID,0)),"CHECK: Supplier ID not found"))</f>
        <v/>
      </c>
      <c r="D69" s="50"/>
      <c r="E69" s="50"/>
      <c r="F69" s="50"/>
      <c r="G69" s="34"/>
      <c r="H69" s="34"/>
      <c r="I69" s="34"/>
      <c r="J69" s="51"/>
      <c r="K69" s="34"/>
      <c r="L69" s="34"/>
      <c r="M69" s="34"/>
      <c r="N69" s="34"/>
      <c r="O69" s="51"/>
      <c r="P69" s="50"/>
      <c r="Q69" s="34"/>
      <c r="R69" s="34"/>
      <c r="S69" s="54" t="str">
        <f aca="false">IF(A69="","",IF(K69="Cancelled","Cancelled",IF(K69="Delivered (self-reported)",IF(N69="Verified","Closed - verified","Delivered - verification pending"),IF(K69="","Not started",K69))))</f>
        <v/>
      </c>
      <c r="T69" s="52" t="str">
        <f aca="false">IF(A69="","",IF(OR(S69="Cancelled",S69="Closed - verified"),"Closed","Open"))</f>
        <v/>
      </c>
      <c r="U69" s="61" t="str">
        <f aca="false">IF(A69="","",IF(AND(T69="Open",ISNUMBER(J69),J69&lt;AsOf),"Overdue",""))</f>
        <v/>
      </c>
      <c r="V69" s="54" t="str">
        <f aca="false">IF(A69="","",IF(F69="Accept",IF(Q69="","CHECK: decision record required - not recorded",IF(COUNTIF(DEC_ID,Q69)=0,"CHECK: Decision ID not found","Decision referenced")),""))</f>
        <v/>
      </c>
      <c r="W69" s="54" t="str">
        <f aca="false">IF(A69="","",IF(COUNTIF(TRT_ID,A69)&gt;1,"CHECK: duplicate ID",IF(B69="","CHECK: Supplier ID missing",IF(COUNTIF(INV_ID,B69)=0,"CHECK: Supplier ID not in inventory",IF(AND(D69&lt;&gt;"",COUNTIF(RSK_ID,D69)=0),"CHECK: Risk ID not found",IF(AND(D69&lt;&gt;"",COUNTIF(RSK_ID,D69)&gt;0,IFERROR(INDEX(RSK_SUP,MATCH(D69,RSK_ID,0)),"")&lt;&gt;B69),"CHECK: Risk belongs to a different supplier",IF(AND(E69&lt;&gt;"",COUNTIF(FND_ID,E69)=0),"CHECK: Finding ID not found",IF(AND(N69="Verified",K69&lt;&gt;"Delivered (self-reported)"),"CHECK: verified but not marked delivered","OK"))))))))</f>
        <v/>
      </c>
      <c r="X69" s="52" t="str">
        <f aca="false">IF(OR(A69="",B69=""),"",IF(AND(T69="Open",B69=RptSup),B69&amp;"|"&amp;COUNTIFS($B$7:B69,B69,$T$7:T69,"Open"),""))</f>
        <v/>
      </c>
    </row>
    <row r="70" customFormat="false" ht="15" hidden="false" customHeight="false" outlineLevel="0" collapsed="false">
      <c r="A70" s="50"/>
      <c r="B70" s="50"/>
      <c r="C70" s="59" t="str">
        <f aca="false">IF(B70="","",IFERROR(INDEX(INV_NAME,MATCH(B70,INV_ID,0)),"CHECK: Supplier ID not found"))</f>
        <v/>
      </c>
      <c r="D70" s="50"/>
      <c r="E70" s="50"/>
      <c r="F70" s="50"/>
      <c r="G70" s="34"/>
      <c r="H70" s="34"/>
      <c r="I70" s="34"/>
      <c r="J70" s="51"/>
      <c r="K70" s="34"/>
      <c r="L70" s="34"/>
      <c r="M70" s="34"/>
      <c r="N70" s="34"/>
      <c r="O70" s="51"/>
      <c r="P70" s="50"/>
      <c r="Q70" s="34"/>
      <c r="R70" s="34"/>
      <c r="S70" s="54" t="str">
        <f aca="false">IF(A70="","",IF(K70="Cancelled","Cancelled",IF(K70="Delivered (self-reported)",IF(N70="Verified","Closed - verified","Delivered - verification pending"),IF(K70="","Not started",K70))))</f>
        <v/>
      </c>
      <c r="T70" s="52" t="str">
        <f aca="false">IF(A70="","",IF(OR(S70="Cancelled",S70="Closed - verified"),"Closed","Open"))</f>
        <v/>
      </c>
      <c r="U70" s="61" t="str">
        <f aca="false">IF(A70="","",IF(AND(T70="Open",ISNUMBER(J70),J70&lt;AsOf),"Overdue",""))</f>
        <v/>
      </c>
      <c r="V70" s="54" t="str">
        <f aca="false">IF(A70="","",IF(F70="Accept",IF(Q70="","CHECK: decision record required - not recorded",IF(COUNTIF(DEC_ID,Q70)=0,"CHECK: Decision ID not found","Decision referenced")),""))</f>
        <v/>
      </c>
      <c r="W70" s="54" t="str">
        <f aca="false">IF(A70="","",IF(COUNTIF(TRT_ID,A70)&gt;1,"CHECK: duplicate ID",IF(B70="","CHECK: Supplier ID missing",IF(COUNTIF(INV_ID,B70)=0,"CHECK: Supplier ID not in inventory",IF(AND(D70&lt;&gt;"",COUNTIF(RSK_ID,D70)=0),"CHECK: Risk ID not found",IF(AND(D70&lt;&gt;"",COUNTIF(RSK_ID,D70)&gt;0,IFERROR(INDEX(RSK_SUP,MATCH(D70,RSK_ID,0)),"")&lt;&gt;B70),"CHECK: Risk belongs to a different supplier",IF(AND(E70&lt;&gt;"",COUNTIF(FND_ID,E70)=0),"CHECK: Finding ID not found",IF(AND(N70="Verified",K70&lt;&gt;"Delivered (self-reported)"),"CHECK: verified but not marked delivered","OK"))))))))</f>
        <v/>
      </c>
      <c r="X70" s="52" t="str">
        <f aca="false">IF(OR(A70="",B70=""),"",IF(AND(T70="Open",B70=RptSup),B70&amp;"|"&amp;COUNTIFS($B$7:B70,B70,$T$7:T70,"Open"),""))</f>
        <v/>
      </c>
    </row>
    <row r="71" customFormat="false" ht="15" hidden="false" customHeight="false" outlineLevel="0" collapsed="false">
      <c r="A71" s="50"/>
      <c r="B71" s="50"/>
      <c r="C71" s="59" t="str">
        <f aca="false">IF(B71="","",IFERROR(INDEX(INV_NAME,MATCH(B71,INV_ID,0)),"CHECK: Supplier ID not found"))</f>
        <v/>
      </c>
      <c r="D71" s="50"/>
      <c r="E71" s="50"/>
      <c r="F71" s="50"/>
      <c r="G71" s="34"/>
      <c r="H71" s="34"/>
      <c r="I71" s="34"/>
      <c r="J71" s="51"/>
      <c r="K71" s="34"/>
      <c r="L71" s="34"/>
      <c r="M71" s="34"/>
      <c r="N71" s="34"/>
      <c r="O71" s="51"/>
      <c r="P71" s="50"/>
      <c r="Q71" s="34"/>
      <c r="R71" s="34"/>
      <c r="S71" s="54" t="str">
        <f aca="false">IF(A71="","",IF(K71="Cancelled","Cancelled",IF(K71="Delivered (self-reported)",IF(N71="Verified","Closed - verified","Delivered - verification pending"),IF(K71="","Not started",K71))))</f>
        <v/>
      </c>
      <c r="T71" s="52" t="str">
        <f aca="false">IF(A71="","",IF(OR(S71="Cancelled",S71="Closed - verified"),"Closed","Open"))</f>
        <v/>
      </c>
      <c r="U71" s="61" t="str">
        <f aca="false">IF(A71="","",IF(AND(T71="Open",ISNUMBER(J71),J71&lt;AsOf),"Overdue",""))</f>
        <v/>
      </c>
      <c r="V71" s="54" t="str">
        <f aca="false">IF(A71="","",IF(F71="Accept",IF(Q71="","CHECK: decision record required - not recorded",IF(COUNTIF(DEC_ID,Q71)=0,"CHECK: Decision ID not found","Decision referenced")),""))</f>
        <v/>
      </c>
      <c r="W71" s="54" t="str">
        <f aca="false">IF(A71="","",IF(COUNTIF(TRT_ID,A71)&gt;1,"CHECK: duplicate ID",IF(B71="","CHECK: Supplier ID missing",IF(COUNTIF(INV_ID,B71)=0,"CHECK: Supplier ID not in inventory",IF(AND(D71&lt;&gt;"",COUNTIF(RSK_ID,D71)=0),"CHECK: Risk ID not found",IF(AND(D71&lt;&gt;"",COUNTIF(RSK_ID,D71)&gt;0,IFERROR(INDEX(RSK_SUP,MATCH(D71,RSK_ID,0)),"")&lt;&gt;B71),"CHECK: Risk belongs to a different supplier",IF(AND(E71&lt;&gt;"",COUNTIF(FND_ID,E71)=0),"CHECK: Finding ID not found",IF(AND(N71="Verified",K71&lt;&gt;"Delivered (self-reported)"),"CHECK: verified but not marked delivered","OK"))))))))</f>
        <v/>
      </c>
      <c r="X71" s="52" t="str">
        <f aca="false">IF(OR(A71="",B71=""),"",IF(AND(T71="Open",B71=RptSup),B71&amp;"|"&amp;COUNTIFS($B$7:B71,B71,$T$7:T71,"Open"),""))</f>
        <v/>
      </c>
    </row>
    <row r="72" customFormat="false" ht="15" hidden="false" customHeight="false" outlineLevel="0" collapsed="false">
      <c r="A72" s="50"/>
      <c r="B72" s="50"/>
      <c r="C72" s="59" t="str">
        <f aca="false">IF(B72="","",IFERROR(INDEX(INV_NAME,MATCH(B72,INV_ID,0)),"CHECK: Supplier ID not found"))</f>
        <v/>
      </c>
      <c r="D72" s="50"/>
      <c r="E72" s="50"/>
      <c r="F72" s="50"/>
      <c r="G72" s="34"/>
      <c r="H72" s="34"/>
      <c r="I72" s="34"/>
      <c r="J72" s="51"/>
      <c r="K72" s="34"/>
      <c r="L72" s="34"/>
      <c r="M72" s="34"/>
      <c r="N72" s="34"/>
      <c r="O72" s="51"/>
      <c r="P72" s="50"/>
      <c r="Q72" s="34"/>
      <c r="R72" s="34"/>
      <c r="S72" s="54" t="str">
        <f aca="false">IF(A72="","",IF(K72="Cancelled","Cancelled",IF(K72="Delivered (self-reported)",IF(N72="Verified","Closed - verified","Delivered - verification pending"),IF(K72="","Not started",K72))))</f>
        <v/>
      </c>
      <c r="T72" s="52" t="str">
        <f aca="false">IF(A72="","",IF(OR(S72="Cancelled",S72="Closed - verified"),"Closed","Open"))</f>
        <v/>
      </c>
      <c r="U72" s="61" t="str">
        <f aca="false">IF(A72="","",IF(AND(T72="Open",ISNUMBER(J72),J72&lt;AsOf),"Overdue",""))</f>
        <v/>
      </c>
      <c r="V72" s="54" t="str">
        <f aca="false">IF(A72="","",IF(F72="Accept",IF(Q72="","CHECK: decision record required - not recorded",IF(COUNTIF(DEC_ID,Q72)=0,"CHECK: Decision ID not found","Decision referenced")),""))</f>
        <v/>
      </c>
      <c r="W72" s="54" t="str">
        <f aca="false">IF(A72="","",IF(COUNTIF(TRT_ID,A72)&gt;1,"CHECK: duplicate ID",IF(B72="","CHECK: Supplier ID missing",IF(COUNTIF(INV_ID,B72)=0,"CHECK: Supplier ID not in inventory",IF(AND(D72&lt;&gt;"",COUNTIF(RSK_ID,D72)=0),"CHECK: Risk ID not found",IF(AND(D72&lt;&gt;"",COUNTIF(RSK_ID,D72)&gt;0,IFERROR(INDEX(RSK_SUP,MATCH(D72,RSK_ID,0)),"")&lt;&gt;B72),"CHECK: Risk belongs to a different supplier",IF(AND(E72&lt;&gt;"",COUNTIF(FND_ID,E72)=0),"CHECK: Finding ID not found",IF(AND(N72="Verified",K72&lt;&gt;"Delivered (self-reported)"),"CHECK: verified but not marked delivered","OK"))))))))</f>
        <v/>
      </c>
      <c r="X72" s="52" t="str">
        <f aca="false">IF(OR(A72="",B72=""),"",IF(AND(T72="Open",B72=RptSup),B72&amp;"|"&amp;COUNTIFS($B$7:B72,B72,$T$7:T72,"Open"),""))</f>
        <v/>
      </c>
    </row>
    <row r="73" customFormat="false" ht="15" hidden="false" customHeight="false" outlineLevel="0" collapsed="false">
      <c r="A73" s="50"/>
      <c r="B73" s="50"/>
      <c r="C73" s="59" t="str">
        <f aca="false">IF(B73="","",IFERROR(INDEX(INV_NAME,MATCH(B73,INV_ID,0)),"CHECK: Supplier ID not found"))</f>
        <v/>
      </c>
      <c r="D73" s="50"/>
      <c r="E73" s="50"/>
      <c r="F73" s="50"/>
      <c r="G73" s="34"/>
      <c r="H73" s="34"/>
      <c r="I73" s="34"/>
      <c r="J73" s="51"/>
      <c r="K73" s="34"/>
      <c r="L73" s="34"/>
      <c r="M73" s="34"/>
      <c r="N73" s="34"/>
      <c r="O73" s="51"/>
      <c r="P73" s="50"/>
      <c r="Q73" s="34"/>
      <c r="R73" s="34"/>
      <c r="S73" s="54" t="str">
        <f aca="false">IF(A73="","",IF(K73="Cancelled","Cancelled",IF(K73="Delivered (self-reported)",IF(N73="Verified","Closed - verified","Delivered - verification pending"),IF(K73="","Not started",K73))))</f>
        <v/>
      </c>
      <c r="T73" s="52" t="str">
        <f aca="false">IF(A73="","",IF(OR(S73="Cancelled",S73="Closed - verified"),"Closed","Open"))</f>
        <v/>
      </c>
      <c r="U73" s="61" t="str">
        <f aca="false">IF(A73="","",IF(AND(T73="Open",ISNUMBER(J73),J73&lt;AsOf),"Overdue",""))</f>
        <v/>
      </c>
      <c r="V73" s="54" t="str">
        <f aca="false">IF(A73="","",IF(F73="Accept",IF(Q73="","CHECK: decision record required - not recorded",IF(COUNTIF(DEC_ID,Q73)=0,"CHECK: Decision ID not found","Decision referenced")),""))</f>
        <v/>
      </c>
      <c r="W73" s="54" t="str">
        <f aca="false">IF(A73="","",IF(COUNTIF(TRT_ID,A73)&gt;1,"CHECK: duplicate ID",IF(B73="","CHECK: Supplier ID missing",IF(COUNTIF(INV_ID,B73)=0,"CHECK: Supplier ID not in inventory",IF(AND(D73&lt;&gt;"",COUNTIF(RSK_ID,D73)=0),"CHECK: Risk ID not found",IF(AND(D73&lt;&gt;"",COUNTIF(RSK_ID,D73)&gt;0,IFERROR(INDEX(RSK_SUP,MATCH(D73,RSK_ID,0)),"")&lt;&gt;B73),"CHECK: Risk belongs to a different supplier",IF(AND(E73&lt;&gt;"",COUNTIF(FND_ID,E73)=0),"CHECK: Finding ID not found",IF(AND(N73="Verified",K73&lt;&gt;"Delivered (self-reported)"),"CHECK: verified but not marked delivered","OK"))))))))</f>
        <v/>
      </c>
      <c r="X73" s="52" t="str">
        <f aca="false">IF(OR(A73="",B73=""),"",IF(AND(T73="Open",B73=RptSup),B73&amp;"|"&amp;COUNTIFS($B$7:B73,B73,$T$7:T73,"Open"),""))</f>
        <v/>
      </c>
    </row>
    <row r="74" customFormat="false" ht="15" hidden="false" customHeight="false" outlineLevel="0" collapsed="false">
      <c r="A74" s="50"/>
      <c r="B74" s="50"/>
      <c r="C74" s="59" t="str">
        <f aca="false">IF(B74="","",IFERROR(INDEX(INV_NAME,MATCH(B74,INV_ID,0)),"CHECK: Supplier ID not found"))</f>
        <v/>
      </c>
      <c r="D74" s="50"/>
      <c r="E74" s="50"/>
      <c r="F74" s="50"/>
      <c r="G74" s="34"/>
      <c r="H74" s="34"/>
      <c r="I74" s="34"/>
      <c r="J74" s="51"/>
      <c r="K74" s="34"/>
      <c r="L74" s="34"/>
      <c r="M74" s="34"/>
      <c r="N74" s="34"/>
      <c r="O74" s="51"/>
      <c r="P74" s="50"/>
      <c r="Q74" s="34"/>
      <c r="R74" s="34"/>
      <c r="S74" s="54" t="str">
        <f aca="false">IF(A74="","",IF(K74="Cancelled","Cancelled",IF(K74="Delivered (self-reported)",IF(N74="Verified","Closed - verified","Delivered - verification pending"),IF(K74="","Not started",K74))))</f>
        <v/>
      </c>
      <c r="T74" s="52" t="str">
        <f aca="false">IF(A74="","",IF(OR(S74="Cancelled",S74="Closed - verified"),"Closed","Open"))</f>
        <v/>
      </c>
      <c r="U74" s="61" t="str">
        <f aca="false">IF(A74="","",IF(AND(T74="Open",ISNUMBER(J74),J74&lt;AsOf),"Overdue",""))</f>
        <v/>
      </c>
      <c r="V74" s="54" t="str">
        <f aca="false">IF(A74="","",IF(F74="Accept",IF(Q74="","CHECK: decision record required - not recorded",IF(COUNTIF(DEC_ID,Q74)=0,"CHECK: Decision ID not found","Decision referenced")),""))</f>
        <v/>
      </c>
      <c r="W74" s="54" t="str">
        <f aca="false">IF(A74="","",IF(COUNTIF(TRT_ID,A74)&gt;1,"CHECK: duplicate ID",IF(B74="","CHECK: Supplier ID missing",IF(COUNTIF(INV_ID,B74)=0,"CHECK: Supplier ID not in inventory",IF(AND(D74&lt;&gt;"",COUNTIF(RSK_ID,D74)=0),"CHECK: Risk ID not found",IF(AND(D74&lt;&gt;"",COUNTIF(RSK_ID,D74)&gt;0,IFERROR(INDEX(RSK_SUP,MATCH(D74,RSK_ID,0)),"")&lt;&gt;B74),"CHECK: Risk belongs to a different supplier",IF(AND(E74&lt;&gt;"",COUNTIF(FND_ID,E74)=0),"CHECK: Finding ID not found",IF(AND(N74="Verified",K74&lt;&gt;"Delivered (self-reported)"),"CHECK: verified but not marked delivered","OK"))))))))</f>
        <v/>
      </c>
      <c r="X74" s="52" t="str">
        <f aca="false">IF(OR(A74="",B74=""),"",IF(AND(T74="Open",B74=RptSup),B74&amp;"|"&amp;COUNTIFS($B$7:B74,B74,$T$7:T74,"Open"),""))</f>
        <v/>
      </c>
    </row>
    <row r="75" customFormat="false" ht="15" hidden="false" customHeight="false" outlineLevel="0" collapsed="false">
      <c r="A75" s="50"/>
      <c r="B75" s="50"/>
      <c r="C75" s="59" t="str">
        <f aca="false">IF(B75="","",IFERROR(INDEX(INV_NAME,MATCH(B75,INV_ID,0)),"CHECK: Supplier ID not found"))</f>
        <v/>
      </c>
      <c r="D75" s="50"/>
      <c r="E75" s="50"/>
      <c r="F75" s="50"/>
      <c r="G75" s="34"/>
      <c r="H75" s="34"/>
      <c r="I75" s="34"/>
      <c r="J75" s="51"/>
      <c r="K75" s="34"/>
      <c r="L75" s="34"/>
      <c r="M75" s="34"/>
      <c r="N75" s="34"/>
      <c r="O75" s="51"/>
      <c r="P75" s="50"/>
      <c r="Q75" s="34"/>
      <c r="R75" s="34"/>
      <c r="S75" s="54" t="str">
        <f aca="false">IF(A75="","",IF(K75="Cancelled","Cancelled",IF(K75="Delivered (self-reported)",IF(N75="Verified","Closed - verified","Delivered - verification pending"),IF(K75="","Not started",K75))))</f>
        <v/>
      </c>
      <c r="T75" s="52" t="str">
        <f aca="false">IF(A75="","",IF(OR(S75="Cancelled",S75="Closed - verified"),"Closed","Open"))</f>
        <v/>
      </c>
      <c r="U75" s="61" t="str">
        <f aca="false">IF(A75="","",IF(AND(T75="Open",ISNUMBER(J75),J75&lt;AsOf),"Overdue",""))</f>
        <v/>
      </c>
      <c r="V75" s="54" t="str">
        <f aca="false">IF(A75="","",IF(F75="Accept",IF(Q75="","CHECK: decision record required - not recorded",IF(COUNTIF(DEC_ID,Q75)=0,"CHECK: Decision ID not found","Decision referenced")),""))</f>
        <v/>
      </c>
      <c r="W75" s="54" t="str">
        <f aca="false">IF(A75="","",IF(COUNTIF(TRT_ID,A75)&gt;1,"CHECK: duplicate ID",IF(B75="","CHECK: Supplier ID missing",IF(COUNTIF(INV_ID,B75)=0,"CHECK: Supplier ID not in inventory",IF(AND(D75&lt;&gt;"",COUNTIF(RSK_ID,D75)=0),"CHECK: Risk ID not found",IF(AND(D75&lt;&gt;"",COUNTIF(RSK_ID,D75)&gt;0,IFERROR(INDEX(RSK_SUP,MATCH(D75,RSK_ID,0)),"")&lt;&gt;B75),"CHECK: Risk belongs to a different supplier",IF(AND(E75&lt;&gt;"",COUNTIF(FND_ID,E75)=0),"CHECK: Finding ID not found",IF(AND(N75="Verified",K75&lt;&gt;"Delivered (self-reported)"),"CHECK: verified but not marked delivered","OK"))))))))</f>
        <v/>
      </c>
      <c r="X75" s="52" t="str">
        <f aca="false">IF(OR(A75="",B75=""),"",IF(AND(T75="Open",B75=RptSup),B75&amp;"|"&amp;COUNTIFS($B$7:B75,B75,$T$7:T75,"Open"),""))</f>
        <v/>
      </c>
    </row>
    <row r="76" customFormat="false" ht="15" hidden="false" customHeight="false" outlineLevel="0" collapsed="false">
      <c r="A76" s="50"/>
      <c r="B76" s="50"/>
      <c r="C76" s="59" t="str">
        <f aca="false">IF(B76="","",IFERROR(INDEX(INV_NAME,MATCH(B76,INV_ID,0)),"CHECK: Supplier ID not found"))</f>
        <v/>
      </c>
      <c r="D76" s="50"/>
      <c r="E76" s="50"/>
      <c r="F76" s="50"/>
      <c r="G76" s="34"/>
      <c r="H76" s="34"/>
      <c r="I76" s="34"/>
      <c r="J76" s="51"/>
      <c r="K76" s="34"/>
      <c r="L76" s="34"/>
      <c r="M76" s="34"/>
      <c r="N76" s="34"/>
      <c r="O76" s="51"/>
      <c r="P76" s="50"/>
      <c r="Q76" s="34"/>
      <c r="R76" s="34"/>
      <c r="S76" s="54" t="str">
        <f aca="false">IF(A76="","",IF(K76="Cancelled","Cancelled",IF(K76="Delivered (self-reported)",IF(N76="Verified","Closed - verified","Delivered - verification pending"),IF(K76="","Not started",K76))))</f>
        <v/>
      </c>
      <c r="T76" s="52" t="str">
        <f aca="false">IF(A76="","",IF(OR(S76="Cancelled",S76="Closed - verified"),"Closed","Open"))</f>
        <v/>
      </c>
      <c r="U76" s="61" t="str">
        <f aca="false">IF(A76="","",IF(AND(T76="Open",ISNUMBER(J76),J76&lt;AsOf),"Overdue",""))</f>
        <v/>
      </c>
      <c r="V76" s="54" t="str">
        <f aca="false">IF(A76="","",IF(F76="Accept",IF(Q76="","CHECK: decision record required - not recorded",IF(COUNTIF(DEC_ID,Q76)=0,"CHECK: Decision ID not found","Decision referenced")),""))</f>
        <v/>
      </c>
      <c r="W76" s="54" t="str">
        <f aca="false">IF(A76="","",IF(COUNTIF(TRT_ID,A76)&gt;1,"CHECK: duplicate ID",IF(B76="","CHECK: Supplier ID missing",IF(COUNTIF(INV_ID,B76)=0,"CHECK: Supplier ID not in inventory",IF(AND(D76&lt;&gt;"",COUNTIF(RSK_ID,D76)=0),"CHECK: Risk ID not found",IF(AND(D76&lt;&gt;"",COUNTIF(RSK_ID,D76)&gt;0,IFERROR(INDEX(RSK_SUP,MATCH(D76,RSK_ID,0)),"")&lt;&gt;B76),"CHECK: Risk belongs to a different supplier",IF(AND(E76&lt;&gt;"",COUNTIF(FND_ID,E76)=0),"CHECK: Finding ID not found",IF(AND(N76="Verified",K76&lt;&gt;"Delivered (self-reported)"),"CHECK: verified but not marked delivered","OK"))))))))</f>
        <v/>
      </c>
      <c r="X76" s="52" t="str">
        <f aca="false">IF(OR(A76="",B76=""),"",IF(AND(T76="Open",B76=RptSup),B76&amp;"|"&amp;COUNTIFS($B$7:B76,B76,$T$7:T76,"Open"),""))</f>
        <v/>
      </c>
    </row>
    <row r="77" customFormat="false" ht="15" hidden="false" customHeight="false" outlineLevel="0" collapsed="false">
      <c r="A77" s="50"/>
      <c r="B77" s="50"/>
      <c r="C77" s="59" t="str">
        <f aca="false">IF(B77="","",IFERROR(INDEX(INV_NAME,MATCH(B77,INV_ID,0)),"CHECK: Supplier ID not found"))</f>
        <v/>
      </c>
      <c r="D77" s="50"/>
      <c r="E77" s="50"/>
      <c r="F77" s="50"/>
      <c r="G77" s="34"/>
      <c r="H77" s="34"/>
      <c r="I77" s="34"/>
      <c r="J77" s="51"/>
      <c r="K77" s="34"/>
      <c r="L77" s="34"/>
      <c r="M77" s="34"/>
      <c r="N77" s="34"/>
      <c r="O77" s="51"/>
      <c r="P77" s="50"/>
      <c r="Q77" s="34"/>
      <c r="R77" s="34"/>
      <c r="S77" s="54" t="str">
        <f aca="false">IF(A77="","",IF(K77="Cancelled","Cancelled",IF(K77="Delivered (self-reported)",IF(N77="Verified","Closed - verified","Delivered - verification pending"),IF(K77="","Not started",K77))))</f>
        <v/>
      </c>
      <c r="T77" s="52" t="str">
        <f aca="false">IF(A77="","",IF(OR(S77="Cancelled",S77="Closed - verified"),"Closed","Open"))</f>
        <v/>
      </c>
      <c r="U77" s="61" t="str">
        <f aca="false">IF(A77="","",IF(AND(T77="Open",ISNUMBER(J77),J77&lt;AsOf),"Overdue",""))</f>
        <v/>
      </c>
      <c r="V77" s="54" t="str">
        <f aca="false">IF(A77="","",IF(F77="Accept",IF(Q77="","CHECK: decision record required - not recorded",IF(COUNTIF(DEC_ID,Q77)=0,"CHECK: Decision ID not found","Decision referenced")),""))</f>
        <v/>
      </c>
      <c r="W77" s="54" t="str">
        <f aca="false">IF(A77="","",IF(COUNTIF(TRT_ID,A77)&gt;1,"CHECK: duplicate ID",IF(B77="","CHECK: Supplier ID missing",IF(COUNTIF(INV_ID,B77)=0,"CHECK: Supplier ID not in inventory",IF(AND(D77&lt;&gt;"",COUNTIF(RSK_ID,D77)=0),"CHECK: Risk ID not found",IF(AND(D77&lt;&gt;"",COUNTIF(RSK_ID,D77)&gt;0,IFERROR(INDEX(RSK_SUP,MATCH(D77,RSK_ID,0)),"")&lt;&gt;B77),"CHECK: Risk belongs to a different supplier",IF(AND(E77&lt;&gt;"",COUNTIF(FND_ID,E77)=0),"CHECK: Finding ID not found",IF(AND(N77="Verified",K77&lt;&gt;"Delivered (self-reported)"),"CHECK: verified but not marked delivered","OK"))))))))</f>
        <v/>
      </c>
      <c r="X77" s="52" t="str">
        <f aca="false">IF(OR(A77="",B77=""),"",IF(AND(T77="Open",B77=RptSup),B77&amp;"|"&amp;COUNTIFS($B$7:B77,B77,$T$7:T77,"Open"),""))</f>
        <v/>
      </c>
    </row>
    <row r="78" customFormat="false" ht="15" hidden="false" customHeight="false" outlineLevel="0" collapsed="false">
      <c r="A78" s="50"/>
      <c r="B78" s="50"/>
      <c r="C78" s="59" t="str">
        <f aca="false">IF(B78="","",IFERROR(INDEX(INV_NAME,MATCH(B78,INV_ID,0)),"CHECK: Supplier ID not found"))</f>
        <v/>
      </c>
      <c r="D78" s="50"/>
      <c r="E78" s="50"/>
      <c r="F78" s="50"/>
      <c r="G78" s="34"/>
      <c r="H78" s="34"/>
      <c r="I78" s="34"/>
      <c r="J78" s="51"/>
      <c r="K78" s="34"/>
      <c r="L78" s="34"/>
      <c r="M78" s="34"/>
      <c r="N78" s="34"/>
      <c r="O78" s="51"/>
      <c r="P78" s="50"/>
      <c r="Q78" s="34"/>
      <c r="R78" s="34"/>
      <c r="S78" s="54" t="str">
        <f aca="false">IF(A78="","",IF(K78="Cancelled","Cancelled",IF(K78="Delivered (self-reported)",IF(N78="Verified","Closed - verified","Delivered - verification pending"),IF(K78="","Not started",K78))))</f>
        <v/>
      </c>
      <c r="T78" s="52" t="str">
        <f aca="false">IF(A78="","",IF(OR(S78="Cancelled",S78="Closed - verified"),"Closed","Open"))</f>
        <v/>
      </c>
      <c r="U78" s="61" t="str">
        <f aca="false">IF(A78="","",IF(AND(T78="Open",ISNUMBER(J78),J78&lt;AsOf),"Overdue",""))</f>
        <v/>
      </c>
      <c r="V78" s="54" t="str">
        <f aca="false">IF(A78="","",IF(F78="Accept",IF(Q78="","CHECK: decision record required - not recorded",IF(COUNTIF(DEC_ID,Q78)=0,"CHECK: Decision ID not found","Decision referenced")),""))</f>
        <v/>
      </c>
      <c r="W78" s="54" t="str">
        <f aca="false">IF(A78="","",IF(COUNTIF(TRT_ID,A78)&gt;1,"CHECK: duplicate ID",IF(B78="","CHECK: Supplier ID missing",IF(COUNTIF(INV_ID,B78)=0,"CHECK: Supplier ID not in inventory",IF(AND(D78&lt;&gt;"",COUNTIF(RSK_ID,D78)=0),"CHECK: Risk ID not found",IF(AND(D78&lt;&gt;"",COUNTIF(RSK_ID,D78)&gt;0,IFERROR(INDEX(RSK_SUP,MATCH(D78,RSK_ID,0)),"")&lt;&gt;B78),"CHECK: Risk belongs to a different supplier",IF(AND(E78&lt;&gt;"",COUNTIF(FND_ID,E78)=0),"CHECK: Finding ID not found",IF(AND(N78="Verified",K78&lt;&gt;"Delivered (self-reported)"),"CHECK: verified but not marked delivered","OK"))))))))</f>
        <v/>
      </c>
      <c r="X78" s="52" t="str">
        <f aca="false">IF(OR(A78="",B78=""),"",IF(AND(T78="Open",B78=RptSup),B78&amp;"|"&amp;COUNTIFS($B$7:B78,B78,$T$7:T78,"Open"),""))</f>
        <v/>
      </c>
    </row>
    <row r="79" customFormat="false" ht="15" hidden="false" customHeight="false" outlineLevel="0" collapsed="false">
      <c r="A79" s="50"/>
      <c r="B79" s="50"/>
      <c r="C79" s="59" t="str">
        <f aca="false">IF(B79="","",IFERROR(INDEX(INV_NAME,MATCH(B79,INV_ID,0)),"CHECK: Supplier ID not found"))</f>
        <v/>
      </c>
      <c r="D79" s="50"/>
      <c r="E79" s="50"/>
      <c r="F79" s="50"/>
      <c r="G79" s="34"/>
      <c r="H79" s="34"/>
      <c r="I79" s="34"/>
      <c r="J79" s="51"/>
      <c r="K79" s="34"/>
      <c r="L79" s="34"/>
      <c r="M79" s="34"/>
      <c r="N79" s="34"/>
      <c r="O79" s="51"/>
      <c r="P79" s="50"/>
      <c r="Q79" s="34"/>
      <c r="R79" s="34"/>
      <c r="S79" s="54" t="str">
        <f aca="false">IF(A79="","",IF(K79="Cancelled","Cancelled",IF(K79="Delivered (self-reported)",IF(N79="Verified","Closed - verified","Delivered - verification pending"),IF(K79="","Not started",K79))))</f>
        <v/>
      </c>
      <c r="T79" s="52" t="str">
        <f aca="false">IF(A79="","",IF(OR(S79="Cancelled",S79="Closed - verified"),"Closed","Open"))</f>
        <v/>
      </c>
      <c r="U79" s="61" t="str">
        <f aca="false">IF(A79="","",IF(AND(T79="Open",ISNUMBER(J79),J79&lt;AsOf),"Overdue",""))</f>
        <v/>
      </c>
      <c r="V79" s="54" t="str">
        <f aca="false">IF(A79="","",IF(F79="Accept",IF(Q79="","CHECK: decision record required - not recorded",IF(COUNTIF(DEC_ID,Q79)=0,"CHECK: Decision ID not found","Decision referenced")),""))</f>
        <v/>
      </c>
      <c r="W79" s="54" t="str">
        <f aca="false">IF(A79="","",IF(COUNTIF(TRT_ID,A79)&gt;1,"CHECK: duplicate ID",IF(B79="","CHECK: Supplier ID missing",IF(COUNTIF(INV_ID,B79)=0,"CHECK: Supplier ID not in inventory",IF(AND(D79&lt;&gt;"",COUNTIF(RSK_ID,D79)=0),"CHECK: Risk ID not found",IF(AND(D79&lt;&gt;"",COUNTIF(RSK_ID,D79)&gt;0,IFERROR(INDEX(RSK_SUP,MATCH(D79,RSK_ID,0)),"")&lt;&gt;B79),"CHECK: Risk belongs to a different supplier",IF(AND(E79&lt;&gt;"",COUNTIF(FND_ID,E79)=0),"CHECK: Finding ID not found",IF(AND(N79="Verified",K79&lt;&gt;"Delivered (self-reported)"),"CHECK: verified but not marked delivered","OK"))))))))</f>
        <v/>
      </c>
      <c r="X79" s="52" t="str">
        <f aca="false">IF(OR(A79="",B79=""),"",IF(AND(T79="Open",B79=RptSup),B79&amp;"|"&amp;COUNTIFS($B$7:B79,B79,$T$7:T79,"Open"),""))</f>
        <v/>
      </c>
    </row>
    <row r="80" customFormat="false" ht="15" hidden="false" customHeight="false" outlineLevel="0" collapsed="false">
      <c r="A80" s="50"/>
      <c r="B80" s="50"/>
      <c r="C80" s="59" t="str">
        <f aca="false">IF(B80="","",IFERROR(INDEX(INV_NAME,MATCH(B80,INV_ID,0)),"CHECK: Supplier ID not found"))</f>
        <v/>
      </c>
      <c r="D80" s="50"/>
      <c r="E80" s="50"/>
      <c r="F80" s="50"/>
      <c r="G80" s="34"/>
      <c r="H80" s="34"/>
      <c r="I80" s="34"/>
      <c r="J80" s="51"/>
      <c r="K80" s="34"/>
      <c r="L80" s="34"/>
      <c r="M80" s="34"/>
      <c r="N80" s="34"/>
      <c r="O80" s="51"/>
      <c r="P80" s="50"/>
      <c r="Q80" s="34"/>
      <c r="R80" s="34"/>
      <c r="S80" s="54" t="str">
        <f aca="false">IF(A80="","",IF(K80="Cancelled","Cancelled",IF(K80="Delivered (self-reported)",IF(N80="Verified","Closed - verified","Delivered - verification pending"),IF(K80="","Not started",K80))))</f>
        <v/>
      </c>
      <c r="T80" s="52" t="str">
        <f aca="false">IF(A80="","",IF(OR(S80="Cancelled",S80="Closed - verified"),"Closed","Open"))</f>
        <v/>
      </c>
      <c r="U80" s="61" t="str">
        <f aca="false">IF(A80="","",IF(AND(T80="Open",ISNUMBER(J80),J80&lt;AsOf),"Overdue",""))</f>
        <v/>
      </c>
      <c r="V80" s="54" t="str">
        <f aca="false">IF(A80="","",IF(F80="Accept",IF(Q80="","CHECK: decision record required - not recorded",IF(COUNTIF(DEC_ID,Q80)=0,"CHECK: Decision ID not found","Decision referenced")),""))</f>
        <v/>
      </c>
      <c r="W80" s="54" t="str">
        <f aca="false">IF(A80="","",IF(COUNTIF(TRT_ID,A80)&gt;1,"CHECK: duplicate ID",IF(B80="","CHECK: Supplier ID missing",IF(COUNTIF(INV_ID,B80)=0,"CHECK: Supplier ID not in inventory",IF(AND(D80&lt;&gt;"",COUNTIF(RSK_ID,D80)=0),"CHECK: Risk ID not found",IF(AND(D80&lt;&gt;"",COUNTIF(RSK_ID,D80)&gt;0,IFERROR(INDEX(RSK_SUP,MATCH(D80,RSK_ID,0)),"")&lt;&gt;B80),"CHECK: Risk belongs to a different supplier",IF(AND(E80&lt;&gt;"",COUNTIF(FND_ID,E80)=0),"CHECK: Finding ID not found",IF(AND(N80="Verified",K80&lt;&gt;"Delivered (self-reported)"),"CHECK: verified but not marked delivered","OK"))))))))</f>
        <v/>
      </c>
      <c r="X80" s="52" t="str">
        <f aca="false">IF(OR(A80="",B80=""),"",IF(AND(T80="Open",B80=RptSup),B80&amp;"|"&amp;COUNTIFS($B$7:B80,B80,$T$7:T80,"Open"),""))</f>
        <v/>
      </c>
    </row>
    <row r="81" customFormat="false" ht="15" hidden="false" customHeight="false" outlineLevel="0" collapsed="false">
      <c r="A81" s="50"/>
      <c r="B81" s="50"/>
      <c r="C81" s="59" t="str">
        <f aca="false">IF(B81="","",IFERROR(INDEX(INV_NAME,MATCH(B81,INV_ID,0)),"CHECK: Supplier ID not found"))</f>
        <v/>
      </c>
      <c r="D81" s="50"/>
      <c r="E81" s="50"/>
      <c r="F81" s="50"/>
      <c r="G81" s="34"/>
      <c r="H81" s="34"/>
      <c r="I81" s="34"/>
      <c r="J81" s="51"/>
      <c r="K81" s="34"/>
      <c r="L81" s="34"/>
      <c r="M81" s="34"/>
      <c r="N81" s="34"/>
      <c r="O81" s="51"/>
      <c r="P81" s="50"/>
      <c r="Q81" s="34"/>
      <c r="R81" s="34"/>
      <c r="S81" s="54" t="str">
        <f aca="false">IF(A81="","",IF(K81="Cancelled","Cancelled",IF(K81="Delivered (self-reported)",IF(N81="Verified","Closed - verified","Delivered - verification pending"),IF(K81="","Not started",K81))))</f>
        <v/>
      </c>
      <c r="T81" s="52" t="str">
        <f aca="false">IF(A81="","",IF(OR(S81="Cancelled",S81="Closed - verified"),"Closed","Open"))</f>
        <v/>
      </c>
      <c r="U81" s="61" t="str">
        <f aca="false">IF(A81="","",IF(AND(T81="Open",ISNUMBER(J81),J81&lt;AsOf),"Overdue",""))</f>
        <v/>
      </c>
      <c r="V81" s="54" t="str">
        <f aca="false">IF(A81="","",IF(F81="Accept",IF(Q81="","CHECK: decision record required - not recorded",IF(COUNTIF(DEC_ID,Q81)=0,"CHECK: Decision ID not found","Decision referenced")),""))</f>
        <v/>
      </c>
      <c r="W81" s="54" t="str">
        <f aca="false">IF(A81="","",IF(COUNTIF(TRT_ID,A81)&gt;1,"CHECK: duplicate ID",IF(B81="","CHECK: Supplier ID missing",IF(COUNTIF(INV_ID,B81)=0,"CHECK: Supplier ID not in inventory",IF(AND(D81&lt;&gt;"",COUNTIF(RSK_ID,D81)=0),"CHECK: Risk ID not found",IF(AND(D81&lt;&gt;"",COUNTIF(RSK_ID,D81)&gt;0,IFERROR(INDEX(RSK_SUP,MATCH(D81,RSK_ID,0)),"")&lt;&gt;B81),"CHECK: Risk belongs to a different supplier",IF(AND(E81&lt;&gt;"",COUNTIF(FND_ID,E81)=0),"CHECK: Finding ID not found",IF(AND(N81="Verified",K81&lt;&gt;"Delivered (self-reported)"),"CHECK: verified but not marked delivered","OK"))))))))</f>
        <v/>
      </c>
      <c r="X81" s="52" t="str">
        <f aca="false">IF(OR(A81="",B81=""),"",IF(AND(T81="Open",B81=RptSup),B81&amp;"|"&amp;COUNTIFS($B$7:B81,B81,$T$7:T81,"Open"),""))</f>
        <v/>
      </c>
    </row>
    <row r="82" customFormat="false" ht="15" hidden="false" customHeight="false" outlineLevel="0" collapsed="false">
      <c r="A82" s="50"/>
      <c r="B82" s="50"/>
      <c r="C82" s="59" t="str">
        <f aca="false">IF(B82="","",IFERROR(INDEX(INV_NAME,MATCH(B82,INV_ID,0)),"CHECK: Supplier ID not found"))</f>
        <v/>
      </c>
      <c r="D82" s="50"/>
      <c r="E82" s="50"/>
      <c r="F82" s="50"/>
      <c r="G82" s="34"/>
      <c r="H82" s="34"/>
      <c r="I82" s="34"/>
      <c r="J82" s="51"/>
      <c r="K82" s="34"/>
      <c r="L82" s="34"/>
      <c r="M82" s="34"/>
      <c r="N82" s="34"/>
      <c r="O82" s="51"/>
      <c r="P82" s="50"/>
      <c r="Q82" s="34"/>
      <c r="R82" s="34"/>
      <c r="S82" s="54" t="str">
        <f aca="false">IF(A82="","",IF(K82="Cancelled","Cancelled",IF(K82="Delivered (self-reported)",IF(N82="Verified","Closed - verified","Delivered - verification pending"),IF(K82="","Not started",K82))))</f>
        <v/>
      </c>
      <c r="T82" s="52" t="str">
        <f aca="false">IF(A82="","",IF(OR(S82="Cancelled",S82="Closed - verified"),"Closed","Open"))</f>
        <v/>
      </c>
      <c r="U82" s="61" t="str">
        <f aca="false">IF(A82="","",IF(AND(T82="Open",ISNUMBER(J82),J82&lt;AsOf),"Overdue",""))</f>
        <v/>
      </c>
      <c r="V82" s="54" t="str">
        <f aca="false">IF(A82="","",IF(F82="Accept",IF(Q82="","CHECK: decision record required - not recorded",IF(COUNTIF(DEC_ID,Q82)=0,"CHECK: Decision ID not found","Decision referenced")),""))</f>
        <v/>
      </c>
      <c r="W82" s="54" t="str">
        <f aca="false">IF(A82="","",IF(COUNTIF(TRT_ID,A82)&gt;1,"CHECK: duplicate ID",IF(B82="","CHECK: Supplier ID missing",IF(COUNTIF(INV_ID,B82)=0,"CHECK: Supplier ID not in inventory",IF(AND(D82&lt;&gt;"",COUNTIF(RSK_ID,D82)=0),"CHECK: Risk ID not found",IF(AND(D82&lt;&gt;"",COUNTIF(RSK_ID,D82)&gt;0,IFERROR(INDEX(RSK_SUP,MATCH(D82,RSK_ID,0)),"")&lt;&gt;B82),"CHECK: Risk belongs to a different supplier",IF(AND(E82&lt;&gt;"",COUNTIF(FND_ID,E82)=0),"CHECK: Finding ID not found",IF(AND(N82="Verified",K82&lt;&gt;"Delivered (self-reported)"),"CHECK: verified but not marked delivered","OK"))))))))</f>
        <v/>
      </c>
      <c r="X82" s="52" t="str">
        <f aca="false">IF(OR(A82="",B82=""),"",IF(AND(T82="Open",B82=RptSup),B82&amp;"|"&amp;COUNTIFS($B$7:B82,B82,$T$7:T82,"Open"),""))</f>
        <v/>
      </c>
    </row>
    <row r="83" customFormat="false" ht="15" hidden="false" customHeight="false" outlineLevel="0" collapsed="false">
      <c r="A83" s="50"/>
      <c r="B83" s="50"/>
      <c r="C83" s="59" t="str">
        <f aca="false">IF(B83="","",IFERROR(INDEX(INV_NAME,MATCH(B83,INV_ID,0)),"CHECK: Supplier ID not found"))</f>
        <v/>
      </c>
      <c r="D83" s="50"/>
      <c r="E83" s="50"/>
      <c r="F83" s="50"/>
      <c r="G83" s="34"/>
      <c r="H83" s="34"/>
      <c r="I83" s="34"/>
      <c r="J83" s="51"/>
      <c r="K83" s="34"/>
      <c r="L83" s="34"/>
      <c r="M83" s="34"/>
      <c r="N83" s="34"/>
      <c r="O83" s="51"/>
      <c r="P83" s="50"/>
      <c r="Q83" s="34"/>
      <c r="R83" s="34"/>
      <c r="S83" s="54" t="str">
        <f aca="false">IF(A83="","",IF(K83="Cancelled","Cancelled",IF(K83="Delivered (self-reported)",IF(N83="Verified","Closed - verified","Delivered - verification pending"),IF(K83="","Not started",K83))))</f>
        <v/>
      </c>
      <c r="T83" s="52" t="str">
        <f aca="false">IF(A83="","",IF(OR(S83="Cancelled",S83="Closed - verified"),"Closed","Open"))</f>
        <v/>
      </c>
      <c r="U83" s="61" t="str">
        <f aca="false">IF(A83="","",IF(AND(T83="Open",ISNUMBER(J83),J83&lt;AsOf),"Overdue",""))</f>
        <v/>
      </c>
      <c r="V83" s="54" t="str">
        <f aca="false">IF(A83="","",IF(F83="Accept",IF(Q83="","CHECK: decision record required - not recorded",IF(COUNTIF(DEC_ID,Q83)=0,"CHECK: Decision ID not found","Decision referenced")),""))</f>
        <v/>
      </c>
      <c r="W83" s="54" t="str">
        <f aca="false">IF(A83="","",IF(COUNTIF(TRT_ID,A83)&gt;1,"CHECK: duplicate ID",IF(B83="","CHECK: Supplier ID missing",IF(COUNTIF(INV_ID,B83)=0,"CHECK: Supplier ID not in inventory",IF(AND(D83&lt;&gt;"",COUNTIF(RSK_ID,D83)=0),"CHECK: Risk ID not found",IF(AND(D83&lt;&gt;"",COUNTIF(RSK_ID,D83)&gt;0,IFERROR(INDEX(RSK_SUP,MATCH(D83,RSK_ID,0)),"")&lt;&gt;B83),"CHECK: Risk belongs to a different supplier",IF(AND(E83&lt;&gt;"",COUNTIF(FND_ID,E83)=0),"CHECK: Finding ID not found",IF(AND(N83="Verified",K83&lt;&gt;"Delivered (self-reported)"),"CHECK: verified but not marked delivered","OK"))))))))</f>
        <v/>
      </c>
      <c r="X83" s="52" t="str">
        <f aca="false">IF(OR(A83="",B83=""),"",IF(AND(T83="Open",B83=RptSup),B83&amp;"|"&amp;COUNTIFS($B$7:B83,B83,$T$7:T83,"Open"),""))</f>
        <v/>
      </c>
    </row>
    <row r="84" customFormat="false" ht="15" hidden="false" customHeight="false" outlineLevel="0" collapsed="false">
      <c r="A84" s="50"/>
      <c r="B84" s="50"/>
      <c r="C84" s="59" t="str">
        <f aca="false">IF(B84="","",IFERROR(INDEX(INV_NAME,MATCH(B84,INV_ID,0)),"CHECK: Supplier ID not found"))</f>
        <v/>
      </c>
      <c r="D84" s="50"/>
      <c r="E84" s="50"/>
      <c r="F84" s="50"/>
      <c r="G84" s="34"/>
      <c r="H84" s="34"/>
      <c r="I84" s="34"/>
      <c r="J84" s="51"/>
      <c r="K84" s="34"/>
      <c r="L84" s="34"/>
      <c r="M84" s="34"/>
      <c r="N84" s="34"/>
      <c r="O84" s="51"/>
      <c r="P84" s="50"/>
      <c r="Q84" s="34"/>
      <c r="R84" s="34"/>
      <c r="S84" s="54" t="str">
        <f aca="false">IF(A84="","",IF(K84="Cancelled","Cancelled",IF(K84="Delivered (self-reported)",IF(N84="Verified","Closed - verified","Delivered - verification pending"),IF(K84="","Not started",K84))))</f>
        <v/>
      </c>
      <c r="T84" s="52" t="str">
        <f aca="false">IF(A84="","",IF(OR(S84="Cancelled",S84="Closed - verified"),"Closed","Open"))</f>
        <v/>
      </c>
      <c r="U84" s="61" t="str">
        <f aca="false">IF(A84="","",IF(AND(T84="Open",ISNUMBER(J84),J84&lt;AsOf),"Overdue",""))</f>
        <v/>
      </c>
      <c r="V84" s="54" t="str">
        <f aca="false">IF(A84="","",IF(F84="Accept",IF(Q84="","CHECK: decision record required - not recorded",IF(COUNTIF(DEC_ID,Q84)=0,"CHECK: Decision ID not found","Decision referenced")),""))</f>
        <v/>
      </c>
      <c r="W84" s="54" t="str">
        <f aca="false">IF(A84="","",IF(COUNTIF(TRT_ID,A84)&gt;1,"CHECK: duplicate ID",IF(B84="","CHECK: Supplier ID missing",IF(COUNTIF(INV_ID,B84)=0,"CHECK: Supplier ID not in inventory",IF(AND(D84&lt;&gt;"",COUNTIF(RSK_ID,D84)=0),"CHECK: Risk ID not found",IF(AND(D84&lt;&gt;"",COUNTIF(RSK_ID,D84)&gt;0,IFERROR(INDEX(RSK_SUP,MATCH(D84,RSK_ID,0)),"")&lt;&gt;B84),"CHECK: Risk belongs to a different supplier",IF(AND(E84&lt;&gt;"",COUNTIF(FND_ID,E84)=0),"CHECK: Finding ID not found",IF(AND(N84="Verified",K84&lt;&gt;"Delivered (self-reported)"),"CHECK: verified but not marked delivered","OK"))))))))</f>
        <v/>
      </c>
      <c r="X84" s="52" t="str">
        <f aca="false">IF(OR(A84="",B84=""),"",IF(AND(T84="Open",B84=RptSup),B84&amp;"|"&amp;COUNTIFS($B$7:B84,B84,$T$7:T84,"Open"),""))</f>
        <v/>
      </c>
    </row>
    <row r="85" customFormat="false" ht="15" hidden="false" customHeight="false" outlineLevel="0" collapsed="false">
      <c r="A85" s="50"/>
      <c r="B85" s="50"/>
      <c r="C85" s="59" t="str">
        <f aca="false">IF(B85="","",IFERROR(INDEX(INV_NAME,MATCH(B85,INV_ID,0)),"CHECK: Supplier ID not found"))</f>
        <v/>
      </c>
      <c r="D85" s="50"/>
      <c r="E85" s="50"/>
      <c r="F85" s="50"/>
      <c r="G85" s="34"/>
      <c r="H85" s="34"/>
      <c r="I85" s="34"/>
      <c r="J85" s="51"/>
      <c r="K85" s="34"/>
      <c r="L85" s="34"/>
      <c r="M85" s="34"/>
      <c r="N85" s="34"/>
      <c r="O85" s="51"/>
      <c r="P85" s="50"/>
      <c r="Q85" s="34"/>
      <c r="R85" s="34"/>
      <c r="S85" s="54" t="str">
        <f aca="false">IF(A85="","",IF(K85="Cancelled","Cancelled",IF(K85="Delivered (self-reported)",IF(N85="Verified","Closed - verified","Delivered - verification pending"),IF(K85="","Not started",K85))))</f>
        <v/>
      </c>
      <c r="T85" s="52" t="str">
        <f aca="false">IF(A85="","",IF(OR(S85="Cancelled",S85="Closed - verified"),"Closed","Open"))</f>
        <v/>
      </c>
      <c r="U85" s="61" t="str">
        <f aca="false">IF(A85="","",IF(AND(T85="Open",ISNUMBER(J85),J85&lt;AsOf),"Overdue",""))</f>
        <v/>
      </c>
      <c r="V85" s="54" t="str">
        <f aca="false">IF(A85="","",IF(F85="Accept",IF(Q85="","CHECK: decision record required - not recorded",IF(COUNTIF(DEC_ID,Q85)=0,"CHECK: Decision ID not found","Decision referenced")),""))</f>
        <v/>
      </c>
      <c r="W85" s="54" t="str">
        <f aca="false">IF(A85="","",IF(COUNTIF(TRT_ID,A85)&gt;1,"CHECK: duplicate ID",IF(B85="","CHECK: Supplier ID missing",IF(COUNTIF(INV_ID,B85)=0,"CHECK: Supplier ID not in inventory",IF(AND(D85&lt;&gt;"",COUNTIF(RSK_ID,D85)=0),"CHECK: Risk ID not found",IF(AND(D85&lt;&gt;"",COUNTIF(RSK_ID,D85)&gt;0,IFERROR(INDEX(RSK_SUP,MATCH(D85,RSK_ID,0)),"")&lt;&gt;B85),"CHECK: Risk belongs to a different supplier",IF(AND(E85&lt;&gt;"",COUNTIF(FND_ID,E85)=0),"CHECK: Finding ID not found",IF(AND(N85="Verified",K85&lt;&gt;"Delivered (self-reported)"),"CHECK: verified but not marked delivered","OK"))))))))</f>
        <v/>
      </c>
      <c r="X85" s="52" t="str">
        <f aca="false">IF(OR(A85="",B85=""),"",IF(AND(T85="Open",B85=RptSup),B85&amp;"|"&amp;COUNTIFS($B$7:B85,B85,$T$7:T85,"Open"),""))</f>
        <v/>
      </c>
    </row>
    <row r="86" customFormat="false" ht="15" hidden="false" customHeight="false" outlineLevel="0" collapsed="false">
      <c r="A86" s="50"/>
      <c r="B86" s="50"/>
      <c r="C86" s="59" t="str">
        <f aca="false">IF(B86="","",IFERROR(INDEX(INV_NAME,MATCH(B86,INV_ID,0)),"CHECK: Supplier ID not found"))</f>
        <v/>
      </c>
      <c r="D86" s="50"/>
      <c r="E86" s="50"/>
      <c r="F86" s="50"/>
      <c r="G86" s="34"/>
      <c r="H86" s="34"/>
      <c r="I86" s="34"/>
      <c r="J86" s="51"/>
      <c r="K86" s="34"/>
      <c r="L86" s="34"/>
      <c r="M86" s="34"/>
      <c r="N86" s="34"/>
      <c r="O86" s="51"/>
      <c r="P86" s="50"/>
      <c r="Q86" s="34"/>
      <c r="R86" s="34"/>
      <c r="S86" s="54" t="str">
        <f aca="false">IF(A86="","",IF(K86="Cancelled","Cancelled",IF(K86="Delivered (self-reported)",IF(N86="Verified","Closed - verified","Delivered - verification pending"),IF(K86="","Not started",K86))))</f>
        <v/>
      </c>
      <c r="T86" s="52" t="str">
        <f aca="false">IF(A86="","",IF(OR(S86="Cancelled",S86="Closed - verified"),"Closed","Open"))</f>
        <v/>
      </c>
      <c r="U86" s="61" t="str">
        <f aca="false">IF(A86="","",IF(AND(T86="Open",ISNUMBER(J86),J86&lt;AsOf),"Overdue",""))</f>
        <v/>
      </c>
      <c r="V86" s="54" t="str">
        <f aca="false">IF(A86="","",IF(F86="Accept",IF(Q86="","CHECK: decision record required - not recorded",IF(COUNTIF(DEC_ID,Q86)=0,"CHECK: Decision ID not found","Decision referenced")),""))</f>
        <v/>
      </c>
      <c r="W86" s="54" t="str">
        <f aca="false">IF(A86="","",IF(COUNTIF(TRT_ID,A86)&gt;1,"CHECK: duplicate ID",IF(B86="","CHECK: Supplier ID missing",IF(COUNTIF(INV_ID,B86)=0,"CHECK: Supplier ID not in inventory",IF(AND(D86&lt;&gt;"",COUNTIF(RSK_ID,D86)=0),"CHECK: Risk ID not found",IF(AND(D86&lt;&gt;"",COUNTIF(RSK_ID,D86)&gt;0,IFERROR(INDEX(RSK_SUP,MATCH(D86,RSK_ID,0)),"")&lt;&gt;B86),"CHECK: Risk belongs to a different supplier",IF(AND(E86&lt;&gt;"",COUNTIF(FND_ID,E86)=0),"CHECK: Finding ID not found",IF(AND(N86="Verified",K86&lt;&gt;"Delivered (self-reported)"),"CHECK: verified but not marked delivered","OK"))))))))</f>
        <v/>
      </c>
      <c r="X86" s="52" t="str">
        <f aca="false">IF(OR(A86="",B86=""),"",IF(AND(T86="Open",B86=RptSup),B86&amp;"|"&amp;COUNTIFS($B$7:B86,B86,$T$7:T86,"Open"),""))</f>
        <v/>
      </c>
    </row>
    <row r="87" customFormat="false" ht="15" hidden="false" customHeight="false" outlineLevel="0" collapsed="false">
      <c r="A87" s="50"/>
      <c r="B87" s="50"/>
      <c r="C87" s="59" t="str">
        <f aca="false">IF(B87="","",IFERROR(INDEX(INV_NAME,MATCH(B87,INV_ID,0)),"CHECK: Supplier ID not found"))</f>
        <v/>
      </c>
      <c r="D87" s="50"/>
      <c r="E87" s="50"/>
      <c r="F87" s="50"/>
      <c r="G87" s="34"/>
      <c r="H87" s="34"/>
      <c r="I87" s="34"/>
      <c r="J87" s="51"/>
      <c r="K87" s="34"/>
      <c r="L87" s="34"/>
      <c r="M87" s="34"/>
      <c r="N87" s="34"/>
      <c r="O87" s="51"/>
      <c r="P87" s="50"/>
      <c r="Q87" s="34"/>
      <c r="R87" s="34"/>
      <c r="S87" s="54" t="str">
        <f aca="false">IF(A87="","",IF(K87="Cancelled","Cancelled",IF(K87="Delivered (self-reported)",IF(N87="Verified","Closed - verified","Delivered - verification pending"),IF(K87="","Not started",K87))))</f>
        <v/>
      </c>
      <c r="T87" s="52" t="str">
        <f aca="false">IF(A87="","",IF(OR(S87="Cancelled",S87="Closed - verified"),"Closed","Open"))</f>
        <v/>
      </c>
      <c r="U87" s="61" t="str">
        <f aca="false">IF(A87="","",IF(AND(T87="Open",ISNUMBER(J87),J87&lt;AsOf),"Overdue",""))</f>
        <v/>
      </c>
      <c r="V87" s="54" t="str">
        <f aca="false">IF(A87="","",IF(F87="Accept",IF(Q87="","CHECK: decision record required - not recorded",IF(COUNTIF(DEC_ID,Q87)=0,"CHECK: Decision ID not found","Decision referenced")),""))</f>
        <v/>
      </c>
      <c r="W87" s="54" t="str">
        <f aca="false">IF(A87="","",IF(COUNTIF(TRT_ID,A87)&gt;1,"CHECK: duplicate ID",IF(B87="","CHECK: Supplier ID missing",IF(COUNTIF(INV_ID,B87)=0,"CHECK: Supplier ID not in inventory",IF(AND(D87&lt;&gt;"",COUNTIF(RSK_ID,D87)=0),"CHECK: Risk ID not found",IF(AND(D87&lt;&gt;"",COUNTIF(RSK_ID,D87)&gt;0,IFERROR(INDEX(RSK_SUP,MATCH(D87,RSK_ID,0)),"")&lt;&gt;B87),"CHECK: Risk belongs to a different supplier",IF(AND(E87&lt;&gt;"",COUNTIF(FND_ID,E87)=0),"CHECK: Finding ID not found",IF(AND(N87="Verified",K87&lt;&gt;"Delivered (self-reported)"),"CHECK: verified but not marked delivered","OK"))))))))</f>
        <v/>
      </c>
      <c r="X87" s="52" t="str">
        <f aca="false">IF(OR(A87="",B87=""),"",IF(AND(T87="Open",B87=RptSup),B87&amp;"|"&amp;COUNTIFS($B$7:B87,B87,$T$7:T87,"Open"),""))</f>
        <v/>
      </c>
    </row>
    <row r="88" customFormat="false" ht="15" hidden="false" customHeight="false" outlineLevel="0" collapsed="false">
      <c r="A88" s="50"/>
      <c r="B88" s="50"/>
      <c r="C88" s="59" t="str">
        <f aca="false">IF(B88="","",IFERROR(INDEX(INV_NAME,MATCH(B88,INV_ID,0)),"CHECK: Supplier ID not found"))</f>
        <v/>
      </c>
      <c r="D88" s="50"/>
      <c r="E88" s="50"/>
      <c r="F88" s="50"/>
      <c r="G88" s="34"/>
      <c r="H88" s="34"/>
      <c r="I88" s="34"/>
      <c r="J88" s="51"/>
      <c r="K88" s="34"/>
      <c r="L88" s="34"/>
      <c r="M88" s="34"/>
      <c r="N88" s="34"/>
      <c r="O88" s="51"/>
      <c r="P88" s="50"/>
      <c r="Q88" s="34"/>
      <c r="R88" s="34"/>
      <c r="S88" s="54" t="str">
        <f aca="false">IF(A88="","",IF(K88="Cancelled","Cancelled",IF(K88="Delivered (self-reported)",IF(N88="Verified","Closed - verified","Delivered - verification pending"),IF(K88="","Not started",K88))))</f>
        <v/>
      </c>
      <c r="T88" s="52" t="str">
        <f aca="false">IF(A88="","",IF(OR(S88="Cancelled",S88="Closed - verified"),"Closed","Open"))</f>
        <v/>
      </c>
      <c r="U88" s="61" t="str">
        <f aca="false">IF(A88="","",IF(AND(T88="Open",ISNUMBER(J88),J88&lt;AsOf),"Overdue",""))</f>
        <v/>
      </c>
      <c r="V88" s="54" t="str">
        <f aca="false">IF(A88="","",IF(F88="Accept",IF(Q88="","CHECK: decision record required - not recorded",IF(COUNTIF(DEC_ID,Q88)=0,"CHECK: Decision ID not found","Decision referenced")),""))</f>
        <v/>
      </c>
      <c r="W88" s="54" t="str">
        <f aca="false">IF(A88="","",IF(COUNTIF(TRT_ID,A88)&gt;1,"CHECK: duplicate ID",IF(B88="","CHECK: Supplier ID missing",IF(COUNTIF(INV_ID,B88)=0,"CHECK: Supplier ID not in inventory",IF(AND(D88&lt;&gt;"",COUNTIF(RSK_ID,D88)=0),"CHECK: Risk ID not found",IF(AND(D88&lt;&gt;"",COUNTIF(RSK_ID,D88)&gt;0,IFERROR(INDEX(RSK_SUP,MATCH(D88,RSK_ID,0)),"")&lt;&gt;B88),"CHECK: Risk belongs to a different supplier",IF(AND(E88&lt;&gt;"",COUNTIF(FND_ID,E88)=0),"CHECK: Finding ID not found",IF(AND(N88="Verified",K88&lt;&gt;"Delivered (self-reported)"),"CHECK: verified but not marked delivered","OK"))))))))</f>
        <v/>
      </c>
      <c r="X88" s="52" t="str">
        <f aca="false">IF(OR(A88="",B88=""),"",IF(AND(T88="Open",B88=RptSup),B88&amp;"|"&amp;COUNTIFS($B$7:B88,B88,$T$7:T88,"Open"),""))</f>
        <v/>
      </c>
    </row>
    <row r="89" customFormat="false" ht="15" hidden="false" customHeight="false" outlineLevel="0" collapsed="false">
      <c r="A89" s="50"/>
      <c r="B89" s="50"/>
      <c r="C89" s="59" t="str">
        <f aca="false">IF(B89="","",IFERROR(INDEX(INV_NAME,MATCH(B89,INV_ID,0)),"CHECK: Supplier ID not found"))</f>
        <v/>
      </c>
      <c r="D89" s="50"/>
      <c r="E89" s="50"/>
      <c r="F89" s="50"/>
      <c r="G89" s="34"/>
      <c r="H89" s="34"/>
      <c r="I89" s="34"/>
      <c r="J89" s="51"/>
      <c r="K89" s="34"/>
      <c r="L89" s="34"/>
      <c r="M89" s="34"/>
      <c r="N89" s="34"/>
      <c r="O89" s="51"/>
      <c r="P89" s="50"/>
      <c r="Q89" s="34"/>
      <c r="R89" s="34"/>
      <c r="S89" s="54" t="str">
        <f aca="false">IF(A89="","",IF(K89="Cancelled","Cancelled",IF(K89="Delivered (self-reported)",IF(N89="Verified","Closed - verified","Delivered - verification pending"),IF(K89="","Not started",K89))))</f>
        <v/>
      </c>
      <c r="T89" s="52" t="str">
        <f aca="false">IF(A89="","",IF(OR(S89="Cancelled",S89="Closed - verified"),"Closed","Open"))</f>
        <v/>
      </c>
      <c r="U89" s="61" t="str">
        <f aca="false">IF(A89="","",IF(AND(T89="Open",ISNUMBER(J89),J89&lt;AsOf),"Overdue",""))</f>
        <v/>
      </c>
      <c r="V89" s="54" t="str">
        <f aca="false">IF(A89="","",IF(F89="Accept",IF(Q89="","CHECK: decision record required - not recorded",IF(COUNTIF(DEC_ID,Q89)=0,"CHECK: Decision ID not found","Decision referenced")),""))</f>
        <v/>
      </c>
      <c r="W89" s="54" t="str">
        <f aca="false">IF(A89="","",IF(COUNTIF(TRT_ID,A89)&gt;1,"CHECK: duplicate ID",IF(B89="","CHECK: Supplier ID missing",IF(COUNTIF(INV_ID,B89)=0,"CHECK: Supplier ID not in inventory",IF(AND(D89&lt;&gt;"",COUNTIF(RSK_ID,D89)=0),"CHECK: Risk ID not found",IF(AND(D89&lt;&gt;"",COUNTIF(RSK_ID,D89)&gt;0,IFERROR(INDEX(RSK_SUP,MATCH(D89,RSK_ID,0)),"")&lt;&gt;B89),"CHECK: Risk belongs to a different supplier",IF(AND(E89&lt;&gt;"",COUNTIF(FND_ID,E89)=0),"CHECK: Finding ID not found",IF(AND(N89="Verified",K89&lt;&gt;"Delivered (self-reported)"),"CHECK: verified but not marked delivered","OK"))))))))</f>
        <v/>
      </c>
      <c r="X89" s="52" t="str">
        <f aca="false">IF(OR(A89="",B89=""),"",IF(AND(T89="Open",B89=RptSup),B89&amp;"|"&amp;COUNTIFS($B$7:B89,B89,$T$7:T89,"Open"),""))</f>
        <v/>
      </c>
    </row>
    <row r="90" customFormat="false" ht="15" hidden="false" customHeight="false" outlineLevel="0" collapsed="false">
      <c r="A90" s="50"/>
      <c r="B90" s="50"/>
      <c r="C90" s="59" t="str">
        <f aca="false">IF(B90="","",IFERROR(INDEX(INV_NAME,MATCH(B90,INV_ID,0)),"CHECK: Supplier ID not found"))</f>
        <v/>
      </c>
      <c r="D90" s="50"/>
      <c r="E90" s="50"/>
      <c r="F90" s="50"/>
      <c r="G90" s="34"/>
      <c r="H90" s="34"/>
      <c r="I90" s="34"/>
      <c r="J90" s="51"/>
      <c r="K90" s="34"/>
      <c r="L90" s="34"/>
      <c r="M90" s="34"/>
      <c r="N90" s="34"/>
      <c r="O90" s="51"/>
      <c r="P90" s="50"/>
      <c r="Q90" s="34"/>
      <c r="R90" s="34"/>
      <c r="S90" s="54" t="str">
        <f aca="false">IF(A90="","",IF(K90="Cancelled","Cancelled",IF(K90="Delivered (self-reported)",IF(N90="Verified","Closed - verified","Delivered - verification pending"),IF(K90="","Not started",K90))))</f>
        <v/>
      </c>
      <c r="T90" s="52" t="str">
        <f aca="false">IF(A90="","",IF(OR(S90="Cancelled",S90="Closed - verified"),"Closed","Open"))</f>
        <v/>
      </c>
      <c r="U90" s="61" t="str">
        <f aca="false">IF(A90="","",IF(AND(T90="Open",ISNUMBER(J90),J90&lt;AsOf),"Overdue",""))</f>
        <v/>
      </c>
      <c r="V90" s="54" t="str">
        <f aca="false">IF(A90="","",IF(F90="Accept",IF(Q90="","CHECK: decision record required - not recorded",IF(COUNTIF(DEC_ID,Q90)=0,"CHECK: Decision ID not found","Decision referenced")),""))</f>
        <v/>
      </c>
      <c r="W90" s="54" t="str">
        <f aca="false">IF(A90="","",IF(COUNTIF(TRT_ID,A90)&gt;1,"CHECK: duplicate ID",IF(B90="","CHECK: Supplier ID missing",IF(COUNTIF(INV_ID,B90)=0,"CHECK: Supplier ID not in inventory",IF(AND(D90&lt;&gt;"",COUNTIF(RSK_ID,D90)=0),"CHECK: Risk ID not found",IF(AND(D90&lt;&gt;"",COUNTIF(RSK_ID,D90)&gt;0,IFERROR(INDEX(RSK_SUP,MATCH(D90,RSK_ID,0)),"")&lt;&gt;B90),"CHECK: Risk belongs to a different supplier",IF(AND(E90&lt;&gt;"",COUNTIF(FND_ID,E90)=0),"CHECK: Finding ID not found",IF(AND(N90="Verified",K90&lt;&gt;"Delivered (self-reported)"),"CHECK: verified but not marked delivered","OK"))))))))</f>
        <v/>
      </c>
      <c r="X90" s="52" t="str">
        <f aca="false">IF(OR(A90="",B90=""),"",IF(AND(T90="Open",B90=RptSup),B90&amp;"|"&amp;COUNTIFS($B$7:B90,B90,$T$7:T90,"Open"),""))</f>
        <v/>
      </c>
    </row>
    <row r="91" customFormat="false" ht="15" hidden="false" customHeight="false" outlineLevel="0" collapsed="false">
      <c r="A91" s="50"/>
      <c r="B91" s="50"/>
      <c r="C91" s="59" t="str">
        <f aca="false">IF(B91="","",IFERROR(INDEX(INV_NAME,MATCH(B91,INV_ID,0)),"CHECK: Supplier ID not found"))</f>
        <v/>
      </c>
      <c r="D91" s="50"/>
      <c r="E91" s="50"/>
      <c r="F91" s="50"/>
      <c r="G91" s="34"/>
      <c r="H91" s="34"/>
      <c r="I91" s="34"/>
      <c r="J91" s="51"/>
      <c r="K91" s="34"/>
      <c r="L91" s="34"/>
      <c r="M91" s="34"/>
      <c r="N91" s="34"/>
      <c r="O91" s="51"/>
      <c r="P91" s="50"/>
      <c r="Q91" s="34"/>
      <c r="R91" s="34"/>
      <c r="S91" s="54" t="str">
        <f aca="false">IF(A91="","",IF(K91="Cancelled","Cancelled",IF(K91="Delivered (self-reported)",IF(N91="Verified","Closed - verified","Delivered - verification pending"),IF(K91="","Not started",K91))))</f>
        <v/>
      </c>
      <c r="T91" s="52" t="str">
        <f aca="false">IF(A91="","",IF(OR(S91="Cancelled",S91="Closed - verified"),"Closed","Open"))</f>
        <v/>
      </c>
      <c r="U91" s="61" t="str">
        <f aca="false">IF(A91="","",IF(AND(T91="Open",ISNUMBER(J91),J91&lt;AsOf),"Overdue",""))</f>
        <v/>
      </c>
      <c r="V91" s="54" t="str">
        <f aca="false">IF(A91="","",IF(F91="Accept",IF(Q91="","CHECK: decision record required - not recorded",IF(COUNTIF(DEC_ID,Q91)=0,"CHECK: Decision ID not found","Decision referenced")),""))</f>
        <v/>
      </c>
      <c r="W91" s="54" t="str">
        <f aca="false">IF(A91="","",IF(COUNTIF(TRT_ID,A91)&gt;1,"CHECK: duplicate ID",IF(B91="","CHECK: Supplier ID missing",IF(COUNTIF(INV_ID,B91)=0,"CHECK: Supplier ID not in inventory",IF(AND(D91&lt;&gt;"",COUNTIF(RSK_ID,D91)=0),"CHECK: Risk ID not found",IF(AND(D91&lt;&gt;"",COUNTIF(RSK_ID,D91)&gt;0,IFERROR(INDEX(RSK_SUP,MATCH(D91,RSK_ID,0)),"")&lt;&gt;B91),"CHECK: Risk belongs to a different supplier",IF(AND(E91&lt;&gt;"",COUNTIF(FND_ID,E91)=0),"CHECK: Finding ID not found",IF(AND(N91="Verified",K91&lt;&gt;"Delivered (self-reported)"),"CHECK: verified but not marked delivered","OK"))))))))</f>
        <v/>
      </c>
      <c r="X91" s="52" t="str">
        <f aca="false">IF(OR(A91="",B91=""),"",IF(AND(T91="Open",B91=RptSup),B91&amp;"|"&amp;COUNTIFS($B$7:B91,B91,$T$7:T91,"Open"),""))</f>
        <v/>
      </c>
    </row>
    <row r="92" customFormat="false" ht="15" hidden="false" customHeight="false" outlineLevel="0" collapsed="false">
      <c r="A92" s="50"/>
      <c r="B92" s="50"/>
      <c r="C92" s="59" t="str">
        <f aca="false">IF(B92="","",IFERROR(INDEX(INV_NAME,MATCH(B92,INV_ID,0)),"CHECK: Supplier ID not found"))</f>
        <v/>
      </c>
      <c r="D92" s="50"/>
      <c r="E92" s="50"/>
      <c r="F92" s="50"/>
      <c r="G92" s="34"/>
      <c r="H92" s="34"/>
      <c r="I92" s="34"/>
      <c r="J92" s="51"/>
      <c r="K92" s="34"/>
      <c r="L92" s="34"/>
      <c r="M92" s="34"/>
      <c r="N92" s="34"/>
      <c r="O92" s="51"/>
      <c r="P92" s="50"/>
      <c r="Q92" s="34"/>
      <c r="R92" s="34"/>
      <c r="S92" s="54" t="str">
        <f aca="false">IF(A92="","",IF(K92="Cancelled","Cancelled",IF(K92="Delivered (self-reported)",IF(N92="Verified","Closed - verified","Delivered - verification pending"),IF(K92="","Not started",K92))))</f>
        <v/>
      </c>
      <c r="T92" s="52" t="str">
        <f aca="false">IF(A92="","",IF(OR(S92="Cancelled",S92="Closed - verified"),"Closed","Open"))</f>
        <v/>
      </c>
      <c r="U92" s="61" t="str">
        <f aca="false">IF(A92="","",IF(AND(T92="Open",ISNUMBER(J92),J92&lt;AsOf),"Overdue",""))</f>
        <v/>
      </c>
      <c r="V92" s="54" t="str">
        <f aca="false">IF(A92="","",IF(F92="Accept",IF(Q92="","CHECK: decision record required - not recorded",IF(COUNTIF(DEC_ID,Q92)=0,"CHECK: Decision ID not found","Decision referenced")),""))</f>
        <v/>
      </c>
      <c r="W92" s="54" t="str">
        <f aca="false">IF(A92="","",IF(COUNTIF(TRT_ID,A92)&gt;1,"CHECK: duplicate ID",IF(B92="","CHECK: Supplier ID missing",IF(COUNTIF(INV_ID,B92)=0,"CHECK: Supplier ID not in inventory",IF(AND(D92&lt;&gt;"",COUNTIF(RSK_ID,D92)=0),"CHECK: Risk ID not found",IF(AND(D92&lt;&gt;"",COUNTIF(RSK_ID,D92)&gt;0,IFERROR(INDEX(RSK_SUP,MATCH(D92,RSK_ID,0)),"")&lt;&gt;B92),"CHECK: Risk belongs to a different supplier",IF(AND(E92&lt;&gt;"",COUNTIF(FND_ID,E92)=0),"CHECK: Finding ID not found",IF(AND(N92="Verified",K92&lt;&gt;"Delivered (self-reported)"),"CHECK: verified but not marked delivered","OK"))))))))</f>
        <v/>
      </c>
      <c r="X92" s="52" t="str">
        <f aca="false">IF(OR(A92="",B92=""),"",IF(AND(T92="Open",B92=RptSup),B92&amp;"|"&amp;COUNTIFS($B$7:B92,B92,$T$7:T92,"Open"),""))</f>
        <v/>
      </c>
    </row>
    <row r="93" customFormat="false" ht="15" hidden="false" customHeight="false" outlineLevel="0" collapsed="false">
      <c r="A93" s="50"/>
      <c r="B93" s="50"/>
      <c r="C93" s="59" t="str">
        <f aca="false">IF(B93="","",IFERROR(INDEX(INV_NAME,MATCH(B93,INV_ID,0)),"CHECK: Supplier ID not found"))</f>
        <v/>
      </c>
      <c r="D93" s="50"/>
      <c r="E93" s="50"/>
      <c r="F93" s="50"/>
      <c r="G93" s="34"/>
      <c r="H93" s="34"/>
      <c r="I93" s="34"/>
      <c r="J93" s="51"/>
      <c r="K93" s="34"/>
      <c r="L93" s="34"/>
      <c r="M93" s="34"/>
      <c r="N93" s="34"/>
      <c r="O93" s="51"/>
      <c r="P93" s="50"/>
      <c r="Q93" s="34"/>
      <c r="R93" s="34"/>
      <c r="S93" s="54" t="str">
        <f aca="false">IF(A93="","",IF(K93="Cancelled","Cancelled",IF(K93="Delivered (self-reported)",IF(N93="Verified","Closed - verified","Delivered - verification pending"),IF(K93="","Not started",K93))))</f>
        <v/>
      </c>
      <c r="T93" s="52" t="str">
        <f aca="false">IF(A93="","",IF(OR(S93="Cancelled",S93="Closed - verified"),"Closed","Open"))</f>
        <v/>
      </c>
      <c r="U93" s="61" t="str">
        <f aca="false">IF(A93="","",IF(AND(T93="Open",ISNUMBER(J93),J93&lt;AsOf),"Overdue",""))</f>
        <v/>
      </c>
      <c r="V93" s="54" t="str">
        <f aca="false">IF(A93="","",IF(F93="Accept",IF(Q93="","CHECK: decision record required - not recorded",IF(COUNTIF(DEC_ID,Q93)=0,"CHECK: Decision ID not found","Decision referenced")),""))</f>
        <v/>
      </c>
      <c r="W93" s="54" t="str">
        <f aca="false">IF(A93="","",IF(COUNTIF(TRT_ID,A93)&gt;1,"CHECK: duplicate ID",IF(B93="","CHECK: Supplier ID missing",IF(COUNTIF(INV_ID,B93)=0,"CHECK: Supplier ID not in inventory",IF(AND(D93&lt;&gt;"",COUNTIF(RSK_ID,D93)=0),"CHECK: Risk ID not found",IF(AND(D93&lt;&gt;"",COUNTIF(RSK_ID,D93)&gt;0,IFERROR(INDEX(RSK_SUP,MATCH(D93,RSK_ID,0)),"")&lt;&gt;B93),"CHECK: Risk belongs to a different supplier",IF(AND(E93&lt;&gt;"",COUNTIF(FND_ID,E93)=0),"CHECK: Finding ID not found",IF(AND(N93="Verified",K93&lt;&gt;"Delivered (self-reported)"),"CHECK: verified but not marked delivered","OK"))))))))</f>
        <v/>
      </c>
      <c r="X93" s="52" t="str">
        <f aca="false">IF(OR(A93="",B93=""),"",IF(AND(T93="Open",B93=RptSup),B93&amp;"|"&amp;COUNTIFS($B$7:B93,B93,$T$7:T93,"Open"),""))</f>
        <v/>
      </c>
    </row>
    <row r="94" customFormat="false" ht="15" hidden="false" customHeight="false" outlineLevel="0" collapsed="false">
      <c r="A94" s="50"/>
      <c r="B94" s="50"/>
      <c r="C94" s="59" t="str">
        <f aca="false">IF(B94="","",IFERROR(INDEX(INV_NAME,MATCH(B94,INV_ID,0)),"CHECK: Supplier ID not found"))</f>
        <v/>
      </c>
      <c r="D94" s="50"/>
      <c r="E94" s="50"/>
      <c r="F94" s="50"/>
      <c r="G94" s="34"/>
      <c r="H94" s="34"/>
      <c r="I94" s="34"/>
      <c r="J94" s="51"/>
      <c r="K94" s="34"/>
      <c r="L94" s="34"/>
      <c r="M94" s="34"/>
      <c r="N94" s="34"/>
      <c r="O94" s="51"/>
      <c r="P94" s="50"/>
      <c r="Q94" s="34"/>
      <c r="R94" s="34"/>
      <c r="S94" s="54" t="str">
        <f aca="false">IF(A94="","",IF(K94="Cancelled","Cancelled",IF(K94="Delivered (self-reported)",IF(N94="Verified","Closed - verified","Delivered - verification pending"),IF(K94="","Not started",K94))))</f>
        <v/>
      </c>
      <c r="T94" s="52" t="str">
        <f aca="false">IF(A94="","",IF(OR(S94="Cancelled",S94="Closed - verified"),"Closed","Open"))</f>
        <v/>
      </c>
      <c r="U94" s="61" t="str">
        <f aca="false">IF(A94="","",IF(AND(T94="Open",ISNUMBER(J94),J94&lt;AsOf),"Overdue",""))</f>
        <v/>
      </c>
      <c r="V94" s="54" t="str">
        <f aca="false">IF(A94="","",IF(F94="Accept",IF(Q94="","CHECK: decision record required - not recorded",IF(COUNTIF(DEC_ID,Q94)=0,"CHECK: Decision ID not found","Decision referenced")),""))</f>
        <v/>
      </c>
      <c r="W94" s="54" t="str">
        <f aca="false">IF(A94="","",IF(COUNTIF(TRT_ID,A94)&gt;1,"CHECK: duplicate ID",IF(B94="","CHECK: Supplier ID missing",IF(COUNTIF(INV_ID,B94)=0,"CHECK: Supplier ID not in inventory",IF(AND(D94&lt;&gt;"",COUNTIF(RSK_ID,D94)=0),"CHECK: Risk ID not found",IF(AND(D94&lt;&gt;"",COUNTIF(RSK_ID,D94)&gt;0,IFERROR(INDEX(RSK_SUP,MATCH(D94,RSK_ID,0)),"")&lt;&gt;B94),"CHECK: Risk belongs to a different supplier",IF(AND(E94&lt;&gt;"",COUNTIF(FND_ID,E94)=0),"CHECK: Finding ID not found",IF(AND(N94="Verified",K94&lt;&gt;"Delivered (self-reported)"),"CHECK: verified but not marked delivered","OK"))))))))</f>
        <v/>
      </c>
      <c r="X94" s="52" t="str">
        <f aca="false">IF(OR(A94="",B94=""),"",IF(AND(T94="Open",B94=RptSup),B94&amp;"|"&amp;COUNTIFS($B$7:B94,B94,$T$7:T94,"Open"),""))</f>
        <v/>
      </c>
    </row>
    <row r="95" customFormat="false" ht="15" hidden="false" customHeight="false" outlineLevel="0" collapsed="false">
      <c r="A95" s="50"/>
      <c r="B95" s="50"/>
      <c r="C95" s="59" t="str">
        <f aca="false">IF(B95="","",IFERROR(INDEX(INV_NAME,MATCH(B95,INV_ID,0)),"CHECK: Supplier ID not found"))</f>
        <v/>
      </c>
      <c r="D95" s="50"/>
      <c r="E95" s="50"/>
      <c r="F95" s="50"/>
      <c r="G95" s="34"/>
      <c r="H95" s="34"/>
      <c r="I95" s="34"/>
      <c r="J95" s="51"/>
      <c r="K95" s="34"/>
      <c r="L95" s="34"/>
      <c r="M95" s="34"/>
      <c r="N95" s="34"/>
      <c r="O95" s="51"/>
      <c r="P95" s="50"/>
      <c r="Q95" s="34"/>
      <c r="R95" s="34"/>
      <c r="S95" s="54" t="str">
        <f aca="false">IF(A95="","",IF(K95="Cancelled","Cancelled",IF(K95="Delivered (self-reported)",IF(N95="Verified","Closed - verified","Delivered - verification pending"),IF(K95="","Not started",K95))))</f>
        <v/>
      </c>
      <c r="T95" s="52" t="str">
        <f aca="false">IF(A95="","",IF(OR(S95="Cancelled",S95="Closed - verified"),"Closed","Open"))</f>
        <v/>
      </c>
      <c r="U95" s="61" t="str">
        <f aca="false">IF(A95="","",IF(AND(T95="Open",ISNUMBER(J95),J95&lt;AsOf),"Overdue",""))</f>
        <v/>
      </c>
      <c r="V95" s="54" t="str">
        <f aca="false">IF(A95="","",IF(F95="Accept",IF(Q95="","CHECK: decision record required - not recorded",IF(COUNTIF(DEC_ID,Q95)=0,"CHECK: Decision ID not found","Decision referenced")),""))</f>
        <v/>
      </c>
      <c r="W95" s="54" t="str">
        <f aca="false">IF(A95="","",IF(COUNTIF(TRT_ID,A95)&gt;1,"CHECK: duplicate ID",IF(B95="","CHECK: Supplier ID missing",IF(COUNTIF(INV_ID,B95)=0,"CHECK: Supplier ID not in inventory",IF(AND(D95&lt;&gt;"",COUNTIF(RSK_ID,D95)=0),"CHECK: Risk ID not found",IF(AND(D95&lt;&gt;"",COUNTIF(RSK_ID,D95)&gt;0,IFERROR(INDEX(RSK_SUP,MATCH(D95,RSK_ID,0)),"")&lt;&gt;B95),"CHECK: Risk belongs to a different supplier",IF(AND(E95&lt;&gt;"",COUNTIF(FND_ID,E95)=0),"CHECK: Finding ID not found",IF(AND(N95="Verified",K95&lt;&gt;"Delivered (self-reported)"),"CHECK: verified but not marked delivered","OK"))))))))</f>
        <v/>
      </c>
      <c r="X95" s="52" t="str">
        <f aca="false">IF(OR(A95="",B95=""),"",IF(AND(T95="Open",B95=RptSup),B95&amp;"|"&amp;COUNTIFS($B$7:B95,B95,$T$7:T95,"Open"),""))</f>
        <v/>
      </c>
    </row>
    <row r="96" customFormat="false" ht="15" hidden="false" customHeight="false" outlineLevel="0" collapsed="false">
      <c r="A96" s="50"/>
      <c r="B96" s="50"/>
      <c r="C96" s="59" t="str">
        <f aca="false">IF(B96="","",IFERROR(INDEX(INV_NAME,MATCH(B96,INV_ID,0)),"CHECK: Supplier ID not found"))</f>
        <v/>
      </c>
      <c r="D96" s="50"/>
      <c r="E96" s="50"/>
      <c r="F96" s="50"/>
      <c r="G96" s="34"/>
      <c r="H96" s="34"/>
      <c r="I96" s="34"/>
      <c r="J96" s="51"/>
      <c r="K96" s="34"/>
      <c r="L96" s="34"/>
      <c r="M96" s="34"/>
      <c r="N96" s="34"/>
      <c r="O96" s="51"/>
      <c r="P96" s="50"/>
      <c r="Q96" s="34"/>
      <c r="R96" s="34"/>
      <c r="S96" s="54" t="str">
        <f aca="false">IF(A96="","",IF(K96="Cancelled","Cancelled",IF(K96="Delivered (self-reported)",IF(N96="Verified","Closed - verified","Delivered - verification pending"),IF(K96="","Not started",K96))))</f>
        <v/>
      </c>
      <c r="T96" s="52" t="str">
        <f aca="false">IF(A96="","",IF(OR(S96="Cancelled",S96="Closed - verified"),"Closed","Open"))</f>
        <v/>
      </c>
      <c r="U96" s="61" t="str">
        <f aca="false">IF(A96="","",IF(AND(T96="Open",ISNUMBER(J96),J96&lt;AsOf),"Overdue",""))</f>
        <v/>
      </c>
      <c r="V96" s="54" t="str">
        <f aca="false">IF(A96="","",IF(F96="Accept",IF(Q96="","CHECK: decision record required - not recorded",IF(COUNTIF(DEC_ID,Q96)=0,"CHECK: Decision ID not found","Decision referenced")),""))</f>
        <v/>
      </c>
      <c r="W96" s="54" t="str">
        <f aca="false">IF(A96="","",IF(COUNTIF(TRT_ID,A96)&gt;1,"CHECK: duplicate ID",IF(B96="","CHECK: Supplier ID missing",IF(COUNTIF(INV_ID,B96)=0,"CHECK: Supplier ID not in inventory",IF(AND(D96&lt;&gt;"",COUNTIF(RSK_ID,D96)=0),"CHECK: Risk ID not found",IF(AND(D96&lt;&gt;"",COUNTIF(RSK_ID,D96)&gt;0,IFERROR(INDEX(RSK_SUP,MATCH(D96,RSK_ID,0)),"")&lt;&gt;B96),"CHECK: Risk belongs to a different supplier",IF(AND(E96&lt;&gt;"",COUNTIF(FND_ID,E96)=0),"CHECK: Finding ID not found",IF(AND(N96="Verified",K96&lt;&gt;"Delivered (self-reported)"),"CHECK: verified but not marked delivered","OK"))))))))</f>
        <v/>
      </c>
      <c r="X96" s="52" t="str">
        <f aca="false">IF(OR(A96="",B96=""),"",IF(AND(T96="Open",B96=RptSup),B96&amp;"|"&amp;COUNTIFS($B$7:B96,B96,$T$7:T96,"Open"),""))</f>
        <v/>
      </c>
    </row>
    <row r="97" customFormat="false" ht="15" hidden="false" customHeight="false" outlineLevel="0" collapsed="false">
      <c r="A97" s="50"/>
      <c r="B97" s="50"/>
      <c r="C97" s="59" t="str">
        <f aca="false">IF(B97="","",IFERROR(INDEX(INV_NAME,MATCH(B97,INV_ID,0)),"CHECK: Supplier ID not found"))</f>
        <v/>
      </c>
      <c r="D97" s="50"/>
      <c r="E97" s="50"/>
      <c r="F97" s="50"/>
      <c r="G97" s="34"/>
      <c r="H97" s="34"/>
      <c r="I97" s="34"/>
      <c r="J97" s="51"/>
      <c r="K97" s="34"/>
      <c r="L97" s="34"/>
      <c r="M97" s="34"/>
      <c r="N97" s="34"/>
      <c r="O97" s="51"/>
      <c r="P97" s="50"/>
      <c r="Q97" s="34"/>
      <c r="R97" s="34"/>
      <c r="S97" s="54" t="str">
        <f aca="false">IF(A97="","",IF(K97="Cancelled","Cancelled",IF(K97="Delivered (self-reported)",IF(N97="Verified","Closed - verified","Delivered - verification pending"),IF(K97="","Not started",K97))))</f>
        <v/>
      </c>
      <c r="T97" s="52" t="str">
        <f aca="false">IF(A97="","",IF(OR(S97="Cancelled",S97="Closed - verified"),"Closed","Open"))</f>
        <v/>
      </c>
      <c r="U97" s="61" t="str">
        <f aca="false">IF(A97="","",IF(AND(T97="Open",ISNUMBER(J97),J97&lt;AsOf),"Overdue",""))</f>
        <v/>
      </c>
      <c r="V97" s="54" t="str">
        <f aca="false">IF(A97="","",IF(F97="Accept",IF(Q97="","CHECK: decision record required - not recorded",IF(COUNTIF(DEC_ID,Q97)=0,"CHECK: Decision ID not found","Decision referenced")),""))</f>
        <v/>
      </c>
      <c r="W97" s="54" t="str">
        <f aca="false">IF(A97="","",IF(COUNTIF(TRT_ID,A97)&gt;1,"CHECK: duplicate ID",IF(B97="","CHECK: Supplier ID missing",IF(COUNTIF(INV_ID,B97)=0,"CHECK: Supplier ID not in inventory",IF(AND(D97&lt;&gt;"",COUNTIF(RSK_ID,D97)=0),"CHECK: Risk ID not found",IF(AND(D97&lt;&gt;"",COUNTIF(RSK_ID,D97)&gt;0,IFERROR(INDEX(RSK_SUP,MATCH(D97,RSK_ID,0)),"")&lt;&gt;B97),"CHECK: Risk belongs to a different supplier",IF(AND(E97&lt;&gt;"",COUNTIF(FND_ID,E97)=0),"CHECK: Finding ID not found",IF(AND(N97="Verified",K97&lt;&gt;"Delivered (self-reported)"),"CHECK: verified but not marked delivered","OK"))))))))</f>
        <v/>
      </c>
      <c r="X97" s="52" t="str">
        <f aca="false">IF(OR(A97="",B97=""),"",IF(AND(T97="Open",B97=RptSup),B97&amp;"|"&amp;COUNTIFS($B$7:B97,B97,$T$7:T97,"Open"),""))</f>
        <v/>
      </c>
    </row>
    <row r="98" customFormat="false" ht="15" hidden="false" customHeight="false" outlineLevel="0" collapsed="false">
      <c r="A98" s="50"/>
      <c r="B98" s="50"/>
      <c r="C98" s="59" t="str">
        <f aca="false">IF(B98="","",IFERROR(INDEX(INV_NAME,MATCH(B98,INV_ID,0)),"CHECK: Supplier ID not found"))</f>
        <v/>
      </c>
      <c r="D98" s="50"/>
      <c r="E98" s="50"/>
      <c r="F98" s="50"/>
      <c r="G98" s="34"/>
      <c r="H98" s="34"/>
      <c r="I98" s="34"/>
      <c r="J98" s="51"/>
      <c r="K98" s="34"/>
      <c r="L98" s="34"/>
      <c r="M98" s="34"/>
      <c r="N98" s="34"/>
      <c r="O98" s="51"/>
      <c r="P98" s="50"/>
      <c r="Q98" s="34"/>
      <c r="R98" s="34"/>
      <c r="S98" s="54" t="str">
        <f aca="false">IF(A98="","",IF(K98="Cancelled","Cancelled",IF(K98="Delivered (self-reported)",IF(N98="Verified","Closed - verified","Delivered - verification pending"),IF(K98="","Not started",K98))))</f>
        <v/>
      </c>
      <c r="T98" s="52" t="str">
        <f aca="false">IF(A98="","",IF(OR(S98="Cancelled",S98="Closed - verified"),"Closed","Open"))</f>
        <v/>
      </c>
      <c r="U98" s="61" t="str">
        <f aca="false">IF(A98="","",IF(AND(T98="Open",ISNUMBER(J98),J98&lt;AsOf),"Overdue",""))</f>
        <v/>
      </c>
      <c r="V98" s="54" t="str">
        <f aca="false">IF(A98="","",IF(F98="Accept",IF(Q98="","CHECK: decision record required - not recorded",IF(COUNTIF(DEC_ID,Q98)=0,"CHECK: Decision ID not found","Decision referenced")),""))</f>
        <v/>
      </c>
      <c r="W98" s="54" t="str">
        <f aca="false">IF(A98="","",IF(COUNTIF(TRT_ID,A98)&gt;1,"CHECK: duplicate ID",IF(B98="","CHECK: Supplier ID missing",IF(COUNTIF(INV_ID,B98)=0,"CHECK: Supplier ID not in inventory",IF(AND(D98&lt;&gt;"",COUNTIF(RSK_ID,D98)=0),"CHECK: Risk ID not found",IF(AND(D98&lt;&gt;"",COUNTIF(RSK_ID,D98)&gt;0,IFERROR(INDEX(RSK_SUP,MATCH(D98,RSK_ID,0)),"")&lt;&gt;B98),"CHECK: Risk belongs to a different supplier",IF(AND(E98&lt;&gt;"",COUNTIF(FND_ID,E98)=0),"CHECK: Finding ID not found",IF(AND(N98="Verified",K98&lt;&gt;"Delivered (self-reported)"),"CHECK: verified but not marked delivered","OK"))))))))</f>
        <v/>
      </c>
      <c r="X98" s="52" t="str">
        <f aca="false">IF(OR(A98="",B98=""),"",IF(AND(T98="Open",B98=RptSup),B98&amp;"|"&amp;COUNTIFS($B$7:B98,B98,$T$7:T98,"Open"),""))</f>
        <v/>
      </c>
    </row>
    <row r="99" customFormat="false" ht="15" hidden="false" customHeight="false" outlineLevel="0" collapsed="false">
      <c r="A99" s="50"/>
      <c r="B99" s="50"/>
      <c r="C99" s="59" t="str">
        <f aca="false">IF(B99="","",IFERROR(INDEX(INV_NAME,MATCH(B99,INV_ID,0)),"CHECK: Supplier ID not found"))</f>
        <v/>
      </c>
      <c r="D99" s="50"/>
      <c r="E99" s="50"/>
      <c r="F99" s="50"/>
      <c r="G99" s="34"/>
      <c r="H99" s="34"/>
      <c r="I99" s="34"/>
      <c r="J99" s="51"/>
      <c r="K99" s="34"/>
      <c r="L99" s="34"/>
      <c r="M99" s="34"/>
      <c r="N99" s="34"/>
      <c r="O99" s="51"/>
      <c r="P99" s="50"/>
      <c r="Q99" s="34"/>
      <c r="R99" s="34"/>
      <c r="S99" s="54" t="str">
        <f aca="false">IF(A99="","",IF(K99="Cancelled","Cancelled",IF(K99="Delivered (self-reported)",IF(N99="Verified","Closed - verified","Delivered - verification pending"),IF(K99="","Not started",K99))))</f>
        <v/>
      </c>
      <c r="T99" s="52" t="str">
        <f aca="false">IF(A99="","",IF(OR(S99="Cancelled",S99="Closed - verified"),"Closed","Open"))</f>
        <v/>
      </c>
      <c r="U99" s="61" t="str">
        <f aca="false">IF(A99="","",IF(AND(T99="Open",ISNUMBER(J99),J99&lt;AsOf),"Overdue",""))</f>
        <v/>
      </c>
      <c r="V99" s="54" t="str">
        <f aca="false">IF(A99="","",IF(F99="Accept",IF(Q99="","CHECK: decision record required - not recorded",IF(COUNTIF(DEC_ID,Q99)=0,"CHECK: Decision ID not found","Decision referenced")),""))</f>
        <v/>
      </c>
      <c r="W99" s="54" t="str">
        <f aca="false">IF(A99="","",IF(COUNTIF(TRT_ID,A99)&gt;1,"CHECK: duplicate ID",IF(B99="","CHECK: Supplier ID missing",IF(COUNTIF(INV_ID,B99)=0,"CHECK: Supplier ID not in inventory",IF(AND(D99&lt;&gt;"",COUNTIF(RSK_ID,D99)=0),"CHECK: Risk ID not found",IF(AND(D99&lt;&gt;"",COUNTIF(RSK_ID,D99)&gt;0,IFERROR(INDEX(RSK_SUP,MATCH(D99,RSK_ID,0)),"")&lt;&gt;B99),"CHECK: Risk belongs to a different supplier",IF(AND(E99&lt;&gt;"",COUNTIF(FND_ID,E99)=0),"CHECK: Finding ID not found",IF(AND(N99="Verified",K99&lt;&gt;"Delivered (self-reported)"),"CHECK: verified but not marked delivered","OK"))))))))</f>
        <v/>
      </c>
      <c r="X99" s="52" t="str">
        <f aca="false">IF(OR(A99="",B99=""),"",IF(AND(T99="Open",B99=RptSup),B99&amp;"|"&amp;COUNTIFS($B$7:B99,B99,$T$7:T99,"Open"),""))</f>
        <v/>
      </c>
    </row>
    <row r="100" customFormat="false" ht="15" hidden="false" customHeight="false" outlineLevel="0" collapsed="false">
      <c r="A100" s="50"/>
      <c r="B100" s="50"/>
      <c r="C100" s="59" t="str">
        <f aca="false">IF(B100="","",IFERROR(INDEX(INV_NAME,MATCH(B100,INV_ID,0)),"CHECK: Supplier ID not found"))</f>
        <v/>
      </c>
      <c r="D100" s="50"/>
      <c r="E100" s="50"/>
      <c r="F100" s="50"/>
      <c r="G100" s="34"/>
      <c r="H100" s="34"/>
      <c r="I100" s="34"/>
      <c r="J100" s="51"/>
      <c r="K100" s="34"/>
      <c r="L100" s="34"/>
      <c r="M100" s="34"/>
      <c r="N100" s="34"/>
      <c r="O100" s="51"/>
      <c r="P100" s="50"/>
      <c r="Q100" s="34"/>
      <c r="R100" s="34"/>
      <c r="S100" s="54" t="str">
        <f aca="false">IF(A100="","",IF(K100="Cancelled","Cancelled",IF(K100="Delivered (self-reported)",IF(N100="Verified","Closed - verified","Delivered - verification pending"),IF(K100="","Not started",K100))))</f>
        <v/>
      </c>
      <c r="T100" s="52" t="str">
        <f aca="false">IF(A100="","",IF(OR(S100="Cancelled",S100="Closed - verified"),"Closed","Open"))</f>
        <v/>
      </c>
      <c r="U100" s="61" t="str">
        <f aca="false">IF(A100="","",IF(AND(T100="Open",ISNUMBER(J100),J100&lt;AsOf),"Overdue",""))</f>
        <v/>
      </c>
      <c r="V100" s="54" t="str">
        <f aca="false">IF(A100="","",IF(F100="Accept",IF(Q100="","CHECK: decision record required - not recorded",IF(COUNTIF(DEC_ID,Q100)=0,"CHECK: Decision ID not found","Decision referenced")),""))</f>
        <v/>
      </c>
      <c r="W100" s="54" t="str">
        <f aca="false">IF(A100="","",IF(COUNTIF(TRT_ID,A100)&gt;1,"CHECK: duplicate ID",IF(B100="","CHECK: Supplier ID missing",IF(COUNTIF(INV_ID,B100)=0,"CHECK: Supplier ID not in inventory",IF(AND(D100&lt;&gt;"",COUNTIF(RSK_ID,D100)=0),"CHECK: Risk ID not found",IF(AND(D100&lt;&gt;"",COUNTIF(RSK_ID,D100)&gt;0,IFERROR(INDEX(RSK_SUP,MATCH(D100,RSK_ID,0)),"")&lt;&gt;B100),"CHECK: Risk belongs to a different supplier",IF(AND(E100&lt;&gt;"",COUNTIF(FND_ID,E100)=0),"CHECK: Finding ID not found",IF(AND(N100="Verified",K100&lt;&gt;"Delivered (self-reported)"),"CHECK: verified but not marked delivered","OK"))))))))</f>
        <v/>
      </c>
      <c r="X100" s="52" t="str">
        <f aca="false">IF(OR(A100="",B100=""),"",IF(AND(T100="Open",B100=RptSup),B100&amp;"|"&amp;COUNTIFS($B$7:B100,B100,$T$7:T100,"Open"),""))</f>
        <v/>
      </c>
    </row>
    <row r="101" customFormat="false" ht="15" hidden="false" customHeight="false" outlineLevel="0" collapsed="false">
      <c r="A101" s="50"/>
      <c r="B101" s="50"/>
      <c r="C101" s="59" t="str">
        <f aca="false">IF(B101="","",IFERROR(INDEX(INV_NAME,MATCH(B101,INV_ID,0)),"CHECK: Supplier ID not found"))</f>
        <v/>
      </c>
      <c r="D101" s="50"/>
      <c r="E101" s="50"/>
      <c r="F101" s="50"/>
      <c r="G101" s="34"/>
      <c r="H101" s="34"/>
      <c r="I101" s="34"/>
      <c r="J101" s="51"/>
      <c r="K101" s="34"/>
      <c r="L101" s="34"/>
      <c r="M101" s="34"/>
      <c r="N101" s="34"/>
      <c r="O101" s="51"/>
      <c r="P101" s="50"/>
      <c r="Q101" s="34"/>
      <c r="R101" s="34"/>
      <c r="S101" s="54" t="str">
        <f aca="false">IF(A101="","",IF(K101="Cancelled","Cancelled",IF(K101="Delivered (self-reported)",IF(N101="Verified","Closed - verified","Delivered - verification pending"),IF(K101="","Not started",K101))))</f>
        <v/>
      </c>
      <c r="T101" s="52" t="str">
        <f aca="false">IF(A101="","",IF(OR(S101="Cancelled",S101="Closed - verified"),"Closed","Open"))</f>
        <v/>
      </c>
      <c r="U101" s="61" t="str">
        <f aca="false">IF(A101="","",IF(AND(T101="Open",ISNUMBER(J101),J101&lt;AsOf),"Overdue",""))</f>
        <v/>
      </c>
      <c r="V101" s="54" t="str">
        <f aca="false">IF(A101="","",IF(F101="Accept",IF(Q101="","CHECK: decision record required - not recorded",IF(COUNTIF(DEC_ID,Q101)=0,"CHECK: Decision ID not found","Decision referenced")),""))</f>
        <v/>
      </c>
      <c r="W101" s="54" t="str">
        <f aca="false">IF(A101="","",IF(COUNTIF(TRT_ID,A101)&gt;1,"CHECK: duplicate ID",IF(B101="","CHECK: Supplier ID missing",IF(COUNTIF(INV_ID,B101)=0,"CHECK: Supplier ID not in inventory",IF(AND(D101&lt;&gt;"",COUNTIF(RSK_ID,D101)=0),"CHECK: Risk ID not found",IF(AND(D101&lt;&gt;"",COUNTIF(RSK_ID,D101)&gt;0,IFERROR(INDEX(RSK_SUP,MATCH(D101,RSK_ID,0)),"")&lt;&gt;B101),"CHECK: Risk belongs to a different supplier",IF(AND(E101&lt;&gt;"",COUNTIF(FND_ID,E101)=0),"CHECK: Finding ID not found",IF(AND(N101="Verified",K101&lt;&gt;"Delivered (self-reported)"),"CHECK: verified but not marked delivered","OK"))))))))</f>
        <v/>
      </c>
      <c r="X101" s="52" t="str">
        <f aca="false">IF(OR(A101="",B101=""),"",IF(AND(T101="Open",B101=RptSup),B101&amp;"|"&amp;COUNTIFS($B$7:B101,B101,$T$7:T101,"Open"),""))</f>
        <v/>
      </c>
    </row>
    <row r="102" customFormat="false" ht="15" hidden="false" customHeight="false" outlineLevel="0" collapsed="false">
      <c r="A102" s="50"/>
      <c r="B102" s="50"/>
      <c r="C102" s="59" t="str">
        <f aca="false">IF(B102="","",IFERROR(INDEX(INV_NAME,MATCH(B102,INV_ID,0)),"CHECK: Supplier ID not found"))</f>
        <v/>
      </c>
      <c r="D102" s="50"/>
      <c r="E102" s="50"/>
      <c r="F102" s="50"/>
      <c r="G102" s="34"/>
      <c r="H102" s="34"/>
      <c r="I102" s="34"/>
      <c r="J102" s="51"/>
      <c r="K102" s="34"/>
      <c r="L102" s="34"/>
      <c r="M102" s="34"/>
      <c r="N102" s="34"/>
      <c r="O102" s="51"/>
      <c r="P102" s="50"/>
      <c r="Q102" s="34"/>
      <c r="R102" s="34"/>
      <c r="S102" s="54" t="str">
        <f aca="false">IF(A102="","",IF(K102="Cancelled","Cancelled",IF(K102="Delivered (self-reported)",IF(N102="Verified","Closed - verified","Delivered - verification pending"),IF(K102="","Not started",K102))))</f>
        <v/>
      </c>
      <c r="T102" s="52" t="str">
        <f aca="false">IF(A102="","",IF(OR(S102="Cancelled",S102="Closed - verified"),"Closed","Open"))</f>
        <v/>
      </c>
      <c r="U102" s="61" t="str">
        <f aca="false">IF(A102="","",IF(AND(T102="Open",ISNUMBER(J102),J102&lt;AsOf),"Overdue",""))</f>
        <v/>
      </c>
      <c r="V102" s="54" t="str">
        <f aca="false">IF(A102="","",IF(F102="Accept",IF(Q102="","CHECK: decision record required - not recorded",IF(COUNTIF(DEC_ID,Q102)=0,"CHECK: Decision ID not found","Decision referenced")),""))</f>
        <v/>
      </c>
      <c r="W102" s="54" t="str">
        <f aca="false">IF(A102="","",IF(COUNTIF(TRT_ID,A102)&gt;1,"CHECK: duplicate ID",IF(B102="","CHECK: Supplier ID missing",IF(COUNTIF(INV_ID,B102)=0,"CHECK: Supplier ID not in inventory",IF(AND(D102&lt;&gt;"",COUNTIF(RSK_ID,D102)=0),"CHECK: Risk ID not found",IF(AND(D102&lt;&gt;"",COUNTIF(RSK_ID,D102)&gt;0,IFERROR(INDEX(RSK_SUP,MATCH(D102,RSK_ID,0)),"")&lt;&gt;B102),"CHECK: Risk belongs to a different supplier",IF(AND(E102&lt;&gt;"",COUNTIF(FND_ID,E102)=0),"CHECK: Finding ID not found",IF(AND(N102="Verified",K102&lt;&gt;"Delivered (self-reported)"),"CHECK: verified but not marked delivered","OK"))))))))</f>
        <v/>
      </c>
      <c r="X102" s="52" t="str">
        <f aca="false">IF(OR(A102="",B102=""),"",IF(AND(T102="Open",B102=RptSup),B102&amp;"|"&amp;COUNTIFS($B$7:B102,B102,$T$7:T102,"Open"),""))</f>
        <v/>
      </c>
    </row>
    <row r="103" customFormat="false" ht="15" hidden="false" customHeight="false" outlineLevel="0" collapsed="false">
      <c r="A103" s="50"/>
      <c r="B103" s="50"/>
      <c r="C103" s="59" t="str">
        <f aca="false">IF(B103="","",IFERROR(INDEX(INV_NAME,MATCH(B103,INV_ID,0)),"CHECK: Supplier ID not found"))</f>
        <v/>
      </c>
      <c r="D103" s="50"/>
      <c r="E103" s="50"/>
      <c r="F103" s="50"/>
      <c r="G103" s="34"/>
      <c r="H103" s="34"/>
      <c r="I103" s="34"/>
      <c r="J103" s="51"/>
      <c r="K103" s="34"/>
      <c r="L103" s="34"/>
      <c r="M103" s="34"/>
      <c r="N103" s="34"/>
      <c r="O103" s="51"/>
      <c r="P103" s="50"/>
      <c r="Q103" s="34"/>
      <c r="R103" s="34"/>
      <c r="S103" s="54" t="str">
        <f aca="false">IF(A103="","",IF(K103="Cancelled","Cancelled",IF(K103="Delivered (self-reported)",IF(N103="Verified","Closed - verified","Delivered - verification pending"),IF(K103="","Not started",K103))))</f>
        <v/>
      </c>
      <c r="T103" s="52" t="str">
        <f aca="false">IF(A103="","",IF(OR(S103="Cancelled",S103="Closed - verified"),"Closed","Open"))</f>
        <v/>
      </c>
      <c r="U103" s="61" t="str">
        <f aca="false">IF(A103="","",IF(AND(T103="Open",ISNUMBER(J103),J103&lt;AsOf),"Overdue",""))</f>
        <v/>
      </c>
      <c r="V103" s="54" t="str">
        <f aca="false">IF(A103="","",IF(F103="Accept",IF(Q103="","CHECK: decision record required - not recorded",IF(COUNTIF(DEC_ID,Q103)=0,"CHECK: Decision ID not found","Decision referenced")),""))</f>
        <v/>
      </c>
      <c r="W103" s="54" t="str">
        <f aca="false">IF(A103="","",IF(COUNTIF(TRT_ID,A103)&gt;1,"CHECK: duplicate ID",IF(B103="","CHECK: Supplier ID missing",IF(COUNTIF(INV_ID,B103)=0,"CHECK: Supplier ID not in inventory",IF(AND(D103&lt;&gt;"",COUNTIF(RSK_ID,D103)=0),"CHECK: Risk ID not found",IF(AND(D103&lt;&gt;"",COUNTIF(RSK_ID,D103)&gt;0,IFERROR(INDEX(RSK_SUP,MATCH(D103,RSK_ID,0)),"")&lt;&gt;B103),"CHECK: Risk belongs to a different supplier",IF(AND(E103&lt;&gt;"",COUNTIF(FND_ID,E103)=0),"CHECK: Finding ID not found",IF(AND(N103="Verified",K103&lt;&gt;"Delivered (self-reported)"),"CHECK: verified but not marked delivered","OK"))))))))</f>
        <v/>
      </c>
      <c r="X103" s="52" t="str">
        <f aca="false">IF(OR(A103="",B103=""),"",IF(AND(T103="Open",B103=RptSup),B103&amp;"|"&amp;COUNTIFS($B$7:B103,B103,$T$7:T103,"Open"),""))</f>
        <v/>
      </c>
    </row>
    <row r="104" customFormat="false" ht="15" hidden="false" customHeight="false" outlineLevel="0" collapsed="false">
      <c r="A104" s="50"/>
      <c r="B104" s="50"/>
      <c r="C104" s="59" t="str">
        <f aca="false">IF(B104="","",IFERROR(INDEX(INV_NAME,MATCH(B104,INV_ID,0)),"CHECK: Supplier ID not found"))</f>
        <v/>
      </c>
      <c r="D104" s="50"/>
      <c r="E104" s="50"/>
      <c r="F104" s="50"/>
      <c r="G104" s="34"/>
      <c r="H104" s="34"/>
      <c r="I104" s="34"/>
      <c r="J104" s="51"/>
      <c r="K104" s="34"/>
      <c r="L104" s="34"/>
      <c r="M104" s="34"/>
      <c r="N104" s="34"/>
      <c r="O104" s="51"/>
      <c r="P104" s="50"/>
      <c r="Q104" s="34"/>
      <c r="R104" s="34"/>
      <c r="S104" s="54" t="str">
        <f aca="false">IF(A104="","",IF(K104="Cancelled","Cancelled",IF(K104="Delivered (self-reported)",IF(N104="Verified","Closed - verified","Delivered - verification pending"),IF(K104="","Not started",K104))))</f>
        <v/>
      </c>
      <c r="T104" s="52" t="str">
        <f aca="false">IF(A104="","",IF(OR(S104="Cancelled",S104="Closed - verified"),"Closed","Open"))</f>
        <v/>
      </c>
      <c r="U104" s="61" t="str">
        <f aca="false">IF(A104="","",IF(AND(T104="Open",ISNUMBER(J104),J104&lt;AsOf),"Overdue",""))</f>
        <v/>
      </c>
      <c r="V104" s="54" t="str">
        <f aca="false">IF(A104="","",IF(F104="Accept",IF(Q104="","CHECK: decision record required - not recorded",IF(COUNTIF(DEC_ID,Q104)=0,"CHECK: Decision ID not found","Decision referenced")),""))</f>
        <v/>
      </c>
      <c r="W104" s="54" t="str">
        <f aca="false">IF(A104="","",IF(COUNTIF(TRT_ID,A104)&gt;1,"CHECK: duplicate ID",IF(B104="","CHECK: Supplier ID missing",IF(COUNTIF(INV_ID,B104)=0,"CHECK: Supplier ID not in inventory",IF(AND(D104&lt;&gt;"",COUNTIF(RSK_ID,D104)=0),"CHECK: Risk ID not found",IF(AND(D104&lt;&gt;"",COUNTIF(RSK_ID,D104)&gt;0,IFERROR(INDEX(RSK_SUP,MATCH(D104,RSK_ID,0)),"")&lt;&gt;B104),"CHECK: Risk belongs to a different supplier",IF(AND(E104&lt;&gt;"",COUNTIF(FND_ID,E104)=0),"CHECK: Finding ID not found",IF(AND(N104="Verified",K104&lt;&gt;"Delivered (self-reported)"),"CHECK: verified but not marked delivered","OK"))))))))</f>
        <v/>
      </c>
      <c r="X104" s="52" t="str">
        <f aca="false">IF(OR(A104="",B104=""),"",IF(AND(T104="Open",B104=RptSup),B104&amp;"|"&amp;COUNTIFS($B$7:B104,B104,$T$7:T104,"Open"),""))</f>
        <v/>
      </c>
    </row>
    <row r="105" customFormat="false" ht="15" hidden="false" customHeight="false" outlineLevel="0" collapsed="false">
      <c r="A105" s="50"/>
      <c r="B105" s="50"/>
      <c r="C105" s="59" t="str">
        <f aca="false">IF(B105="","",IFERROR(INDEX(INV_NAME,MATCH(B105,INV_ID,0)),"CHECK: Supplier ID not found"))</f>
        <v/>
      </c>
      <c r="D105" s="50"/>
      <c r="E105" s="50"/>
      <c r="F105" s="50"/>
      <c r="G105" s="34"/>
      <c r="H105" s="34"/>
      <c r="I105" s="34"/>
      <c r="J105" s="51"/>
      <c r="K105" s="34"/>
      <c r="L105" s="34"/>
      <c r="M105" s="34"/>
      <c r="N105" s="34"/>
      <c r="O105" s="51"/>
      <c r="P105" s="50"/>
      <c r="Q105" s="34"/>
      <c r="R105" s="34"/>
      <c r="S105" s="54" t="str">
        <f aca="false">IF(A105="","",IF(K105="Cancelled","Cancelled",IF(K105="Delivered (self-reported)",IF(N105="Verified","Closed - verified","Delivered - verification pending"),IF(K105="","Not started",K105))))</f>
        <v/>
      </c>
      <c r="T105" s="52" t="str">
        <f aca="false">IF(A105="","",IF(OR(S105="Cancelled",S105="Closed - verified"),"Closed","Open"))</f>
        <v/>
      </c>
      <c r="U105" s="61" t="str">
        <f aca="false">IF(A105="","",IF(AND(T105="Open",ISNUMBER(J105),J105&lt;AsOf),"Overdue",""))</f>
        <v/>
      </c>
      <c r="V105" s="54" t="str">
        <f aca="false">IF(A105="","",IF(F105="Accept",IF(Q105="","CHECK: decision record required - not recorded",IF(COUNTIF(DEC_ID,Q105)=0,"CHECK: Decision ID not found","Decision referenced")),""))</f>
        <v/>
      </c>
      <c r="W105" s="54" t="str">
        <f aca="false">IF(A105="","",IF(COUNTIF(TRT_ID,A105)&gt;1,"CHECK: duplicate ID",IF(B105="","CHECK: Supplier ID missing",IF(COUNTIF(INV_ID,B105)=0,"CHECK: Supplier ID not in inventory",IF(AND(D105&lt;&gt;"",COUNTIF(RSK_ID,D105)=0),"CHECK: Risk ID not found",IF(AND(D105&lt;&gt;"",COUNTIF(RSK_ID,D105)&gt;0,IFERROR(INDEX(RSK_SUP,MATCH(D105,RSK_ID,0)),"")&lt;&gt;B105),"CHECK: Risk belongs to a different supplier",IF(AND(E105&lt;&gt;"",COUNTIF(FND_ID,E105)=0),"CHECK: Finding ID not found",IF(AND(N105="Verified",K105&lt;&gt;"Delivered (self-reported)"),"CHECK: verified but not marked delivered","OK"))))))))</f>
        <v/>
      </c>
      <c r="X105" s="52" t="str">
        <f aca="false">IF(OR(A105="",B105=""),"",IF(AND(T105="Open",B105=RptSup),B105&amp;"|"&amp;COUNTIFS($B$7:B105,B105,$T$7:T105,"Open"),""))</f>
        <v/>
      </c>
    </row>
    <row r="106" customFormat="false" ht="15" hidden="false" customHeight="false" outlineLevel="0" collapsed="false">
      <c r="A106" s="50"/>
      <c r="B106" s="50"/>
      <c r="C106" s="59" t="str">
        <f aca="false">IF(B106="","",IFERROR(INDEX(INV_NAME,MATCH(B106,INV_ID,0)),"CHECK: Supplier ID not found"))</f>
        <v/>
      </c>
      <c r="D106" s="50"/>
      <c r="E106" s="50"/>
      <c r="F106" s="50"/>
      <c r="G106" s="34"/>
      <c r="H106" s="34"/>
      <c r="I106" s="34"/>
      <c r="J106" s="51"/>
      <c r="K106" s="34"/>
      <c r="L106" s="34"/>
      <c r="M106" s="34"/>
      <c r="N106" s="34"/>
      <c r="O106" s="51"/>
      <c r="P106" s="50"/>
      <c r="Q106" s="34"/>
      <c r="R106" s="34"/>
      <c r="S106" s="54" t="str">
        <f aca="false">IF(A106="","",IF(K106="Cancelled","Cancelled",IF(K106="Delivered (self-reported)",IF(N106="Verified","Closed - verified","Delivered - verification pending"),IF(K106="","Not started",K106))))</f>
        <v/>
      </c>
      <c r="T106" s="52" t="str">
        <f aca="false">IF(A106="","",IF(OR(S106="Cancelled",S106="Closed - verified"),"Closed","Open"))</f>
        <v/>
      </c>
      <c r="U106" s="61" t="str">
        <f aca="false">IF(A106="","",IF(AND(T106="Open",ISNUMBER(J106),J106&lt;AsOf),"Overdue",""))</f>
        <v/>
      </c>
      <c r="V106" s="54" t="str">
        <f aca="false">IF(A106="","",IF(F106="Accept",IF(Q106="","CHECK: decision record required - not recorded",IF(COUNTIF(DEC_ID,Q106)=0,"CHECK: Decision ID not found","Decision referenced")),""))</f>
        <v/>
      </c>
      <c r="W106" s="54" t="str">
        <f aca="false">IF(A106="","",IF(COUNTIF(TRT_ID,A106)&gt;1,"CHECK: duplicate ID",IF(B106="","CHECK: Supplier ID missing",IF(COUNTIF(INV_ID,B106)=0,"CHECK: Supplier ID not in inventory",IF(AND(D106&lt;&gt;"",COUNTIF(RSK_ID,D106)=0),"CHECK: Risk ID not found",IF(AND(D106&lt;&gt;"",COUNTIF(RSK_ID,D106)&gt;0,IFERROR(INDEX(RSK_SUP,MATCH(D106,RSK_ID,0)),"")&lt;&gt;B106),"CHECK: Risk belongs to a different supplier",IF(AND(E106&lt;&gt;"",COUNTIF(FND_ID,E106)=0),"CHECK: Finding ID not found",IF(AND(N106="Verified",K106&lt;&gt;"Delivered (self-reported)"),"CHECK: verified but not marked delivered","OK"))))))))</f>
        <v/>
      </c>
      <c r="X106" s="52" t="str">
        <f aca="false">IF(OR(A106="",B106=""),"",IF(AND(T106="Open",B106=RptSup),B106&amp;"|"&amp;COUNTIFS($B$7:B106,B106,$T$7:T106,"Open"),""))</f>
        <v/>
      </c>
    </row>
    <row r="107" customFormat="false" ht="15" hidden="false" customHeight="false" outlineLevel="0" collapsed="false">
      <c r="A107" s="50"/>
      <c r="B107" s="50"/>
      <c r="C107" s="59" t="str">
        <f aca="false">IF(B107="","",IFERROR(INDEX(INV_NAME,MATCH(B107,INV_ID,0)),"CHECK: Supplier ID not found"))</f>
        <v/>
      </c>
      <c r="D107" s="50"/>
      <c r="E107" s="50"/>
      <c r="F107" s="50"/>
      <c r="G107" s="34"/>
      <c r="H107" s="34"/>
      <c r="I107" s="34"/>
      <c r="J107" s="51"/>
      <c r="K107" s="34"/>
      <c r="L107" s="34"/>
      <c r="M107" s="34"/>
      <c r="N107" s="34"/>
      <c r="O107" s="51"/>
      <c r="P107" s="50"/>
      <c r="Q107" s="34"/>
      <c r="R107" s="34"/>
      <c r="S107" s="54" t="str">
        <f aca="false">IF(A107="","",IF(K107="Cancelled","Cancelled",IF(K107="Delivered (self-reported)",IF(N107="Verified","Closed - verified","Delivered - verification pending"),IF(K107="","Not started",K107))))</f>
        <v/>
      </c>
      <c r="T107" s="52" t="str">
        <f aca="false">IF(A107="","",IF(OR(S107="Cancelled",S107="Closed - verified"),"Closed","Open"))</f>
        <v/>
      </c>
      <c r="U107" s="61" t="str">
        <f aca="false">IF(A107="","",IF(AND(T107="Open",ISNUMBER(J107),J107&lt;AsOf),"Overdue",""))</f>
        <v/>
      </c>
      <c r="V107" s="54" t="str">
        <f aca="false">IF(A107="","",IF(F107="Accept",IF(Q107="","CHECK: decision record required - not recorded",IF(COUNTIF(DEC_ID,Q107)=0,"CHECK: Decision ID not found","Decision referenced")),""))</f>
        <v/>
      </c>
      <c r="W107" s="54" t="str">
        <f aca="false">IF(A107="","",IF(COUNTIF(TRT_ID,A107)&gt;1,"CHECK: duplicate ID",IF(B107="","CHECK: Supplier ID missing",IF(COUNTIF(INV_ID,B107)=0,"CHECK: Supplier ID not in inventory",IF(AND(D107&lt;&gt;"",COUNTIF(RSK_ID,D107)=0),"CHECK: Risk ID not found",IF(AND(D107&lt;&gt;"",COUNTIF(RSK_ID,D107)&gt;0,IFERROR(INDEX(RSK_SUP,MATCH(D107,RSK_ID,0)),"")&lt;&gt;B107),"CHECK: Risk belongs to a different supplier",IF(AND(E107&lt;&gt;"",COUNTIF(FND_ID,E107)=0),"CHECK: Finding ID not found",IF(AND(N107="Verified",K107&lt;&gt;"Delivered (self-reported)"),"CHECK: verified but not marked delivered","OK"))))))))</f>
        <v/>
      </c>
      <c r="X107" s="52" t="str">
        <f aca="false">IF(OR(A107="",B107=""),"",IF(AND(T107="Open",B107=RptSup),B107&amp;"|"&amp;COUNTIFS($B$7:B107,B107,$T$7:T107,"Open"),""))</f>
        <v/>
      </c>
    </row>
    <row r="108" customFormat="false" ht="15" hidden="false" customHeight="false" outlineLevel="0" collapsed="false">
      <c r="A108" s="50"/>
      <c r="B108" s="50"/>
      <c r="C108" s="59" t="str">
        <f aca="false">IF(B108="","",IFERROR(INDEX(INV_NAME,MATCH(B108,INV_ID,0)),"CHECK: Supplier ID not found"))</f>
        <v/>
      </c>
      <c r="D108" s="50"/>
      <c r="E108" s="50"/>
      <c r="F108" s="50"/>
      <c r="G108" s="34"/>
      <c r="H108" s="34"/>
      <c r="I108" s="34"/>
      <c r="J108" s="51"/>
      <c r="K108" s="34"/>
      <c r="L108" s="34"/>
      <c r="M108" s="34"/>
      <c r="N108" s="34"/>
      <c r="O108" s="51"/>
      <c r="P108" s="50"/>
      <c r="Q108" s="34"/>
      <c r="R108" s="34"/>
      <c r="S108" s="54" t="str">
        <f aca="false">IF(A108="","",IF(K108="Cancelled","Cancelled",IF(K108="Delivered (self-reported)",IF(N108="Verified","Closed - verified","Delivered - verification pending"),IF(K108="","Not started",K108))))</f>
        <v/>
      </c>
      <c r="T108" s="52" t="str">
        <f aca="false">IF(A108="","",IF(OR(S108="Cancelled",S108="Closed - verified"),"Closed","Open"))</f>
        <v/>
      </c>
      <c r="U108" s="61" t="str">
        <f aca="false">IF(A108="","",IF(AND(T108="Open",ISNUMBER(J108),J108&lt;AsOf),"Overdue",""))</f>
        <v/>
      </c>
      <c r="V108" s="54" t="str">
        <f aca="false">IF(A108="","",IF(F108="Accept",IF(Q108="","CHECK: decision record required - not recorded",IF(COUNTIF(DEC_ID,Q108)=0,"CHECK: Decision ID not found","Decision referenced")),""))</f>
        <v/>
      </c>
      <c r="W108" s="54" t="str">
        <f aca="false">IF(A108="","",IF(COUNTIF(TRT_ID,A108)&gt;1,"CHECK: duplicate ID",IF(B108="","CHECK: Supplier ID missing",IF(COUNTIF(INV_ID,B108)=0,"CHECK: Supplier ID not in inventory",IF(AND(D108&lt;&gt;"",COUNTIF(RSK_ID,D108)=0),"CHECK: Risk ID not found",IF(AND(D108&lt;&gt;"",COUNTIF(RSK_ID,D108)&gt;0,IFERROR(INDEX(RSK_SUP,MATCH(D108,RSK_ID,0)),"")&lt;&gt;B108),"CHECK: Risk belongs to a different supplier",IF(AND(E108&lt;&gt;"",COUNTIF(FND_ID,E108)=0),"CHECK: Finding ID not found",IF(AND(N108="Verified",K108&lt;&gt;"Delivered (self-reported)"),"CHECK: verified but not marked delivered","OK"))))))))</f>
        <v/>
      </c>
      <c r="X108" s="52" t="str">
        <f aca="false">IF(OR(A108="",B108=""),"",IF(AND(T108="Open",B108=RptSup),B108&amp;"|"&amp;COUNTIFS($B$7:B108,B108,$T$7:T108,"Open"),""))</f>
        <v/>
      </c>
    </row>
    <row r="109" customFormat="false" ht="15" hidden="false" customHeight="false" outlineLevel="0" collapsed="false">
      <c r="A109" s="50"/>
      <c r="B109" s="50"/>
      <c r="C109" s="59" t="str">
        <f aca="false">IF(B109="","",IFERROR(INDEX(INV_NAME,MATCH(B109,INV_ID,0)),"CHECK: Supplier ID not found"))</f>
        <v/>
      </c>
      <c r="D109" s="50"/>
      <c r="E109" s="50"/>
      <c r="F109" s="50"/>
      <c r="G109" s="34"/>
      <c r="H109" s="34"/>
      <c r="I109" s="34"/>
      <c r="J109" s="51"/>
      <c r="K109" s="34"/>
      <c r="L109" s="34"/>
      <c r="M109" s="34"/>
      <c r="N109" s="34"/>
      <c r="O109" s="51"/>
      <c r="P109" s="50"/>
      <c r="Q109" s="34"/>
      <c r="R109" s="34"/>
      <c r="S109" s="54" t="str">
        <f aca="false">IF(A109="","",IF(K109="Cancelled","Cancelled",IF(K109="Delivered (self-reported)",IF(N109="Verified","Closed - verified","Delivered - verification pending"),IF(K109="","Not started",K109))))</f>
        <v/>
      </c>
      <c r="T109" s="52" t="str">
        <f aca="false">IF(A109="","",IF(OR(S109="Cancelled",S109="Closed - verified"),"Closed","Open"))</f>
        <v/>
      </c>
      <c r="U109" s="61" t="str">
        <f aca="false">IF(A109="","",IF(AND(T109="Open",ISNUMBER(J109),J109&lt;AsOf),"Overdue",""))</f>
        <v/>
      </c>
      <c r="V109" s="54" t="str">
        <f aca="false">IF(A109="","",IF(F109="Accept",IF(Q109="","CHECK: decision record required - not recorded",IF(COUNTIF(DEC_ID,Q109)=0,"CHECK: Decision ID not found","Decision referenced")),""))</f>
        <v/>
      </c>
      <c r="W109" s="54" t="str">
        <f aca="false">IF(A109="","",IF(COUNTIF(TRT_ID,A109)&gt;1,"CHECK: duplicate ID",IF(B109="","CHECK: Supplier ID missing",IF(COUNTIF(INV_ID,B109)=0,"CHECK: Supplier ID not in inventory",IF(AND(D109&lt;&gt;"",COUNTIF(RSK_ID,D109)=0),"CHECK: Risk ID not found",IF(AND(D109&lt;&gt;"",COUNTIF(RSK_ID,D109)&gt;0,IFERROR(INDEX(RSK_SUP,MATCH(D109,RSK_ID,0)),"")&lt;&gt;B109),"CHECK: Risk belongs to a different supplier",IF(AND(E109&lt;&gt;"",COUNTIF(FND_ID,E109)=0),"CHECK: Finding ID not found",IF(AND(N109="Verified",K109&lt;&gt;"Delivered (self-reported)"),"CHECK: verified but not marked delivered","OK"))))))))</f>
        <v/>
      </c>
      <c r="X109" s="52" t="str">
        <f aca="false">IF(OR(A109="",B109=""),"",IF(AND(T109="Open",B109=RptSup),B109&amp;"|"&amp;COUNTIFS($B$7:B109,B109,$T$7:T109,"Open"),""))</f>
        <v/>
      </c>
    </row>
    <row r="110" customFormat="false" ht="15" hidden="false" customHeight="false" outlineLevel="0" collapsed="false">
      <c r="A110" s="50"/>
      <c r="B110" s="50"/>
      <c r="C110" s="59" t="str">
        <f aca="false">IF(B110="","",IFERROR(INDEX(INV_NAME,MATCH(B110,INV_ID,0)),"CHECK: Supplier ID not found"))</f>
        <v/>
      </c>
      <c r="D110" s="50"/>
      <c r="E110" s="50"/>
      <c r="F110" s="50"/>
      <c r="G110" s="34"/>
      <c r="H110" s="34"/>
      <c r="I110" s="34"/>
      <c r="J110" s="51"/>
      <c r="K110" s="34"/>
      <c r="L110" s="34"/>
      <c r="M110" s="34"/>
      <c r="N110" s="34"/>
      <c r="O110" s="51"/>
      <c r="P110" s="50"/>
      <c r="Q110" s="34"/>
      <c r="R110" s="34"/>
      <c r="S110" s="54" t="str">
        <f aca="false">IF(A110="","",IF(K110="Cancelled","Cancelled",IF(K110="Delivered (self-reported)",IF(N110="Verified","Closed - verified","Delivered - verification pending"),IF(K110="","Not started",K110))))</f>
        <v/>
      </c>
      <c r="T110" s="52" t="str">
        <f aca="false">IF(A110="","",IF(OR(S110="Cancelled",S110="Closed - verified"),"Closed","Open"))</f>
        <v/>
      </c>
      <c r="U110" s="61" t="str">
        <f aca="false">IF(A110="","",IF(AND(T110="Open",ISNUMBER(J110),J110&lt;AsOf),"Overdue",""))</f>
        <v/>
      </c>
      <c r="V110" s="54" t="str">
        <f aca="false">IF(A110="","",IF(F110="Accept",IF(Q110="","CHECK: decision record required - not recorded",IF(COUNTIF(DEC_ID,Q110)=0,"CHECK: Decision ID not found","Decision referenced")),""))</f>
        <v/>
      </c>
      <c r="W110" s="54" t="str">
        <f aca="false">IF(A110="","",IF(COUNTIF(TRT_ID,A110)&gt;1,"CHECK: duplicate ID",IF(B110="","CHECK: Supplier ID missing",IF(COUNTIF(INV_ID,B110)=0,"CHECK: Supplier ID not in inventory",IF(AND(D110&lt;&gt;"",COUNTIF(RSK_ID,D110)=0),"CHECK: Risk ID not found",IF(AND(D110&lt;&gt;"",COUNTIF(RSK_ID,D110)&gt;0,IFERROR(INDEX(RSK_SUP,MATCH(D110,RSK_ID,0)),"")&lt;&gt;B110),"CHECK: Risk belongs to a different supplier",IF(AND(E110&lt;&gt;"",COUNTIF(FND_ID,E110)=0),"CHECK: Finding ID not found",IF(AND(N110="Verified",K110&lt;&gt;"Delivered (self-reported)"),"CHECK: verified but not marked delivered","OK"))))))))</f>
        <v/>
      </c>
      <c r="X110" s="52" t="str">
        <f aca="false">IF(OR(A110="",B110=""),"",IF(AND(T110="Open",B110=RptSup),B110&amp;"|"&amp;COUNTIFS($B$7:B110,B110,$T$7:T110,"Open"),""))</f>
        <v/>
      </c>
    </row>
    <row r="111" customFormat="false" ht="15" hidden="false" customHeight="false" outlineLevel="0" collapsed="false">
      <c r="A111" s="50"/>
      <c r="B111" s="50"/>
      <c r="C111" s="59" t="str">
        <f aca="false">IF(B111="","",IFERROR(INDEX(INV_NAME,MATCH(B111,INV_ID,0)),"CHECK: Supplier ID not found"))</f>
        <v/>
      </c>
      <c r="D111" s="50"/>
      <c r="E111" s="50"/>
      <c r="F111" s="50"/>
      <c r="G111" s="34"/>
      <c r="H111" s="34"/>
      <c r="I111" s="34"/>
      <c r="J111" s="51"/>
      <c r="K111" s="34"/>
      <c r="L111" s="34"/>
      <c r="M111" s="34"/>
      <c r="N111" s="34"/>
      <c r="O111" s="51"/>
      <c r="P111" s="50"/>
      <c r="Q111" s="34"/>
      <c r="R111" s="34"/>
      <c r="S111" s="54" t="str">
        <f aca="false">IF(A111="","",IF(K111="Cancelled","Cancelled",IF(K111="Delivered (self-reported)",IF(N111="Verified","Closed - verified","Delivered - verification pending"),IF(K111="","Not started",K111))))</f>
        <v/>
      </c>
      <c r="T111" s="52" t="str">
        <f aca="false">IF(A111="","",IF(OR(S111="Cancelled",S111="Closed - verified"),"Closed","Open"))</f>
        <v/>
      </c>
      <c r="U111" s="61" t="str">
        <f aca="false">IF(A111="","",IF(AND(T111="Open",ISNUMBER(J111),J111&lt;AsOf),"Overdue",""))</f>
        <v/>
      </c>
      <c r="V111" s="54" t="str">
        <f aca="false">IF(A111="","",IF(F111="Accept",IF(Q111="","CHECK: decision record required - not recorded",IF(COUNTIF(DEC_ID,Q111)=0,"CHECK: Decision ID not found","Decision referenced")),""))</f>
        <v/>
      </c>
      <c r="W111" s="54" t="str">
        <f aca="false">IF(A111="","",IF(COUNTIF(TRT_ID,A111)&gt;1,"CHECK: duplicate ID",IF(B111="","CHECK: Supplier ID missing",IF(COUNTIF(INV_ID,B111)=0,"CHECK: Supplier ID not in inventory",IF(AND(D111&lt;&gt;"",COUNTIF(RSK_ID,D111)=0),"CHECK: Risk ID not found",IF(AND(D111&lt;&gt;"",COUNTIF(RSK_ID,D111)&gt;0,IFERROR(INDEX(RSK_SUP,MATCH(D111,RSK_ID,0)),"")&lt;&gt;B111),"CHECK: Risk belongs to a different supplier",IF(AND(E111&lt;&gt;"",COUNTIF(FND_ID,E111)=0),"CHECK: Finding ID not found",IF(AND(N111="Verified",K111&lt;&gt;"Delivered (self-reported)"),"CHECK: verified but not marked delivered","OK"))))))))</f>
        <v/>
      </c>
      <c r="X111" s="52" t="str">
        <f aca="false">IF(OR(A111="",B111=""),"",IF(AND(T111="Open",B111=RptSup),B111&amp;"|"&amp;COUNTIFS($B$7:B111,B111,$T$7:T111,"Open"),""))</f>
        <v/>
      </c>
    </row>
    <row r="112" customFormat="false" ht="15" hidden="false" customHeight="false" outlineLevel="0" collapsed="false">
      <c r="A112" s="50"/>
      <c r="B112" s="50"/>
      <c r="C112" s="59" t="str">
        <f aca="false">IF(B112="","",IFERROR(INDEX(INV_NAME,MATCH(B112,INV_ID,0)),"CHECK: Supplier ID not found"))</f>
        <v/>
      </c>
      <c r="D112" s="50"/>
      <c r="E112" s="50"/>
      <c r="F112" s="50"/>
      <c r="G112" s="34"/>
      <c r="H112" s="34"/>
      <c r="I112" s="34"/>
      <c r="J112" s="51"/>
      <c r="K112" s="34"/>
      <c r="L112" s="34"/>
      <c r="M112" s="34"/>
      <c r="N112" s="34"/>
      <c r="O112" s="51"/>
      <c r="P112" s="50"/>
      <c r="Q112" s="34"/>
      <c r="R112" s="34"/>
      <c r="S112" s="54" t="str">
        <f aca="false">IF(A112="","",IF(K112="Cancelled","Cancelled",IF(K112="Delivered (self-reported)",IF(N112="Verified","Closed - verified","Delivered - verification pending"),IF(K112="","Not started",K112))))</f>
        <v/>
      </c>
      <c r="T112" s="52" t="str">
        <f aca="false">IF(A112="","",IF(OR(S112="Cancelled",S112="Closed - verified"),"Closed","Open"))</f>
        <v/>
      </c>
      <c r="U112" s="61" t="str">
        <f aca="false">IF(A112="","",IF(AND(T112="Open",ISNUMBER(J112),J112&lt;AsOf),"Overdue",""))</f>
        <v/>
      </c>
      <c r="V112" s="54" t="str">
        <f aca="false">IF(A112="","",IF(F112="Accept",IF(Q112="","CHECK: decision record required - not recorded",IF(COUNTIF(DEC_ID,Q112)=0,"CHECK: Decision ID not found","Decision referenced")),""))</f>
        <v/>
      </c>
      <c r="W112" s="54" t="str">
        <f aca="false">IF(A112="","",IF(COUNTIF(TRT_ID,A112)&gt;1,"CHECK: duplicate ID",IF(B112="","CHECK: Supplier ID missing",IF(COUNTIF(INV_ID,B112)=0,"CHECK: Supplier ID not in inventory",IF(AND(D112&lt;&gt;"",COUNTIF(RSK_ID,D112)=0),"CHECK: Risk ID not found",IF(AND(D112&lt;&gt;"",COUNTIF(RSK_ID,D112)&gt;0,IFERROR(INDEX(RSK_SUP,MATCH(D112,RSK_ID,0)),"")&lt;&gt;B112),"CHECK: Risk belongs to a different supplier",IF(AND(E112&lt;&gt;"",COUNTIF(FND_ID,E112)=0),"CHECK: Finding ID not found",IF(AND(N112="Verified",K112&lt;&gt;"Delivered (self-reported)"),"CHECK: verified but not marked delivered","OK"))))))))</f>
        <v/>
      </c>
      <c r="X112" s="52" t="str">
        <f aca="false">IF(OR(A112="",B112=""),"",IF(AND(T112="Open",B112=RptSup),B112&amp;"|"&amp;COUNTIFS($B$7:B112,B112,$T$7:T112,"Open"),""))</f>
        <v/>
      </c>
    </row>
    <row r="113" customFormat="false" ht="15" hidden="false" customHeight="false" outlineLevel="0" collapsed="false">
      <c r="A113" s="50"/>
      <c r="B113" s="50"/>
      <c r="C113" s="59" t="str">
        <f aca="false">IF(B113="","",IFERROR(INDEX(INV_NAME,MATCH(B113,INV_ID,0)),"CHECK: Supplier ID not found"))</f>
        <v/>
      </c>
      <c r="D113" s="50"/>
      <c r="E113" s="50"/>
      <c r="F113" s="50"/>
      <c r="G113" s="34"/>
      <c r="H113" s="34"/>
      <c r="I113" s="34"/>
      <c r="J113" s="51"/>
      <c r="K113" s="34"/>
      <c r="L113" s="34"/>
      <c r="M113" s="34"/>
      <c r="N113" s="34"/>
      <c r="O113" s="51"/>
      <c r="P113" s="50"/>
      <c r="Q113" s="34"/>
      <c r="R113" s="34"/>
      <c r="S113" s="54" t="str">
        <f aca="false">IF(A113="","",IF(K113="Cancelled","Cancelled",IF(K113="Delivered (self-reported)",IF(N113="Verified","Closed - verified","Delivered - verification pending"),IF(K113="","Not started",K113))))</f>
        <v/>
      </c>
      <c r="T113" s="52" t="str">
        <f aca="false">IF(A113="","",IF(OR(S113="Cancelled",S113="Closed - verified"),"Closed","Open"))</f>
        <v/>
      </c>
      <c r="U113" s="61" t="str">
        <f aca="false">IF(A113="","",IF(AND(T113="Open",ISNUMBER(J113),J113&lt;AsOf),"Overdue",""))</f>
        <v/>
      </c>
      <c r="V113" s="54" t="str">
        <f aca="false">IF(A113="","",IF(F113="Accept",IF(Q113="","CHECK: decision record required - not recorded",IF(COUNTIF(DEC_ID,Q113)=0,"CHECK: Decision ID not found","Decision referenced")),""))</f>
        <v/>
      </c>
      <c r="W113" s="54" t="str">
        <f aca="false">IF(A113="","",IF(COUNTIF(TRT_ID,A113)&gt;1,"CHECK: duplicate ID",IF(B113="","CHECK: Supplier ID missing",IF(COUNTIF(INV_ID,B113)=0,"CHECK: Supplier ID not in inventory",IF(AND(D113&lt;&gt;"",COUNTIF(RSK_ID,D113)=0),"CHECK: Risk ID not found",IF(AND(D113&lt;&gt;"",COUNTIF(RSK_ID,D113)&gt;0,IFERROR(INDEX(RSK_SUP,MATCH(D113,RSK_ID,0)),"")&lt;&gt;B113),"CHECK: Risk belongs to a different supplier",IF(AND(E113&lt;&gt;"",COUNTIF(FND_ID,E113)=0),"CHECK: Finding ID not found",IF(AND(N113="Verified",K113&lt;&gt;"Delivered (self-reported)"),"CHECK: verified but not marked delivered","OK"))))))))</f>
        <v/>
      </c>
      <c r="X113" s="52" t="str">
        <f aca="false">IF(OR(A113="",B113=""),"",IF(AND(T113="Open",B113=RptSup),B113&amp;"|"&amp;COUNTIFS($B$7:B113,B113,$T$7:T113,"Open"),""))</f>
        <v/>
      </c>
    </row>
    <row r="114" customFormat="false" ht="15" hidden="false" customHeight="false" outlineLevel="0" collapsed="false">
      <c r="A114" s="50"/>
      <c r="B114" s="50"/>
      <c r="C114" s="59" t="str">
        <f aca="false">IF(B114="","",IFERROR(INDEX(INV_NAME,MATCH(B114,INV_ID,0)),"CHECK: Supplier ID not found"))</f>
        <v/>
      </c>
      <c r="D114" s="50"/>
      <c r="E114" s="50"/>
      <c r="F114" s="50"/>
      <c r="G114" s="34"/>
      <c r="H114" s="34"/>
      <c r="I114" s="34"/>
      <c r="J114" s="51"/>
      <c r="K114" s="34"/>
      <c r="L114" s="34"/>
      <c r="M114" s="34"/>
      <c r="N114" s="34"/>
      <c r="O114" s="51"/>
      <c r="P114" s="50"/>
      <c r="Q114" s="34"/>
      <c r="R114" s="34"/>
      <c r="S114" s="54" t="str">
        <f aca="false">IF(A114="","",IF(K114="Cancelled","Cancelled",IF(K114="Delivered (self-reported)",IF(N114="Verified","Closed - verified","Delivered - verification pending"),IF(K114="","Not started",K114))))</f>
        <v/>
      </c>
      <c r="T114" s="52" t="str">
        <f aca="false">IF(A114="","",IF(OR(S114="Cancelled",S114="Closed - verified"),"Closed","Open"))</f>
        <v/>
      </c>
      <c r="U114" s="61" t="str">
        <f aca="false">IF(A114="","",IF(AND(T114="Open",ISNUMBER(J114),J114&lt;AsOf),"Overdue",""))</f>
        <v/>
      </c>
      <c r="V114" s="54" t="str">
        <f aca="false">IF(A114="","",IF(F114="Accept",IF(Q114="","CHECK: decision record required - not recorded",IF(COUNTIF(DEC_ID,Q114)=0,"CHECK: Decision ID not found","Decision referenced")),""))</f>
        <v/>
      </c>
      <c r="W114" s="54" t="str">
        <f aca="false">IF(A114="","",IF(COUNTIF(TRT_ID,A114)&gt;1,"CHECK: duplicate ID",IF(B114="","CHECK: Supplier ID missing",IF(COUNTIF(INV_ID,B114)=0,"CHECK: Supplier ID not in inventory",IF(AND(D114&lt;&gt;"",COUNTIF(RSK_ID,D114)=0),"CHECK: Risk ID not found",IF(AND(D114&lt;&gt;"",COUNTIF(RSK_ID,D114)&gt;0,IFERROR(INDEX(RSK_SUP,MATCH(D114,RSK_ID,0)),"")&lt;&gt;B114),"CHECK: Risk belongs to a different supplier",IF(AND(E114&lt;&gt;"",COUNTIF(FND_ID,E114)=0),"CHECK: Finding ID not found",IF(AND(N114="Verified",K114&lt;&gt;"Delivered (self-reported)"),"CHECK: verified but not marked delivered","OK"))))))))</f>
        <v/>
      </c>
      <c r="X114" s="52" t="str">
        <f aca="false">IF(OR(A114="",B114=""),"",IF(AND(T114="Open",B114=RptSup),B114&amp;"|"&amp;COUNTIFS($B$7:B114,B114,$T$7:T114,"Open"),""))</f>
        <v/>
      </c>
    </row>
    <row r="115" customFormat="false" ht="15" hidden="false" customHeight="false" outlineLevel="0" collapsed="false">
      <c r="A115" s="50"/>
      <c r="B115" s="50"/>
      <c r="C115" s="59" t="str">
        <f aca="false">IF(B115="","",IFERROR(INDEX(INV_NAME,MATCH(B115,INV_ID,0)),"CHECK: Supplier ID not found"))</f>
        <v/>
      </c>
      <c r="D115" s="50"/>
      <c r="E115" s="50"/>
      <c r="F115" s="50"/>
      <c r="G115" s="34"/>
      <c r="H115" s="34"/>
      <c r="I115" s="34"/>
      <c r="J115" s="51"/>
      <c r="K115" s="34"/>
      <c r="L115" s="34"/>
      <c r="M115" s="34"/>
      <c r="N115" s="34"/>
      <c r="O115" s="51"/>
      <c r="P115" s="50"/>
      <c r="Q115" s="34"/>
      <c r="R115" s="34"/>
      <c r="S115" s="54" t="str">
        <f aca="false">IF(A115="","",IF(K115="Cancelled","Cancelled",IF(K115="Delivered (self-reported)",IF(N115="Verified","Closed - verified","Delivered - verification pending"),IF(K115="","Not started",K115))))</f>
        <v/>
      </c>
      <c r="T115" s="52" t="str">
        <f aca="false">IF(A115="","",IF(OR(S115="Cancelled",S115="Closed - verified"),"Closed","Open"))</f>
        <v/>
      </c>
      <c r="U115" s="61" t="str">
        <f aca="false">IF(A115="","",IF(AND(T115="Open",ISNUMBER(J115),J115&lt;AsOf),"Overdue",""))</f>
        <v/>
      </c>
      <c r="V115" s="54" t="str">
        <f aca="false">IF(A115="","",IF(F115="Accept",IF(Q115="","CHECK: decision record required - not recorded",IF(COUNTIF(DEC_ID,Q115)=0,"CHECK: Decision ID not found","Decision referenced")),""))</f>
        <v/>
      </c>
      <c r="W115" s="54" t="str">
        <f aca="false">IF(A115="","",IF(COUNTIF(TRT_ID,A115)&gt;1,"CHECK: duplicate ID",IF(B115="","CHECK: Supplier ID missing",IF(COUNTIF(INV_ID,B115)=0,"CHECK: Supplier ID not in inventory",IF(AND(D115&lt;&gt;"",COUNTIF(RSK_ID,D115)=0),"CHECK: Risk ID not found",IF(AND(D115&lt;&gt;"",COUNTIF(RSK_ID,D115)&gt;0,IFERROR(INDEX(RSK_SUP,MATCH(D115,RSK_ID,0)),"")&lt;&gt;B115),"CHECK: Risk belongs to a different supplier",IF(AND(E115&lt;&gt;"",COUNTIF(FND_ID,E115)=0),"CHECK: Finding ID not found",IF(AND(N115="Verified",K115&lt;&gt;"Delivered (self-reported)"),"CHECK: verified but not marked delivered","OK"))))))))</f>
        <v/>
      </c>
      <c r="X115" s="52" t="str">
        <f aca="false">IF(OR(A115="",B115=""),"",IF(AND(T115="Open",B115=RptSup),B115&amp;"|"&amp;COUNTIFS($B$7:B115,B115,$T$7:T115,"Open"),""))</f>
        <v/>
      </c>
    </row>
    <row r="116" customFormat="false" ht="15" hidden="false" customHeight="false" outlineLevel="0" collapsed="false">
      <c r="A116" s="50"/>
      <c r="B116" s="50"/>
      <c r="C116" s="59" t="str">
        <f aca="false">IF(B116="","",IFERROR(INDEX(INV_NAME,MATCH(B116,INV_ID,0)),"CHECK: Supplier ID not found"))</f>
        <v/>
      </c>
      <c r="D116" s="50"/>
      <c r="E116" s="50"/>
      <c r="F116" s="50"/>
      <c r="G116" s="34"/>
      <c r="H116" s="34"/>
      <c r="I116" s="34"/>
      <c r="J116" s="51"/>
      <c r="K116" s="34"/>
      <c r="L116" s="34"/>
      <c r="M116" s="34"/>
      <c r="N116" s="34"/>
      <c r="O116" s="51"/>
      <c r="P116" s="50"/>
      <c r="Q116" s="34"/>
      <c r="R116" s="34"/>
      <c r="S116" s="54" t="str">
        <f aca="false">IF(A116="","",IF(K116="Cancelled","Cancelled",IF(K116="Delivered (self-reported)",IF(N116="Verified","Closed - verified","Delivered - verification pending"),IF(K116="","Not started",K116))))</f>
        <v/>
      </c>
      <c r="T116" s="52" t="str">
        <f aca="false">IF(A116="","",IF(OR(S116="Cancelled",S116="Closed - verified"),"Closed","Open"))</f>
        <v/>
      </c>
      <c r="U116" s="61" t="str">
        <f aca="false">IF(A116="","",IF(AND(T116="Open",ISNUMBER(J116),J116&lt;AsOf),"Overdue",""))</f>
        <v/>
      </c>
      <c r="V116" s="54" t="str">
        <f aca="false">IF(A116="","",IF(F116="Accept",IF(Q116="","CHECK: decision record required - not recorded",IF(COUNTIF(DEC_ID,Q116)=0,"CHECK: Decision ID not found","Decision referenced")),""))</f>
        <v/>
      </c>
      <c r="W116" s="54" t="str">
        <f aca="false">IF(A116="","",IF(COUNTIF(TRT_ID,A116)&gt;1,"CHECK: duplicate ID",IF(B116="","CHECK: Supplier ID missing",IF(COUNTIF(INV_ID,B116)=0,"CHECK: Supplier ID not in inventory",IF(AND(D116&lt;&gt;"",COUNTIF(RSK_ID,D116)=0),"CHECK: Risk ID not found",IF(AND(D116&lt;&gt;"",COUNTIF(RSK_ID,D116)&gt;0,IFERROR(INDEX(RSK_SUP,MATCH(D116,RSK_ID,0)),"")&lt;&gt;B116),"CHECK: Risk belongs to a different supplier",IF(AND(E116&lt;&gt;"",COUNTIF(FND_ID,E116)=0),"CHECK: Finding ID not found",IF(AND(N116="Verified",K116&lt;&gt;"Delivered (self-reported)"),"CHECK: verified but not marked delivered","OK"))))))))</f>
        <v/>
      </c>
      <c r="X116" s="52" t="str">
        <f aca="false">IF(OR(A116="",B116=""),"",IF(AND(T116="Open",B116=RptSup),B116&amp;"|"&amp;COUNTIFS($B$7:B116,B116,$T$7:T116,"Open"),""))</f>
        <v/>
      </c>
    </row>
    <row r="117" customFormat="false" ht="15" hidden="false" customHeight="false" outlineLevel="0" collapsed="false">
      <c r="A117" s="50"/>
      <c r="B117" s="50"/>
      <c r="C117" s="59" t="str">
        <f aca="false">IF(B117="","",IFERROR(INDEX(INV_NAME,MATCH(B117,INV_ID,0)),"CHECK: Supplier ID not found"))</f>
        <v/>
      </c>
      <c r="D117" s="50"/>
      <c r="E117" s="50"/>
      <c r="F117" s="50"/>
      <c r="G117" s="34"/>
      <c r="H117" s="34"/>
      <c r="I117" s="34"/>
      <c r="J117" s="51"/>
      <c r="K117" s="34"/>
      <c r="L117" s="34"/>
      <c r="M117" s="34"/>
      <c r="N117" s="34"/>
      <c r="O117" s="51"/>
      <c r="P117" s="50"/>
      <c r="Q117" s="34"/>
      <c r="R117" s="34"/>
      <c r="S117" s="54" t="str">
        <f aca="false">IF(A117="","",IF(K117="Cancelled","Cancelled",IF(K117="Delivered (self-reported)",IF(N117="Verified","Closed - verified","Delivered - verification pending"),IF(K117="","Not started",K117))))</f>
        <v/>
      </c>
      <c r="T117" s="52" t="str">
        <f aca="false">IF(A117="","",IF(OR(S117="Cancelled",S117="Closed - verified"),"Closed","Open"))</f>
        <v/>
      </c>
      <c r="U117" s="61" t="str">
        <f aca="false">IF(A117="","",IF(AND(T117="Open",ISNUMBER(J117),J117&lt;AsOf),"Overdue",""))</f>
        <v/>
      </c>
      <c r="V117" s="54" t="str">
        <f aca="false">IF(A117="","",IF(F117="Accept",IF(Q117="","CHECK: decision record required - not recorded",IF(COUNTIF(DEC_ID,Q117)=0,"CHECK: Decision ID not found","Decision referenced")),""))</f>
        <v/>
      </c>
      <c r="W117" s="54" t="str">
        <f aca="false">IF(A117="","",IF(COUNTIF(TRT_ID,A117)&gt;1,"CHECK: duplicate ID",IF(B117="","CHECK: Supplier ID missing",IF(COUNTIF(INV_ID,B117)=0,"CHECK: Supplier ID not in inventory",IF(AND(D117&lt;&gt;"",COUNTIF(RSK_ID,D117)=0),"CHECK: Risk ID not found",IF(AND(D117&lt;&gt;"",COUNTIF(RSK_ID,D117)&gt;0,IFERROR(INDEX(RSK_SUP,MATCH(D117,RSK_ID,0)),"")&lt;&gt;B117),"CHECK: Risk belongs to a different supplier",IF(AND(E117&lt;&gt;"",COUNTIF(FND_ID,E117)=0),"CHECK: Finding ID not found",IF(AND(N117="Verified",K117&lt;&gt;"Delivered (self-reported)"),"CHECK: verified but not marked delivered","OK"))))))))</f>
        <v/>
      </c>
      <c r="X117" s="52" t="str">
        <f aca="false">IF(OR(A117="",B117=""),"",IF(AND(T117="Open",B117=RptSup),B117&amp;"|"&amp;COUNTIFS($B$7:B117,B117,$T$7:T117,"Open"),""))</f>
        <v/>
      </c>
    </row>
    <row r="118" customFormat="false" ht="15" hidden="false" customHeight="false" outlineLevel="0" collapsed="false">
      <c r="A118" s="50"/>
      <c r="B118" s="50"/>
      <c r="C118" s="59" t="str">
        <f aca="false">IF(B118="","",IFERROR(INDEX(INV_NAME,MATCH(B118,INV_ID,0)),"CHECK: Supplier ID not found"))</f>
        <v/>
      </c>
      <c r="D118" s="50"/>
      <c r="E118" s="50"/>
      <c r="F118" s="50"/>
      <c r="G118" s="34"/>
      <c r="H118" s="34"/>
      <c r="I118" s="34"/>
      <c r="J118" s="51"/>
      <c r="K118" s="34"/>
      <c r="L118" s="34"/>
      <c r="M118" s="34"/>
      <c r="N118" s="34"/>
      <c r="O118" s="51"/>
      <c r="P118" s="50"/>
      <c r="Q118" s="34"/>
      <c r="R118" s="34"/>
      <c r="S118" s="54" t="str">
        <f aca="false">IF(A118="","",IF(K118="Cancelled","Cancelled",IF(K118="Delivered (self-reported)",IF(N118="Verified","Closed - verified","Delivered - verification pending"),IF(K118="","Not started",K118))))</f>
        <v/>
      </c>
      <c r="T118" s="52" t="str">
        <f aca="false">IF(A118="","",IF(OR(S118="Cancelled",S118="Closed - verified"),"Closed","Open"))</f>
        <v/>
      </c>
      <c r="U118" s="61" t="str">
        <f aca="false">IF(A118="","",IF(AND(T118="Open",ISNUMBER(J118),J118&lt;AsOf),"Overdue",""))</f>
        <v/>
      </c>
      <c r="V118" s="54" t="str">
        <f aca="false">IF(A118="","",IF(F118="Accept",IF(Q118="","CHECK: decision record required - not recorded",IF(COUNTIF(DEC_ID,Q118)=0,"CHECK: Decision ID not found","Decision referenced")),""))</f>
        <v/>
      </c>
      <c r="W118" s="54" t="str">
        <f aca="false">IF(A118="","",IF(COUNTIF(TRT_ID,A118)&gt;1,"CHECK: duplicate ID",IF(B118="","CHECK: Supplier ID missing",IF(COUNTIF(INV_ID,B118)=0,"CHECK: Supplier ID not in inventory",IF(AND(D118&lt;&gt;"",COUNTIF(RSK_ID,D118)=0),"CHECK: Risk ID not found",IF(AND(D118&lt;&gt;"",COUNTIF(RSK_ID,D118)&gt;0,IFERROR(INDEX(RSK_SUP,MATCH(D118,RSK_ID,0)),"")&lt;&gt;B118),"CHECK: Risk belongs to a different supplier",IF(AND(E118&lt;&gt;"",COUNTIF(FND_ID,E118)=0),"CHECK: Finding ID not found",IF(AND(N118="Verified",K118&lt;&gt;"Delivered (self-reported)"),"CHECK: verified but not marked delivered","OK"))))))))</f>
        <v/>
      </c>
      <c r="X118" s="52" t="str">
        <f aca="false">IF(OR(A118="",B118=""),"",IF(AND(T118="Open",B118=RptSup),B118&amp;"|"&amp;COUNTIFS($B$7:B118,B118,$T$7:T118,"Open"),""))</f>
        <v/>
      </c>
    </row>
    <row r="119" customFormat="false" ht="15" hidden="false" customHeight="false" outlineLevel="0" collapsed="false">
      <c r="A119" s="50"/>
      <c r="B119" s="50"/>
      <c r="C119" s="59" t="str">
        <f aca="false">IF(B119="","",IFERROR(INDEX(INV_NAME,MATCH(B119,INV_ID,0)),"CHECK: Supplier ID not found"))</f>
        <v/>
      </c>
      <c r="D119" s="50"/>
      <c r="E119" s="50"/>
      <c r="F119" s="50"/>
      <c r="G119" s="34"/>
      <c r="H119" s="34"/>
      <c r="I119" s="34"/>
      <c r="J119" s="51"/>
      <c r="K119" s="34"/>
      <c r="L119" s="34"/>
      <c r="M119" s="34"/>
      <c r="N119" s="34"/>
      <c r="O119" s="51"/>
      <c r="P119" s="50"/>
      <c r="Q119" s="34"/>
      <c r="R119" s="34"/>
      <c r="S119" s="54" t="str">
        <f aca="false">IF(A119="","",IF(K119="Cancelled","Cancelled",IF(K119="Delivered (self-reported)",IF(N119="Verified","Closed - verified","Delivered - verification pending"),IF(K119="","Not started",K119))))</f>
        <v/>
      </c>
      <c r="T119" s="52" t="str">
        <f aca="false">IF(A119="","",IF(OR(S119="Cancelled",S119="Closed - verified"),"Closed","Open"))</f>
        <v/>
      </c>
      <c r="U119" s="61" t="str">
        <f aca="false">IF(A119="","",IF(AND(T119="Open",ISNUMBER(J119),J119&lt;AsOf),"Overdue",""))</f>
        <v/>
      </c>
      <c r="V119" s="54" t="str">
        <f aca="false">IF(A119="","",IF(F119="Accept",IF(Q119="","CHECK: decision record required - not recorded",IF(COUNTIF(DEC_ID,Q119)=0,"CHECK: Decision ID not found","Decision referenced")),""))</f>
        <v/>
      </c>
      <c r="W119" s="54" t="str">
        <f aca="false">IF(A119="","",IF(COUNTIF(TRT_ID,A119)&gt;1,"CHECK: duplicate ID",IF(B119="","CHECK: Supplier ID missing",IF(COUNTIF(INV_ID,B119)=0,"CHECK: Supplier ID not in inventory",IF(AND(D119&lt;&gt;"",COUNTIF(RSK_ID,D119)=0),"CHECK: Risk ID not found",IF(AND(D119&lt;&gt;"",COUNTIF(RSK_ID,D119)&gt;0,IFERROR(INDEX(RSK_SUP,MATCH(D119,RSK_ID,0)),"")&lt;&gt;B119),"CHECK: Risk belongs to a different supplier",IF(AND(E119&lt;&gt;"",COUNTIF(FND_ID,E119)=0),"CHECK: Finding ID not found",IF(AND(N119="Verified",K119&lt;&gt;"Delivered (self-reported)"),"CHECK: verified but not marked delivered","OK"))))))))</f>
        <v/>
      </c>
      <c r="X119" s="52" t="str">
        <f aca="false">IF(OR(A119="",B119=""),"",IF(AND(T119="Open",B119=RptSup),B119&amp;"|"&amp;COUNTIFS($B$7:B119,B119,$T$7:T119,"Open"),""))</f>
        <v/>
      </c>
    </row>
    <row r="120" customFormat="false" ht="15" hidden="false" customHeight="false" outlineLevel="0" collapsed="false">
      <c r="A120" s="50"/>
      <c r="B120" s="50"/>
      <c r="C120" s="59" t="str">
        <f aca="false">IF(B120="","",IFERROR(INDEX(INV_NAME,MATCH(B120,INV_ID,0)),"CHECK: Supplier ID not found"))</f>
        <v/>
      </c>
      <c r="D120" s="50"/>
      <c r="E120" s="50"/>
      <c r="F120" s="50"/>
      <c r="G120" s="34"/>
      <c r="H120" s="34"/>
      <c r="I120" s="34"/>
      <c r="J120" s="51"/>
      <c r="K120" s="34"/>
      <c r="L120" s="34"/>
      <c r="M120" s="34"/>
      <c r="N120" s="34"/>
      <c r="O120" s="51"/>
      <c r="P120" s="50"/>
      <c r="Q120" s="34"/>
      <c r="R120" s="34"/>
      <c r="S120" s="54" t="str">
        <f aca="false">IF(A120="","",IF(K120="Cancelled","Cancelled",IF(K120="Delivered (self-reported)",IF(N120="Verified","Closed - verified","Delivered - verification pending"),IF(K120="","Not started",K120))))</f>
        <v/>
      </c>
      <c r="T120" s="52" t="str">
        <f aca="false">IF(A120="","",IF(OR(S120="Cancelled",S120="Closed - verified"),"Closed","Open"))</f>
        <v/>
      </c>
      <c r="U120" s="61" t="str">
        <f aca="false">IF(A120="","",IF(AND(T120="Open",ISNUMBER(J120),J120&lt;AsOf),"Overdue",""))</f>
        <v/>
      </c>
      <c r="V120" s="54" t="str">
        <f aca="false">IF(A120="","",IF(F120="Accept",IF(Q120="","CHECK: decision record required - not recorded",IF(COUNTIF(DEC_ID,Q120)=0,"CHECK: Decision ID not found","Decision referenced")),""))</f>
        <v/>
      </c>
      <c r="W120" s="54" t="str">
        <f aca="false">IF(A120="","",IF(COUNTIF(TRT_ID,A120)&gt;1,"CHECK: duplicate ID",IF(B120="","CHECK: Supplier ID missing",IF(COUNTIF(INV_ID,B120)=0,"CHECK: Supplier ID not in inventory",IF(AND(D120&lt;&gt;"",COUNTIF(RSK_ID,D120)=0),"CHECK: Risk ID not found",IF(AND(D120&lt;&gt;"",COUNTIF(RSK_ID,D120)&gt;0,IFERROR(INDEX(RSK_SUP,MATCH(D120,RSK_ID,0)),"")&lt;&gt;B120),"CHECK: Risk belongs to a different supplier",IF(AND(E120&lt;&gt;"",COUNTIF(FND_ID,E120)=0),"CHECK: Finding ID not found",IF(AND(N120="Verified",K120&lt;&gt;"Delivered (self-reported)"),"CHECK: verified but not marked delivered","OK"))))))))</f>
        <v/>
      </c>
      <c r="X120" s="52" t="str">
        <f aca="false">IF(OR(A120="",B120=""),"",IF(AND(T120="Open",B120=RptSup),B120&amp;"|"&amp;COUNTIFS($B$7:B120,B120,$T$7:T120,"Open"),""))</f>
        <v/>
      </c>
    </row>
    <row r="121" customFormat="false" ht="15" hidden="false" customHeight="false" outlineLevel="0" collapsed="false">
      <c r="A121" s="50"/>
      <c r="B121" s="50"/>
      <c r="C121" s="59" t="str">
        <f aca="false">IF(B121="","",IFERROR(INDEX(INV_NAME,MATCH(B121,INV_ID,0)),"CHECK: Supplier ID not found"))</f>
        <v/>
      </c>
      <c r="D121" s="50"/>
      <c r="E121" s="50"/>
      <c r="F121" s="50"/>
      <c r="G121" s="34"/>
      <c r="H121" s="34"/>
      <c r="I121" s="34"/>
      <c r="J121" s="51"/>
      <c r="K121" s="34"/>
      <c r="L121" s="34"/>
      <c r="M121" s="34"/>
      <c r="N121" s="34"/>
      <c r="O121" s="51"/>
      <c r="P121" s="50"/>
      <c r="Q121" s="34"/>
      <c r="R121" s="34"/>
      <c r="S121" s="54" t="str">
        <f aca="false">IF(A121="","",IF(K121="Cancelled","Cancelled",IF(K121="Delivered (self-reported)",IF(N121="Verified","Closed - verified","Delivered - verification pending"),IF(K121="","Not started",K121))))</f>
        <v/>
      </c>
      <c r="T121" s="52" t="str">
        <f aca="false">IF(A121="","",IF(OR(S121="Cancelled",S121="Closed - verified"),"Closed","Open"))</f>
        <v/>
      </c>
      <c r="U121" s="61" t="str">
        <f aca="false">IF(A121="","",IF(AND(T121="Open",ISNUMBER(J121),J121&lt;AsOf),"Overdue",""))</f>
        <v/>
      </c>
      <c r="V121" s="54" t="str">
        <f aca="false">IF(A121="","",IF(F121="Accept",IF(Q121="","CHECK: decision record required - not recorded",IF(COUNTIF(DEC_ID,Q121)=0,"CHECK: Decision ID not found","Decision referenced")),""))</f>
        <v/>
      </c>
      <c r="W121" s="54" t="str">
        <f aca="false">IF(A121="","",IF(COUNTIF(TRT_ID,A121)&gt;1,"CHECK: duplicate ID",IF(B121="","CHECK: Supplier ID missing",IF(COUNTIF(INV_ID,B121)=0,"CHECK: Supplier ID not in inventory",IF(AND(D121&lt;&gt;"",COUNTIF(RSK_ID,D121)=0),"CHECK: Risk ID not found",IF(AND(D121&lt;&gt;"",COUNTIF(RSK_ID,D121)&gt;0,IFERROR(INDEX(RSK_SUP,MATCH(D121,RSK_ID,0)),"")&lt;&gt;B121),"CHECK: Risk belongs to a different supplier",IF(AND(E121&lt;&gt;"",COUNTIF(FND_ID,E121)=0),"CHECK: Finding ID not found",IF(AND(N121="Verified",K121&lt;&gt;"Delivered (self-reported)"),"CHECK: verified but not marked delivered","OK"))))))))</f>
        <v/>
      </c>
      <c r="X121" s="52" t="str">
        <f aca="false">IF(OR(A121="",B121=""),"",IF(AND(T121="Open",B121=RptSup),B121&amp;"|"&amp;COUNTIFS($B$7:B121,B121,$T$7:T121,"Open"),""))</f>
        <v/>
      </c>
    </row>
    <row r="122" customFormat="false" ht="15" hidden="false" customHeight="false" outlineLevel="0" collapsed="false">
      <c r="A122" s="50"/>
      <c r="B122" s="50"/>
      <c r="C122" s="59" t="str">
        <f aca="false">IF(B122="","",IFERROR(INDEX(INV_NAME,MATCH(B122,INV_ID,0)),"CHECK: Supplier ID not found"))</f>
        <v/>
      </c>
      <c r="D122" s="50"/>
      <c r="E122" s="50"/>
      <c r="F122" s="50"/>
      <c r="G122" s="34"/>
      <c r="H122" s="34"/>
      <c r="I122" s="34"/>
      <c r="J122" s="51"/>
      <c r="K122" s="34"/>
      <c r="L122" s="34"/>
      <c r="M122" s="34"/>
      <c r="N122" s="34"/>
      <c r="O122" s="51"/>
      <c r="P122" s="50"/>
      <c r="Q122" s="34"/>
      <c r="R122" s="34"/>
      <c r="S122" s="54" t="str">
        <f aca="false">IF(A122="","",IF(K122="Cancelled","Cancelled",IF(K122="Delivered (self-reported)",IF(N122="Verified","Closed - verified","Delivered - verification pending"),IF(K122="","Not started",K122))))</f>
        <v/>
      </c>
      <c r="T122" s="52" t="str">
        <f aca="false">IF(A122="","",IF(OR(S122="Cancelled",S122="Closed - verified"),"Closed","Open"))</f>
        <v/>
      </c>
      <c r="U122" s="61" t="str">
        <f aca="false">IF(A122="","",IF(AND(T122="Open",ISNUMBER(J122),J122&lt;AsOf),"Overdue",""))</f>
        <v/>
      </c>
      <c r="V122" s="54" t="str">
        <f aca="false">IF(A122="","",IF(F122="Accept",IF(Q122="","CHECK: decision record required - not recorded",IF(COUNTIF(DEC_ID,Q122)=0,"CHECK: Decision ID not found","Decision referenced")),""))</f>
        <v/>
      </c>
      <c r="W122" s="54" t="str">
        <f aca="false">IF(A122="","",IF(COUNTIF(TRT_ID,A122)&gt;1,"CHECK: duplicate ID",IF(B122="","CHECK: Supplier ID missing",IF(COUNTIF(INV_ID,B122)=0,"CHECK: Supplier ID not in inventory",IF(AND(D122&lt;&gt;"",COUNTIF(RSK_ID,D122)=0),"CHECK: Risk ID not found",IF(AND(D122&lt;&gt;"",COUNTIF(RSK_ID,D122)&gt;0,IFERROR(INDEX(RSK_SUP,MATCH(D122,RSK_ID,0)),"")&lt;&gt;B122),"CHECK: Risk belongs to a different supplier",IF(AND(E122&lt;&gt;"",COUNTIF(FND_ID,E122)=0),"CHECK: Finding ID not found",IF(AND(N122="Verified",K122&lt;&gt;"Delivered (self-reported)"),"CHECK: verified but not marked delivered","OK"))))))))</f>
        <v/>
      </c>
      <c r="X122" s="52" t="str">
        <f aca="false">IF(OR(A122="",B122=""),"",IF(AND(T122="Open",B122=RptSup),B122&amp;"|"&amp;COUNTIFS($B$7:B122,B122,$T$7:T122,"Open"),""))</f>
        <v/>
      </c>
    </row>
    <row r="123" customFormat="false" ht="15" hidden="false" customHeight="false" outlineLevel="0" collapsed="false">
      <c r="A123" s="50"/>
      <c r="B123" s="50"/>
      <c r="C123" s="59" t="str">
        <f aca="false">IF(B123="","",IFERROR(INDEX(INV_NAME,MATCH(B123,INV_ID,0)),"CHECK: Supplier ID not found"))</f>
        <v/>
      </c>
      <c r="D123" s="50"/>
      <c r="E123" s="50"/>
      <c r="F123" s="50"/>
      <c r="G123" s="34"/>
      <c r="H123" s="34"/>
      <c r="I123" s="34"/>
      <c r="J123" s="51"/>
      <c r="K123" s="34"/>
      <c r="L123" s="34"/>
      <c r="M123" s="34"/>
      <c r="N123" s="34"/>
      <c r="O123" s="51"/>
      <c r="P123" s="50"/>
      <c r="Q123" s="34"/>
      <c r="R123" s="34"/>
      <c r="S123" s="54" t="str">
        <f aca="false">IF(A123="","",IF(K123="Cancelled","Cancelled",IF(K123="Delivered (self-reported)",IF(N123="Verified","Closed - verified","Delivered - verification pending"),IF(K123="","Not started",K123))))</f>
        <v/>
      </c>
      <c r="T123" s="52" t="str">
        <f aca="false">IF(A123="","",IF(OR(S123="Cancelled",S123="Closed - verified"),"Closed","Open"))</f>
        <v/>
      </c>
      <c r="U123" s="61" t="str">
        <f aca="false">IF(A123="","",IF(AND(T123="Open",ISNUMBER(J123),J123&lt;AsOf),"Overdue",""))</f>
        <v/>
      </c>
      <c r="V123" s="54" t="str">
        <f aca="false">IF(A123="","",IF(F123="Accept",IF(Q123="","CHECK: decision record required - not recorded",IF(COUNTIF(DEC_ID,Q123)=0,"CHECK: Decision ID not found","Decision referenced")),""))</f>
        <v/>
      </c>
      <c r="W123" s="54" t="str">
        <f aca="false">IF(A123="","",IF(COUNTIF(TRT_ID,A123)&gt;1,"CHECK: duplicate ID",IF(B123="","CHECK: Supplier ID missing",IF(COUNTIF(INV_ID,B123)=0,"CHECK: Supplier ID not in inventory",IF(AND(D123&lt;&gt;"",COUNTIF(RSK_ID,D123)=0),"CHECK: Risk ID not found",IF(AND(D123&lt;&gt;"",COUNTIF(RSK_ID,D123)&gt;0,IFERROR(INDEX(RSK_SUP,MATCH(D123,RSK_ID,0)),"")&lt;&gt;B123),"CHECK: Risk belongs to a different supplier",IF(AND(E123&lt;&gt;"",COUNTIF(FND_ID,E123)=0),"CHECK: Finding ID not found",IF(AND(N123="Verified",K123&lt;&gt;"Delivered (self-reported)"),"CHECK: verified but not marked delivered","OK"))))))))</f>
        <v/>
      </c>
      <c r="X123" s="52" t="str">
        <f aca="false">IF(OR(A123="",B123=""),"",IF(AND(T123="Open",B123=RptSup),B123&amp;"|"&amp;COUNTIFS($B$7:B123,B123,$T$7:T123,"Open"),""))</f>
        <v/>
      </c>
    </row>
    <row r="124" customFormat="false" ht="15" hidden="false" customHeight="false" outlineLevel="0" collapsed="false">
      <c r="A124" s="50"/>
      <c r="B124" s="50"/>
      <c r="C124" s="59" t="str">
        <f aca="false">IF(B124="","",IFERROR(INDEX(INV_NAME,MATCH(B124,INV_ID,0)),"CHECK: Supplier ID not found"))</f>
        <v/>
      </c>
      <c r="D124" s="50"/>
      <c r="E124" s="50"/>
      <c r="F124" s="50"/>
      <c r="G124" s="34"/>
      <c r="H124" s="34"/>
      <c r="I124" s="34"/>
      <c r="J124" s="51"/>
      <c r="K124" s="34"/>
      <c r="L124" s="34"/>
      <c r="M124" s="34"/>
      <c r="N124" s="34"/>
      <c r="O124" s="51"/>
      <c r="P124" s="50"/>
      <c r="Q124" s="34"/>
      <c r="R124" s="34"/>
      <c r="S124" s="54" t="str">
        <f aca="false">IF(A124="","",IF(K124="Cancelled","Cancelled",IF(K124="Delivered (self-reported)",IF(N124="Verified","Closed - verified","Delivered - verification pending"),IF(K124="","Not started",K124))))</f>
        <v/>
      </c>
      <c r="T124" s="52" t="str">
        <f aca="false">IF(A124="","",IF(OR(S124="Cancelled",S124="Closed - verified"),"Closed","Open"))</f>
        <v/>
      </c>
      <c r="U124" s="61" t="str">
        <f aca="false">IF(A124="","",IF(AND(T124="Open",ISNUMBER(J124),J124&lt;AsOf),"Overdue",""))</f>
        <v/>
      </c>
      <c r="V124" s="54" t="str">
        <f aca="false">IF(A124="","",IF(F124="Accept",IF(Q124="","CHECK: decision record required - not recorded",IF(COUNTIF(DEC_ID,Q124)=0,"CHECK: Decision ID not found","Decision referenced")),""))</f>
        <v/>
      </c>
      <c r="W124" s="54" t="str">
        <f aca="false">IF(A124="","",IF(COUNTIF(TRT_ID,A124)&gt;1,"CHECK: duplicate ID",IF(B124="","CHECK: Supplier ID missing",IF(COUNTIF(INV_ID,B124)=0,"CHECK: Supplier ID not in inventory",IF(AND(D124&lt;&gt;"",COUNTIF(RSK_ID,D124)=0),"CHECK: Risk ID not found",IF(AND(D124&lt;&gt;"",COUNTIF(RSK_ID,D124)&gt;0,IFERROR(INDEX(RSK_SUP,MATCH(D124,RSK_ID,0)),"")&lt;&gt;B124),"CHECK: Risk belongs to a different supplier",IF(AND(E124&lt;&gt;"",COUNTIF(FND_ID,E124)=0),"CHECK: Finding ID not found",IF(AND(N124="Verified",K124&lt;&gt;"Delivered (self-reported)"),"CHECK: verified but not marked delivered","OK"))))))))</f>
        <v/>
      </c>
      <c r="X124" s="52" t="str">
        <f aca="false">IF(OR(A124="",B124=""),"",IF(AND(T124="Open",B124=RptSup),B124&amp;"|"&amp;COUNTIFS($B$7:B124,B124,$T$7:T124,"Open"),""))</f>
        <v/>
      </c>
    </row>
    <row r="125" customFormat="false" ht="15" hidden="false" customHeight="false" outlineLevel="0" collapsed="false">
      <c r="A125" s="50"/>
      <c r="B125" s="50"/>
      <c r="C125" s="59" t="str">
        <f aca="false">IF(B125="","",IFERROR(INDEX(INV_NAME,MATCH(B125,INV_ID,0)),"CHECK: Supplier ID not found"))</f>
        <v/>
      </c>
      <c r="D125" s="50"/>
      <c r="E125" s="50"/>
      <c r="F125" s="50"/>
      <c r="G125" s="34"/>
      <c r="H125" s="34"/>
      <c r="I125" s="34"/>
      <c r="J125" s="51"/>
      <c r="K125" s="34"/>
      <c r="L125" s="34"/>
      <c r="M125" s="34"/>
      <c r="N125" s="34"/>
      <c r="O125" s="51"/>
      <c r="P125" s="50"/>
      <c r="Q125" s="34"/>
      <c r="R125" s="34"/>
      <c r="S125" s="54" t="str">
        <f aca="false">IF(A125="","",IF(K125="Cancelled","Cancelled",IF(K125="Delivered (self-reported)",IF(N125="Verified","Closed - verified","Delivered - verification pending"),IF(K125="","Not started",K125))))</f>
        <v/>
      </c>
      <c r="T125" s="52" t="str">
        <f aca="false">IF(A125="","",IF(OR(S125="Cancelled",S125="Closed - verified"),"Closed","Open"))</f>
        <v/>
      </c>
      <c r="U125" s="61" t="str">
        <f aca="false">IF(A125="","",IF(AND(T125="Open",ISNUMBER(J125),J125&lt;AsOf),"Overdue",""))</f>
        <v/>
      </c>
      <c r="V125" s="54" t="str">
        <f aca="false">IF(A125="","",IF(F125="Accept",IF(Q125="","CHECK: decision record required - not recorded",IF(COUNTIF(DEC_ID,Q125)=0,"CHECK: Decision ID not found","Decision referenced")),""))</f>
        <v/>
      </c>
      <c r="W125" s="54" t="str">
        <f aca="false">IF(A125="","",IF(COUNTIF(TRT_ID,A125)&gt;1,"CHECK: duplicate ID",IF(B125="","CHECK: Supplier ID missing",IF(COUNTIF(INV_ID,B125)=0,"CHECK: Supplier ID not in inventory",IF(AND(D125&lt;&gt;"",COUNTIF(RSK_ID,D125)=0),"CHECK: Risk ID not found",IF(AND(D125&lt;&gt;"",COUNTIF(RSK_ID,D125)&gt;0,IFERROR(INDEX(RSK_SUP,MATCH(D125,RSK_ID,0)),"")&lt;&gt;B125),"CHECK: Risk belongs to a different supplier",IF(AND(E125&lt;&gt;"",COUNTIF(FND_ID,E125)=0),"CHECK: Finding ID not found",IF(AND(N125="Verified",K125&lt;&gt;"Delivered (self-reported)"),"CHECK: verified but not marked delivered","OK"))))))))</f>
        <v/>
      </c>
      <c r="X125" s="52" t="str">
        <f aca="false">IF(OR(A125="",B125=""),"",IF(AND(T125="Open",B125=RptSup),B125&amp;"|"&amp;COUNTIFS($B$7:B125,B125,$T$7:T125,"Open"),""))</f>
        <v/>
      </c>
    </row>
    <row r="126" customFormat="false" ht="15" hidden="false" customHeight="false" outlineLevel="0" collapsed="false">
      <c r="A126" s="50"/>
      <c r="B126" s="50"/>
      <c r="C126" s="59" t="str">
        <f aca="false">IF(B126="","",IFERROR(INDEX(INV_NAME,MATCH(B126,INV_ID,0)),"CHECK: Supplier ID not found"))</f>
        <v/>
      </c>
      <c r="D126" s="50"/>
      <c r="E126" s="50"/>
      <c r="F126" s="50"/>
      <c r="G126" s="34"/>
      <c r="H126" s="34"/>
      <c r="I126" s="34"/>
      <c r="J126" s="51"/>
      <c r="K126" s="34"/>
      <c r="L126" s="34"/>
      <c r="M126" s="34"/>
      <c r="N126" s="34"/>
      <c r="O126" s="51"/>
      <c r="P126" s="50"/>
      <c r="Q126" s="34"/>
      <c r="R126" s="34"/>
      <c r="S126" s="54" t="str">
        <f aca="false">IF(A126="","",IF(K126="Cancelled","Cancelled",IF(K126="Delivered (self-reported)",IF(N126="Verified","Closed - verified","Delivered - verification pending"),IF(K126="","Not started",K126))))</f>
        <v/>
      </c>
      <c r="T126" s="52" t="str">
        <f aca="false">IF(A126="","",IF(OR(S126="Cancelled",S126="Closed - verified"),"Closed","Open"))</f>
        <v/>
      </c>
      <c r="U126" s="61" t="str">
        <f aca="false">IF(A126="","",IF(AND(T126="Open",ISNUMBER(J126),J126&lt;AsOf),"Overdue",""))</f>
        <v/>
      </c>
      <c r="V126" s="54" t="str">
        <f aca="false">IF(A126="","",IF(F126="Accept",IF(Q126="","CHECK: decision record required - not recorded",IF(COUNTIF(DEC_ID,Q126)=0,"CHECK: Decision ID not found","Decision referenced")),""))</f>
        <v/>
      </c>
      <c r="W126" s="54" t="str">
        <f aca="false">IF(A126="","",IF(COUNTIF(TRT_ID,A126)&gt;1,"CHECK: duplicate ID",IF(B126="","CHECK: Supplier ID missing",IF(COUNTIF(INV_ID,B126)=0,"CHECK: Supplier ID not in inventory",IF(AND(D126&lt;&gt;"",COUNTIF(RSK_ID,D126)=0),"CHECK: Risk ID not found",IF(AND(D126&lt;&gt;"",COUNTIF(RSK_ID,D126)&gt;0,IFERROR(INDEX(RSK_SUP,MATCH(D126,RSK_ID,0)),"")&lt;&gt;B126),"CHECK: Risk belongs to a different supplier",IF(AND(E126&lt;&gt;"",COUNTIF(FND_ID,E126)=0),"CHECK: Finding ID not found",IF(AND(N126="Verified",K126&lt;&gt;"Delivered (self-reported)"),"CHECK: verified but not marked delivered","OK"))))))))</f>
        <v/>
      </c>
      <c r="X126" s="52" t="str">
        <f aca="false">IF(OR(A126="",B126=""),"",IF(AND(T126="Open",B126=RptSup),B126&amp;"|"&amp;COUNTIFS($B$7:B126,B126,$T$7:T126,"Open"),""))</f>
        <v/>
      </c>
    </row>
    <row r="127" customFormat="false" ht="15" hidden="false" customHeight="false" outlineLevel="0" collapsed="false">
      <c r="A127" s="50"/>
      <c r="B127" s="50"/>
      <c r="C127" s="59" t="str">
        <f aca="false">IF(B127="","",IFERROR(INDEX(INV_NAME,MATCH(B127,INV_ID,0)),"CHECK: Supplier ID not found"))</f>
        <v/>
      </c>
      <c r="D127" s="50"/>
      <c r="E127" s="50"/>
      <c r="F127" s="50"/>
      <c r="G127" s="34"/>
      <c r="H127" s="34"/>
      <c r="I127" s="34"/>
      <c r="J127" s="51"/>
      <c r="K127" s="34"/>
      <c r="L127" s="34"/>
      <c r="M127" s="34"/>
      <c r="N127" s="34"/>
      <c r="O127" s="51"/>
      <c r="P127" s="50"/>
      <c r="Q127" s="34"/>
      <c r="R127" s="34"/>
      <c r="S127" s="54" t="str">
        <f aca="false">IF(A127="","",IF(K127="Cancelled","Cancelled",IF(K127="Delivered (self-reported)",IF(N127="Verified","Closed - verified","Delivered - verification pending"),IF(K127="","Not started",K127))))</f>
        <v/>
      </c>
      <c r="T127" s="52" t="str">
        <f aca="false">IF(A127="","",IF(OR(S127="Cancelled",S127="Closed - verified"),"Closed","Open"))</f>
        <v/>
      </c>
      <c r="U127" s="61" t="str">
        <f aca="false">IF(A127="","",IF(AND(T127="Open",ISNUMBER(J127),J127&lt;AsOf),"Overdue",""))</f>
        <v/>
      </c>
      <c r="V127" s="54" t="str">
        <f aca="false">IF(A127="","",IF(F127="Accept",IF(Q127="","CHECK: decision record required - not recorded",IF(COUNTIF(DEC_ID,Q127)=0,"CHECK: Decision ID not found","Decision referenced")),""))</f>
        <v/>
      </c>
      <c r="W127" s="54" t="str">
        <f aca="false">IF(A127="","",IF(COUNTIF(TRT_ID,A127)&gt;1,"CHECK: duplicate ID",IF(B127="","CHECK: Supplier ID missing",IF(COUNTIF(INV_ID,B127)=0,"CHECK: Supplier ID not in inventory",IF(AND(D127&lt;&gt;"",COUNTIF(RSK_ID,D127)=0),"CHECK: Risk ID not found",IF(AND(D127&lt;&gt;"",COUNTIF(RSK_ID,D127)&gt;0,IFERROR(INDEX(RSK_SUP,MATCH(D127,RSK_ID,0)),"")&lt;&gt;B127),"CHECK: Risk belongs to a different supplier",IF(AND(E127&lt;&gt;"",COUNTIF(FND_ID,E127)=0),"CHECK: Finding ID not found",IF(AND(N127="Verified",K127&lt;&gt;"Delivered (self-reported)"),"CHECK: verified but not marked delivered","OK"))))))))</f>
        <v/>
      </c>
      <c r="X127" s="52" t="str">
        <f aca="false">IF(OR(A127="",B127=""),"",IF(AND(T127="Open",B127=RptSup),B127&amp;"|"&amp;COUNTIFS($B$7:B127,B127,$T$7:T127,"Open"),""))</f>
        <v/>
      </c>
    </row>
    <row r="128" customFormat="false" ht="15" hidden="false" customHeight="false" outlineLevel="0" collapsed="false">
      <c r="A128" s="50"/>
      <c r="B128" s="50"/>
      <c r="C128" s="59" t="str">
        <f aca="false">IF(B128="","",IFERROR(INDEX(INV_NAME,MATCH(B128,INV_ID,0)),"CHECK: Supplier ID not found"))</f>
        <v/>
      </c>
      <c r="D128" s="50"/>
      <c r="E128" s="50"/>
      <c r="F128" s="50"/>
      <c r="G128" s="34"/>
      <c r="H128" s="34"/>
      <c r="I128" s="34"/>
      <c r="J128" s="51"/>
      <c r="K128" s="34"/>
      <c r="L128" s="34"/>
      <c r="M128" s="34"/>
      <c r="N128" s="34"/>
      <c r="O128" s="51"/>
      <c r="P128" s="50"/>
      <c r="Q128" s="34"/>
      <c r="R128" s="34"/>
      <c r="S128" s="54" t="str">
        <f aca="false">IF(A128="","",IF(K128="Cancelled","Cancelled",IF(K128="Delivered (self-reported)",IF(N128="Verified","Closed - verified","Delivered - verification pending"),IF(K128="","Not started",K128))))</f>
        <v/>
      </c>
      <c r="T128" s="52" t="str">
        <f aca="false">IF(A128="","",IF(OR(S128="Cancelled",S128="Closed - verified"),"Closed","Open"))</f>
        <v/>
      </c>
      <c r="U128" s="61" t="str">
        <f aca="false">IF(A128="","",IF(AND(T128="Open",ISNUMBER(J128),J128&lt;AsOf),"Overdue",""))</f>
        <v/>
      </c>
      <c r="V128" s="54" t="str">
        <f aca="false">IF(A128="","",IF(F128="Accept",IF(Q128="","CHECK: decision record required - not recorded",IF(COUNTIF(DEC_ID,Q128)=0,"CHECK: Decision ID not found","Decision referenced")),""))</f>
        <v/>
      </c>
      <c r="W128" s="54" t="str">
        <f aca="false">IF(A128="","",IF(COUNTIF(TRT_ID,A128)&gt;1,"CHECK: duplicate ID",IF(B128="","CHECK: Supplier ID missing",IF(COUNTIF(INV_ID,B128)=0,"CHECK: Supplier ID not in inventory",IF(AND(D128&lt;&gt;"",COUNTIF(RSK_ID,D128)=0),"CHECK: Risk ID not found",IF(AND(D128&lt;&gt;"",COUNTIF(RSK_ID,D128)&gt;0,IFERROR(INDEX(RSK_SUP,MATCH(D128,RSK_ID,0)),"")&lt;&gt;B128),"CHECK: Risk belongs to a different supplier",IF(AND(E128&lt;&gt;"",COUNTIF(FND_ID,E128)=0),"CHECK: Finding ID not found",IF(AND(N128="Verified",K128&lt;&gt;"Delivered (self-reported)"),"CHECK: verified but not marked delivered","OK"))))))))</f>
        <v/>
      </c>
      <c r="X128" s="52" t="str">
        <f aca="false">IF(OR(A128="",B128=""),"",IF(AND(T128="Open",B128=RptSup),B128&amp;"|"&amp;COUNTIFS($B$7:B128,B128,$T$7:T128,"Open"),""))</f>
        <v/>
      </c>
    </row>
    <row r="129" customFormat="false" ht="15" hidden="false" customHeight="false" outlineLevel="0" collapsed="false">
      <c r="A129" s="50"/>
      <c r="B129" s="50"/>
      <c r="C129" s="59" t="str">
        <f aca="false">IF(B129="","",IFERROR(INDEX(INV_NAME,MATCH(B129,INV_ID,0)),"CHECK: Supplier ID not found"))</f>
        <v/>
      </c>
      <c r="D129" s="50"/>
      <c r="E129" s="50"/>
      <c r="F129" s="50"/>
      <c r="G129" s="34"/>
      <c r="H129" s="34"/>
      <c r="I129" s="34"/>
      <c r="J129" s="51"/>
      <c r="K129" s="34"/>
      <c r="L129" s="34"/>
      <c r="M129" s="34"/>
      <c r="N129" s="34"/>
      <c r="O129" s="51"/>
      <c r="P129" s="50"/>
      <c r="Q129" s="34"/>
      <c r="R129" s="34"/>
      <c r="S129" s="54" t="str">
        <f aca="false">IF(A129="","",IF(K129="Cancelled","Cancelled",IF(K129="Delivered (self-reported)",IF(N129="Verified","Closed - verified","Delivered - verification pending"),IF(K129="","Not started",K129))))</f>
        <v/>
      </c>
      <c r="T129" s="52" t="str">
        <f aca="false">IF(A129="","",IF(OR(S129="Cancelled",S129="Closed - verified"),"Closed","Open"))</f>
        <v/>
      </c>
      <c r="U129" s="61" t="str">
        <f aca="false">IF(A129="","",IF(AND(T129="Open",ISNUMBER(J129),J129&lt;AsOf),"Overdue",""))</f>
        <v/>
      </c>
      <c r="V129" s="54" t="str">
        <f aca="false">IF(A129="","",IF(F129="Accept",IF(Q129="","CHECK: decision record required - not recorded",IF(COUNTIF(DEC_ID,Q129)=0,"CHECK: Decision ID not found","Decision referenced")),""))</f>
        <v/>
      </c>
      <c r="W129" s="54" t="str">
        <f aca="false">IF(A129="","",IF(COUNTIF(TRT_ID,A129)&gt;1,"CHECK: duplicate ID",IF(B129="","CHECK: Supplier ID missing",IF(COUNTIF(INV_ID,B129)=0,"CHECK: Supplier ID not in inventory",IF(AND(D129&lt;&gt;"",COUNTIF(RSK_ID,D129)=0),"CHECK: Risk ID not found",IF(AND(D129&lt;&gt;"",COUNTIF(RSK_ID,D129)&gt;0,IFERROR(INDEX(RSK_SUP,MATCH(D129,RSK_ID,0)),"")&lt;&gt;B129),"CHECK: Risk belongs to a different supplier",IF(AND(E129&lt;&gt;"",COUNTIF(FND_ID,E129)=0),"CHECK: Finding ID not found",IF(AND(N129="Verified",K129&lt;&gt;"Delivered (self-reported)"),"CHECK: verified but not marked delivered","OK"))))))))</f>
        <v/>
      </c>
      <c r="X129" s="52" t="str">
        <f aca="false">IF(OR(A129="",B129=""),"",IF(AND(T129="Open",B129=RptSup),B129&amp;"|"&amp;COUNTIFS($B$7:B129,B129,$T$7:T129,"Open"),""))</f>
        <v/>
      </c>
    </row>
    <row r="130" customFormat="false" ht="15" hidden="false" customHeight="false" outlineLevel="0" collapsed="false">
      <c r="A130" s="50"/>
      <c r="B130" s="50"/>
      <c r="C130" s="59" t="str">
        <f aca="false">IF(B130="","",IFERROR(INDEX(INV_NAME,MATCH(B130,INV_ID,0)),"CHECK: Supplier ID not found"))</f>
        <v/>
      </c>
      <c r="D130" s="50"/>
      <c r="E130" s="50"/>
      <c r="F130" s="50"/>
      <c r="G130" s="34"/>
      <c r="H130" s="34"/>
      <c r="I130" s="34"/>
      <c r="J130" s="51"/>
      <c r="K130" s="34"/>
      <c r="L130" s="34"/>
      <c r="M130" s="34"/>
      <c r="N130" s="34"/>
      <c r="O130" s="51"/>
      <c r="P130" s="50"/>
      <c r="Q130" s="34"/>
      <c r="R130" s="34"/>
      <c r="S130" s="54" t="str">
        <f aca="false">IF(A130="","",IF(K130="Cancelled","Cancelled",IF(K130="Delivered (self-reported)",IF(N130="Verified","Closed - verified","Delivered - verification pending"),IF(K130="","Not started",K130))))</f>
        <v/>
      </c>
      <c r="T130" s="52" t="str">
        <f aca="false">IF(A130="","",IF(OR(S130="Cancelled",S130="Closed - verified"),"Closed","Open"))</f>
        <v/>
      </c>
      <c r="U130" s="61" t="str">
        <f aca="false">IF(A130="","",IF(AND(T130="Open",ISNUMBER(J130),J130&lt;AsOf),"Overdue",""))</f>
        <v/>
      </c>
      <c r="V130" s="54" t="str">
        <f aca="false">IF(A130="","",IF(F130="Accept",IF(Q130="","CHECK: decision record required - not recorded",IF(COUNTIF(DEC_ID,Q130)=0,"CHECK: Decision ID not found","Decision referenced")),""))</f>
        <v/>
      </c>
      <c r="W130" s="54" t="str">
        <f aca="false">IF(A130="","",IF(COUNTIF(TRT_ID,A130)&gt;1,"CHECK: duplicate ID",IF(B130="","CHECK: Supplier ID missing",IF(COUNTIF(INV_ID,B130)=0,"CHECK: Supplier ID not in inventory",IF(AND(D130&lt;&gt;"",COUNTIF(RSK_ID,D130)=0),"CHECK: Risk ID not found",IF(AND(D130&lt;&gt;"",COUNTIF(RSK_ID,D130)&gt;0,IFERROR(INDEX(RSK_SUP,MATCH(D130,RSK_ID,0)),"")&lt;&gt;B130),"CHECK: Risk belongs to a different supplier",IF(AND(E130&lt;&gt;"",COUNTIF(FND_ID,E130)=0),"CHECK: Finding ID not found",IF(AND(N130="Verified",K130&lt;&gt;"Delivered (self-reported)"),"CHECK: verified but not marked delivered","OK"))))))))</f>
        <v/>
      </c>
      <c r="X130" s="52" t="str">
        <f aca="false">IF(OR(A130="",B130=""),"",IF(AND(T130="Open",B130=RptSup),B130&amp;"|"&amp;COUNTIFS($B$7:B130,B130,$T$7:T130,"Open"),""))</f>
        <v/>
      </c>
    </row>
    <row r="131" customFormat="false" ht="15" hidden="false" customHeight="false" outlineLevel="0" collapsed="false">
      <c r="A131" s="50"/>
      <c r="B131" s="50"/>
      <c r="C131" s="59" t="str">
        <f aca="false">IF(B131="","",IFERROR(INDEX(INV_NAME,MATCH(B131,INV_ID,0)),"CHECK: Supplier ID not found"))</f>
        <v/>
      </c>
      <c r="D131" s="50"/>
      <c r="E131" s="50"/>
      <c r="F131" s="50"/>
      <c r="G131" s="34"/>
      <c r="H131" s="34"/>
      <c r="I131" s="34"/>
      <c r="J131" s="51"/>
      <c r="K131" s="34"/>
      <c r="L131" s="34"/>
      <c r="M131" s="34"/>
      <c r="N131" s="34"/>
      <c r="O131" s="51"/>
      <c r="P131" s="50"/>
      <c r="Q131" s="34"/>
      <c r="R131" s="34"/>
      <c r="S131" s="54" t="str">
        <f aca="false">IF(A131="","",IF(K131="Cancelled","Cancelled",IF(K131="Delivered (self-reported)",IF(N131="Verified","Closed - verified","Delivered - verification pending"),IF(K131="","Not started",K131))))</f>
        <v/>
      </c>
      <c r="T131" s="52" t="str">
        <f aca="false">IF(A131="","",IF(OR(S131="Cancelled",S131="Closed - verified"),"Closed","Open"))</f>
        <v/>
      </c>
      <c r="U131" s="61" t="str">
        <f aca="false">IF(A131="","",IF(AND(T131="Open",ISNUMBER(J131),J131&lt;AsOf),"Overdue",""))</f>
        <v/>
      </c>
      <c r="V131" s="54" t="str">
        <f aca="false">IF(A131="","",IF(F131="Accept",IF(Q131="","CHECK: decision record required - not recorded",IF(COUNTIF(DEC_ID,Q131)=0,"CHECK: Decision ID not found","Decision referenced")),""))</f>
        <v/>
      </c>
      <c r="W131" s="54" t="str">
        <f aca="false">IF(A131="","",IF(COUNTIF(TRT_ID,A131)&gt;1,"CHECK: duplicate ID",IF(B131="","CHECK: Supplier ID missing",IF(COUNTIF(INV_ID,B131)=0,"CHECK: Supplier ID not in inventory",IF(AND(D131&lt;&gt;"",COUNTIF(RSK_ID,D131)=0),"CHECK: Risk ID not found",IF(AND(D131&lt;&gt;"",COUNTIF(RSK_ID,D131)&gt;0,IFERROR(INDEX(RSK_SUP,MATCH(D131,RSK_ID,0)),"")&lt;&gt;B131),"CHECK: Risk belongs to a different supplier",IF(AND(E131&lt;&gt;"",COUNTIF(FND_ID,E131)=0),"CHECK: Finding ID not found",IF(AND(N131="Verified",K131&lt;&gt;"Delivered (self-reported)"),"CHECK: verified but not marked delivered","OK"))))))))</f>
        <v/>
      </c>
      <c r="X131" s="52" t="str">
        <f aca="false">IF(OR(A131="",B131=""),"",IF(AND(T131="Open",B131=RptSup),B131&amp;"|"&amp;COUNTIFS($B$7:B131,B131,$T$7:T131,"Open"),""))</f>
        <v/>
      </c>
    </row>
    <row r="132" customFormat="false" ht="15" hidden="false" customHeight="false" outlineLevel="0" collapsed="false">
      <c r="A132" s="50"/>
      <c r="B132" s="50"/>
      <c r="C132" s="59" t="str">
        <f aca="false">IF(B132="","",IFERROR(INDEX(INV_NAME,MATCH(B132,INV_ID,0)),"CHECK: Supplier ID not found"))</f>
        <v/>
      </c>
      <c r="D132" s="50"/>
      <c r="E132" s="50"/>
      <c r="F132" s="50"/>
      <c r="G132" s="34"/>
      <c r="H132" s="34"/>
      <c r="I132" s="34"/>
      <c r="J132" s="51"/>
      <c r="K132" s="34"/>
      <c r="L132" s="34"/>
      <c r="M132" s="34"/>
      <c r="N132" s="34"/>
      <c r="O132" s="51"/>
      <c r="P132" s="50"/>
      <c r="Q132" s="34"/>
      <c r="R132" s="34"/>
      <c r="S132" s="54" t="str">
        <f aca="false">IF(A132="","",IF(K132="Cancelled","Cancelled",IF(K132="Delivered (self-reported)",IF(N132="Verified","Closed - verified","Delivered - verification pending"),IF(K132="","Not started",K132))))</f>
        <v/>
      </c>
      <c r="T132" s="52" t="str">
        <f aca="false">IF(A132="","",IF(OR(S132="Cancelled",S132="Closed - verified"),"Closed","Open"))</f>
        <v/>
      </c>
      <c r="U132" s="61" t="str">
        <f aca="false">IF(A132="","",IF(AND(T132="Open",ISNUMBER(J132),J132&lt;AsOf),"Overdue",""))</f>
        <v/>
      </c>
      <c r="V132" s="54" t="str">
        <f aca="false">IF(A132="","",IF(F132="Accept",IF(Q132="","CHECK: decision record required - not recorded",IF(COUNTIF(DEC_ID,Q132)=0,"CHECK: Decision ID not found","Decision referenced")),""))</f>
        <v/>
      </c>
      <c r="W132" s="54" t="str">
        <f aca="false">IF(A132="","",IF(COUNTIF(TRT_ID,A132)&gt;1,"CHECK: duplicate ID",IF(B132="","CHECK: Supplier ID missing",IF(COUNTIF(INV_ID,B132)=0,"CHECK: Supplier ID not in inventory",IF(AND(D132&lt;&gt;"",COUNTIF(RSK_ID,D132)=0),"CHECK: Risk ID not found",IF(AND(D132&lt;&gt;"",COUNTIF(RSK_ID,D132)&gt;0,IFERROR(INDEX(RSK_SUP,MATCH(D132,RSK_ID,0)),"")&lt;&gt;B132),"CHECK: Risk belongs to a different supplier",IF(AND(E132&lt;&gt;"",COUNTIF(FND_ID,E132)=0),"CHECK: Finding ID not found",IF(AND(N132="Verified",K132&lt;&gt;"Delivered (self-reported)"),"CHECK: verified but not marked delivered","OK"))))))))</f>
        <v/>
      </c>
      <c r="X132" s="52" t="str">
        <f aca="false">IF(OR(A132="",B132=""),"",IF(AND(T132="Open",B132=RptSup),B132&amp;"|"&amp;COUNTIFS($B$7:B132,B132,$T$7:T132,"Open"),""))</f>
        <v/>
      </c>
    </row>
    <row r="133" customFormat="false" ht="15" hidden="false" customHeight="false" outlineLevel="0" collapsed="false">
      <c r="A133" s="50"/>
      <c r="B133" s="50"/>
      <c r="C133" s="59" t="str">
        <f aca="false">IF(B133="","",IFERROR(INDEX(INV_NAME,MATCH(B133,INV_ID,0)),"CHECK: Supplier ID not found"))</f>
        <v/>
      </c>
      <c r="D133" s="50"/>
      <c r="E133" s="50"/>
      <c r="F133" s="50"/>
      <c r="G133" s="34"/>
      <c r="H133" s="34"/>
      <c r="I133" s="34"/>
      <c r="J133" s="51"/>
      <c r="K133" s="34"/>
      <c r="L133" s="34"/>
      <c r="M133" s="34"/>
      <c r="N133" s="34"/>
      <c r="O133" s="51"/>
      <c r="P133" s="50"/>
      <c r="Q133" s="34"/>
      <c r="R133" s="34"/>
      <c r="S133" s="54" t="str">
        <f aca="false">IF(A133="","",IF(K133="Cancelled","Cancelled",IF(K133="Delivered (self-reported)",IF(N133="Verified","Closed - verified","Delivered - verification pending"),IF(K133="","Not started",K133))))</f>
        <v/>
      </c>
      <c r="T133" s="52" t="str">
        <f aca="false">IF(A133="","",IF(OR(S133="Cancelled",S133="Closed - verified"),"Closed","Open"))</f>
        <v/>
      </c>
      <c r="U133" s="61" t="str">
        <f aca="false">IF(A133="","",IF(AND(T133="Open",ISNUMBER(J133),J133&lt;AsOf),"Overdue",""))</f>
        <v/>
      </c>
      <c r="V133" s="54" t="str">
        <f aca="false">IF(A133="","",IF(F133="Accept",IF(Q133="","CHECK: decision record required - not recorded",IF(COUNTIF(DEC_ID,Q133)=0,"CHECK: Decision ID not found","Decision referenced")),""))</f>
        <v/>
      </c>
      <c r="W133" s="54" t="str">
        <f aca="false">IF(A133="","",IF(COUNTIF(TRT_ID,A133)&gt;1,"CHECK: duplicate ID",IF(B133="","CHECK: Supplier ID missing",IF(COUNTIF(INV_ID,B133)=0,"CHECK: Supplier ID not in inventory",IF(AND(D133&lt;&gt;"",COUNTIF(RSK_ID,D133)=0),"CHECK: Risk ID not found",IF(AND(D133&lt;&gt;"",COUNTIF(RSK_ID,D133)&gt;0,IFERROR(INDEX(RSK_SUP,MATCH(D133,RSK_ID,0)),"")&lt;&gt;B133),"CHECK: Risk belongs to a different supplier",IF(AND(E133&lt;&gt;"",COUNTIF(FND_ID,E133)=0),"CHECK: Finding ID not found",IF(AND(N133="Verified",K133&lt;&gt;"Delivered (self-reported)"),"CHECK: verified but not marked delivered","OK"))))))))</f>
        <v/>
      </c>
      <c r="X133" s="52" t="str">
        <f aca="false">IF(OR(A133="",B133=""),"",IF(AND(T133="Open",B133=RptSup),B133&amp;"|"&amp;COUNTIFS($B$7:B133,B133,$T$7:T133,"Open"),""))</f>
        <v/>
      </c>
    </row>
    <row r="134" customFormat="false" ht="15" hidden="false" customHeight="false" outlineLevel="0" collapsed="false">
      <c r="A134" s="50"/>
      <c r="B134" s="50"/>
      <c r="C134" s="59" t="str">
        <f aca="false">IF(B134="","",IFERROR(INDEX(INV_NAME,MATCH(B134,INV_ID,0)),"CHECK: Supplier ID not found"))</f>
        <v/>
      </c>
      <c r="D134" s="50"/>
      <c r="E134" s="50"/>
      <c r="F134" s="50"/>
      <c r="G134" s="34"/>
      <c r="H134" s="34"/>
      <c r="I134" s="34"/>
      <c r="J134" s="51"/>
      <c r="K134" s="34"/>
      <c r="L134" s="34"/>
      <c r="M134" s="34"/>
      <c r="N134" s="34"/>
      <c r="O134" s="51"/>
      <c r="P134" s="50"/>
      <c r="Q134" s="34"/>
      <c r="R134" s="34"/>
      <c r="S134" s="54" t="str">
        <f aca="false">IF(A134="","",IF(K134="Cancelled","Cancelled",IF(K134="Delivered (self-reported)",IF(N134="Verified","Closed - verified","Delivered - verification pending"),IF(K134="","Not started",K134))))</f>
        <v/>
      </c>
      <c r="T134" s="52" t="str">
        <f aca="false">IF(A134="","",IF(OR(S134="Cancelled",S134="Closed - verified"),"Closed","Open"))</f>
        <v/>
      </c>
      <c r="U134" s="61" t="str">
        <f aca="false">IF(A134="","",IF(AND(T134="Open",ISNUMBER(J134),J134&lt;AsOf),"Overdue",""))</f>
        <v/>
      </c>
      <c r="V134" s="54" t="str">
        <f aca="false">IF(A134="","",IF(F134="Accept",IF(Q134="","CHECK: decision record required - not recorded",IF(COUNTIF(DEC_ID,Q134)=0,"CHECK: Decision ID not found","Decision referenced")),""))</f>
        <v/>
      </c>
      <c r="W134" s="54" t="str">
        <f aca="false">IF(A134="","",IF(COUNTIF(TRT_ID,A134)&gt;1,"CHECK: duplicate ID",IF(B134="","CHECK: Supplier ID missing",IF(COUNTIF(INV_ID,B134)=0,"CHECK: Supplier ID not in inventory",IF(AND(D134&lt;&gt;"",COUNTIF(RSK_ID,D134)=0),"CHECK: Risk ID not found",IF(AND(D134&lt;&gt;"",COUNTIF(RSK_ID,D134)&gt;0,IFERROR(INDEX(RSK_SUP,MATCH(D134,RSK_ID,0)),"")&lt;&gt;B134),"CHECK: Risk belongs to a different supplier",IF(AND(E134&lt;&gt;"",COUNTIF(FND_ID,E134)=0),"CHECK: Finding ID not found",IF(AND(N134="Verified",K134&lt;&gt;"Delivered (self-reported)"),"CHECK: verified but not marked delivered","OK"))))))))</f>
        <v/>
      </c>
      <c r="X134" s="52" t="str">
        <f aca="false">IF(OR(A134="",B134=""),"",IF(AND(T134="Open",B134=RptSup),B134&amp;"|"&amp;COUNTIFS($B$7:B134,B134,$T$7:T134,"Open"),""))</f>
        <v/>
      </c>
    </row>
    <row r="135" customFormat="false" ht="15" hidden="false" customHeight="false" outlineLevel="0" collapsed="false">
      <c r="A135" s="50"/>
      <c r="B135" s="50"/>
      <c r="C135" s="59" t="str">
        <f aca="false">IF(B135="","",IFERROR(INDEX(INV_NAME,MATCH(B135,INV_ID,0)),"CHECK: Supplier ID not found"))</f>
        <v/>
      </c>
      <c r="D135" s="50"/>
      <c r="E135" s="50"/>
      <c r="F135" s="50"/>
      <c r="G135" s="34"/>
      <c r="H135" s="34"/>
      <c r="I135" s="34"/>
      <c r="J135" s="51"/>
      <c r="K135" s="34"/>
      <c r="L135" s="34"/>
      <c r="M135" s="34"/>
      <c r="N135" s="34"/>
      <c r="O135" s="51"/>
      <c r="P135" s="50"/>
      <c r="Q135" s="34"/>
      <c r="R135" s="34"/>
      <c r="S135" s="54" t="str">
        <f aca="false">IF(A135="","",IF(K135="Cancelled","Cancelled",IF(K135="Delivered (self-reported)",IF(N135="Verified","Closed - verified","Delivered - verification pending"),IF(K135="","Not started",K135))))</f>
        <v/>
      </c>
      <c r="T135" s="52" t="str">
        <f aca="false">IF(A135="","",IF(OR(S135="Cancelled",S135="Closed - verified"),"Closed","Open"))</f>
        <v/>
      </c>
      <c r="U135" s="61" t="str">
        <f aca="false">IF(A135="","",IF(AND(T135="Open",ISNUMBER(J135),J135&lt;AsOf),"Overdue",""))</f>
        <v/>
      </c>
      <c r="V135" s="54" t="str">
        <f aca="false">IF(A135="","",IF(F135="Accept",IF(Q135="","CHECK: decision record required - not recorded",IF(COUNTIF(DEC_ID,Q135)=0,"CHECK: Decision ID not found","Decision referenced")),""))</f>
        <v/>
      </c>
      <c r="W135" s="54" t="str">
        <f aca="false">IF(A135="","",IF(COUNTIF(TRT_ID,A135)&gt;1,"CHECK: duplicate ID",IF(B135="","CHECK: Supplier ID missing",IF(COUNTIF(INV_ID,B135)=0,"CHECK: Supplier ID not in inventory",IF(AND(D135&lt;&gt;"",COUNTIF(RSK_ID,D135)=0),"CHECK: Risk ID not found",IF(AND(D135&lt;&gt;"",COUNTIF(RSK_ID,D135)&gt;0,IFERROR(INDEX(RSK_SUP,MATCH(D135,RSK_ID,0)),"")&lt;&gt;B135),"CHECK: Risk belongs to a different supplier",IF(AND(E135&lt;&gt;"",COUNTIF(FND_ID,E135)=0),"CHECK: Finding ID not found",IF(AND(N135="Verified",K135&lt;&gt;"Delivered (self-reported)"),"CHECK: verified but not marked delivered","OK"))))))))</f>
        <v/>
      </c>
      <c r="X135" s="52" t="str">
        <f aca="false">IF(OR(A135="",B135=""),"",IF(AND(T135="Open",B135=RptSup),B135&amp;"|"&amp;COUNTIFS($B$7:B135,B135,$T$7:T135,"Open"),""))</f>
        <v/>
      </c>
    </row>
    <row r="136" customFormat="false" ht="15" hidden="false" customHeight="false" outlineLevel="0" collapsed="false">
      <c r="A136" s="50"/>
      <c r="B136" s="50"/>
      <c r="C136" s="59" t="str">
        <f aca="false">IF(B136="","",IFERROR(INDEX(INV_NAME,MATCH(B136,INV_ID,0)),"CHECK: Supplier ID not found"))</f>
        <v/>
      </c>
      <c r="D136" s="50"/>
      <c r="E136" s="50"/>
      <c r="F136" s="50"/>
      <c r="G136" s="34"/>
      <c r="H136" s="34"/>
      <c r="I136" s="34"/>
      <c r="J136" s="51"/>
      <c r="K136" s="34"/>
      <c r="L136" s="34"/>
      <c r="M136" s="34"/>
      <c r="N136" s="34"/>
      <c r="O136" s="51"/>
      <c r="P136" s="50"/>
      <c r="Q136" s="34"/>
      <c r="R136" s="34"/>
      <c r="S136" s="54" t="str">
        <f aca="false">IF(A136="","",IF(K136="Cancelled","Cancelled",IF(K136="Delivered (self-reported)",IF(N136="Verified","Closed - verified","Delivered - verification pending"),IF(K136="","Not started",K136))))</f>
        <v/>
      </c>
      <c r="T136" s="52" t="str">
        <f aca="false">IF(A136="","",IF(OR(S136="Cancelled",S136="Closed - verified"),"Closed","Open"))</f>
        <v/>
      </c>
      <c r="U136" s="61" t="str">
        <f aca="false">IF(A136="","",IF(AND(T136="Open",ISNUMBER(J136),J136&lt;AsOf),"Overdue",""))</f>
        <v/>
      </c>
      <c r="V136" s="54" t="str">
        <f aca="false">IF(A136="","",IF(F136="Accept",IF(Q136="","CHECK: decision record required - not recorded",IF(COUNTIF(DEC_ID,Q136)=0,"CHECK: Decision ID not found","Decision referenced")),""))</f>
        <v/>
      </c>
      <c r="W136" s="54" t="str">
        <f aca="false">IF(A136="","",IF(COUNTIF(TRT_ID,A136)&gt;1,"CHECK: duplicate ID",IF(B136="","CHECK: Supplier ID missing",IF(COUNTIF(INV_ID,B136)=0,"CHECK: Supplier ID not in inventory",IF(AND(D136&lt;&gt;"",COUNTIF(RSK_ID,D136)=0),"CHECK: Risk ID not found",IF(AND(D136&lt;&gt;"",COUNTIF(RSK_ID,D136)&gt;0,IFERROR(INDEX(RSK_SUP,MATCH(D136,RSK_ID,0)),"")&lt;&gt;B136),"CHECK: Risk belongs to a different supplier",IF(AND(E136&lt;&gt;"",COUNTIF(FND_ID,E136)=0),"CHECK: Finding ID not found",IF(AND(N136="Verified",K136&lt;&gt;"Delivered (self-reported)"),"CHECK: verified but not marked delivered","OK"))))))))</f>
        <v/>
      </c>
      <c r="X136" s="52" t="str">
        <f aca="false">IF(OR(A136="",B136=""),"",IF(AND(T136="Open",B136=RptSup),B136&amp;"|"&amp;COUNTIFS($B$7:B136,B136,$T$7:T136,"Open"),""))</f>
        <v/>
      </c>
    </row>
    <row r="137" customFormat="false" ht="15" hidden="false" customHeight="false" outlineLevel="0" collapsed="false">
      <c r="A137" s="50"/>
      <c r="B137" s="50"/>
      <c r="C137" s="59" t="str">
        <f aca="false">IF(B137="","",IFERROR(INDEX(INV_NAME,MATCH(B137,INV_ID,0)),"CHECK: Supplier ID not found"))</f>
        <v/>
      </c>
      <c r="D137" s="50"/>
      <c r="E137" s="50"/>
      <c r="F137" s="50"/>
      <c r="G137" s="34"/>
      <c r="H137" s="34"/>
      <c r="I137" s="34"/>
      <c r="J137" s="51"/>
      <c r="K137" s="34"/>
      <c r="L137" s="34"/>
      <c r="M137" s="34"/>
      <c r="N137" s="34"/>
      <c r="O137" s="51"/>
      <c r="P137" s="50"/>
      <c r="Q137" s="34"/>
      <c r="R137" s="34"/>
      <c r="S137" s="54" t="str">
        <f aca="false">IF(A137="","",IF(K137="Cancelled","Cancelled",IF(K137="Delivered (self-reported)",IF(N137="Verified","Closed - verified","Delivered - verification pending"),IF(K137="","Not started",K137))))</f>
        <v/>
      </c>
      <c r="T137" s="52" t="str">
        <f aca="false">IF(A137="","",IF(OR(S137="Cancelled",S137="Closed - verified"),"Closed","Open"))</f>
        <v/>
      </c>
      <c r="U137" s="61" t="str">
        <f aca="false">IF(A137="","",IF(AND(T137="Open",ISNUMBER(J137),J137&lt;AsOf),"Overdue",""))</f>
        <v/>
      </c>
      <c r="V137" s="54" t="str">
        <f aca="false">IF(A137="","",IF(F137="Accept",IF(Q137="","CHECK: decision record required - not recorded",IF(COUNTIF(DEC_ID,Q137)=0,"CHECK: Decision ID not found","Decision referenced")),""))</f>
        <v/>
      </c>
      <c r="W137" s="54" t="str">
        <f aca="false">IF(A137="","",IF(COUNTIF(TRT_ID,A137)&gt;1,"CHECK: duplicate ID",IF(B137="","CHECK: Supplier ID missing",IF(COUNTIF(INV_ID,B137)=0,"CHECK: Supplier ID not in inventory",IF(AND(D137&lt;&gt;"",COUNTIF(RSK_ID,D137)=0),"CHECK: Risk ID not found",IF(AND(D137&lt;&gt;"",COUNTIF(RSK_ID,D137)&gt;0,IFERROR(INDEX(RSK_SUP,MATCH(D137,RSK_ID,0)),"")&lt;&gt;B137),"CHECK: Risk belongs to a different supplier",IF(AND(E137&lt;&gt;"",COUNTIF(FND_ID,E137)=0),"CHECK: Finding ID not found",IF(AND(N137="Verified",K137&lt;&gt;"Delivered (self-reported)"),"CHECK: verified but not marked delivered","OK"))))))))</f>
        <v/>
      </c>
      <c r="X137" s="52" t="str">
        <f aca="false">IF(OR(A137="",B137=""),"",IF(AND(T137="Open",B137=RptSup),B137&amp;"|"&amp;COUNTIFS($B$7:B137,B137,$T$7:T137,"Open"),""))</f>
        <v/>
      </c>
    </row>
    <row r="138" customFormat="false" ht="15" hidden="false" customHeight="false" outlineLevel="0" collapsed="false">
      <c r="A138" s="50"/>
      <c r="B138" s="50"/>
      <c r="C138" s="59" t="str">
        <f aca="false">IF(B138="","",IFERROR(INDEX(INV_NAME,MATCH(B138,INV_ID,0)),"CHECK: Supplier ID not found"))</f>
        <v/>
      </c>
      <c r="D138" s="50"/>
      <c r="E138" s="50"/>
      <c r="F138" s="50"/>
      <c r="G138" s="34"/>
      <c r="H138" s="34"/>
      <c r="I138" s="34"/>
      <c r="J138" s="51"/>
      <c r="K138" s="34"/>
      <c r="L138" s="34"/>
      <c r="M138" s="34"/>
      <c r="N138" s="34"/>
      <c r="O138" s="51"/>
      <c r="P138" s="50"/>
      <c r="Q138" s="34"/>
      <c r="R138" s="34"/>
      <c r="S138" s="54" t="str">
        <f aca="false">IF(A138="","",IF(K138="Cancelled","Cancelled",IF(K138="Delivered (self-reported)",IF(N138="Verified","Closed - verified","Delivered - verification pending"),IF(K138="","Not started",K138))))</f>
        <v/>
      </c>
      <c r="T138" s="52" t="str">
        <f aca="false">IF(A138="","",IF(OR(S138="Cancelled",S138="Closed - verified"),"Closed","Open"))</f>
        <v/>
      </c>
      <c r="U138" s="61" t="str">
        <f aca="false">IF(A138="","",IF(AND(T138="Open",ISNUMBER(J138),J138&lt;AsOf),"Overdue",""))</f>
        <v/>
      </c>
      <c r="V138" s="54" t="str">
        <f aca="false">IF(A138="","",IF(F138="Accept",IF(Q138="","CHECK: decision record required - not recorded",IF(COUNTIF(DEC_ID,Q138)=0,"CHECK: Decision ID not found","Decision referenced")),""))</f>
        <v/>
      </c>
      <c r="W138" s="54" t="str">
        <f aca="false">IF(A138="","",IF(COUNTIF(TRT_ID,A138)&gt;1,"CHECK: duplicate ID",IF(B138="","CHECK: Supplier ID missing",IF(COUNTIF(INV_ID,B138)=0,"CHECK: Supplier ID not in inventory",IF(AND(D138&lt;&gt;"",COUNTIF(RSK_ID,D138)=0),"CHECK: Risk ID not found",IF(AND(D138&lt;&gt;"",COUNTIF(RSK_ID,D138)&gt;0,IFERROR(INDEX(RSK_SUP,MATCH(D138,RSK_ID,0)),"")&lt;&gt;B138),"CHECK: Risk belongs to a different supplier",IF(AND(E138&lt;&gt;"",COUNTIF(FND_ID,E138)=0),"CHECK: Finding ID not found",IF(AND(N138="Verified",K138&lt;&gt;"Delivered (self-reported)"),"CHECK: verified but not marked delivered","OK"))))))))</f>
        <v/>
      </c>
      <c r="X138" s="52" t="str">
        <f aca="false">IF(OR(A138="",B138=""),"",IF(AND(T138="Open",B138=RptSup),B138&amp;"|"&amp;COUNTIFS($B$7:B138,B138,$T$7:T138,"Open"),""))</f>
        <v/>
      </c>
    </row>
    <row r="139" customFormat="false" ht="15" hidden="false" customHeight="false" outlineLevel="0" collapsed="false">
      <c r="A139" s="50"/>
      <c r="B139" s="50"/>
      <c r="C139" s="59" t="str">
        <f aca="false">IF(B139="","",IFERROR(INDEX(INV_NAME,MATCH(B139,INV_ID,0)),"CHECK: Supplier ID not found"))</f>
        <v/>
      </c>
      <c r="D139" s="50"/>
      <c r="E139" s="50"/>
      <c r="F139" s="50"/>
      <c r="G139" s="34"/>
      <c r="H139" s="34"/>
      <c r="I139" s="34"/>
      <c r="J139" s="51"/>
      <c r="K139" s="34"/>
      <c r="L139" s="34"/>
      <c r="M139" s="34"/>
      <c r="N139" s="34"/>
      <c r="O139" s="51"/>
      <c r="P139" s="50"/>
      <c r="Q139" s="34"/>
      <c r="R139" s="34"/>
      <c r="S139" s="54" t="str">
        <f aca="false">IF(A139="","",IF(K139="Cancelled","Cancelled",IF(K139="Delivered (self-reported)",IF(N139="Verified","Closed - verified","Delivered - verification pending"),IF(K139="","Not started",K139))))</f>
        <v/>
      </c>
      <c r="T139" s="52" t="str">
        <f aca="false">IF(A139="","",IF(OR(S139="Cancelled",S139="Closed - verified"),"Closed","Open"))</f>
        <v/>
      </c>
      <c r="U139" s="61" t="str">
        <f aca="false">IF(A139="","",IF(AND(T139="Open",ISNUMBER(J139),J139&lt;AsOf),"Overdue",""))</f>
        <v/>
      </c>
      <c r="V139" s="54" t="str">
        <f aca="false">IF(A139="","",IF(F139="Accept",IF(Q139="","CHECK: decision record required - not recorded",IF(COUNTIF(DEC_ID,Q139)=0,"CHECK: Decision ID not found","Decision referenced")),""))</f>
        <v/>
      </c>
      <c r="W139" s="54" t="str">
        <f aca="false">IF(A139="","",IF(COUNTIF(TRT_ID,A139)&gt;1,"CHECK: duplicate ID",IF(B139="","CHECK: Supplier ID missing",IF(COUNTIF(INV_ID,B139)=0,"CHECK: Supplier ID not in inventory",IF(AND(D139&lt;&gt;"",COUNTIF(RSK_ID,D139)=0),"CHECK: Risk ID not found",IF(AND(D139&lt;&gt;"",COUNTIF(RSK_ID,D139)&gt;0,IFERROR(INDEX(RSK_SUP,MATCH(D139,RSK_ID,0)),"")&lt;&gt;B139),"CHECK: Risk belongs to a different supplier",IF(AND(E139&lt;&gt;"",COUNTIF(FND_ID,E139)=0),"CHECK: Finding ID not found",IF(AND(N139="Verified",K139&lt;&gt;"Delivered (self-reported)"),"CHECK: verified but not marked delivered","OK"))))))))</f>
        <v/>
      </c>
      <c r="X139" s="52" t="str">
        <f aca="false">IF(OR(A139="",B139=""),"",IF(AND(T139="Open",B139=RptSup),B139&amp;"|"&amp;COUNTIFS($B$7:B139,B139,$T$7:T139,"Open"),""))</f>
        <v/>
      </c>
    </row>
    <row r="140" customFormat="false" ht="15" hidden="false" customHeight="false" outlineLevel="0" collapsed="false">
      <c r="A140" s="50"/>
      <c r="B140" s="50"/>
      <c r="C140" s="59" t="str">
        <f aca="false">IF(B140="","",IFERROR(INDEX(INV_NAME,MATCH(B140,INV_ID,0)),"CHECK: Supplier ID not found"))</f>
        <v/>
      </c>
      <c r="D140" s="50"/>
      <c r="E140" s="50"/>
      <c r="F140" s="50"/>
      <c r="G140" s="34"/>
      <c r="H140" s="34"/>
      <c r="I140" s="34"/>
      <c r="J140" s="51"/>
      <c r="K140" s="34"/>
      <c r="L140" s="34"/>
      <c r="M140" s="34"/>
      <c r="N140" s="34"/>
      <c r="O140" s="51"/>
      <c r="P140" s="50"/>
      <c r="Q140" s="34"/>
      <c r="R140" s="34"/>
      <c r="S140" s="54" t="str">
        <f aca="false">IF(A140="","",IF(K140="Cancelled","Cancelled",IF(K140="Delivered (self-reported)",IF(N140="Verified","Closed - verified","Delivered - verification pending"),IF(K140="","Not started",K140))))</f>
        <v/>
      </c>
      <c r="T140" s="52" t="str">
        <f aca="false">IF(A140="","",IF(OR(S140="Cancelled",S140="Closed - verified"),"Closed","Open"))</f>
        <v/>
      </c>
      <c r="U140" s="61" t="str">
        <f aca="false">IF(A140="","",IF(AND(T140="Open",ISNUMBER(J140),J140&lt;AsOf),"Overdue",""))</f>
        <v/>
      </c>
      <c r="V140" s="54" t="str">
        <f aca="false">IF(A140="","",IF(F140="Accept",IF(Q140="","CHECK: decision record required - not recorded",IF(COUNTIF(DEC_ID,Q140)=0,"CHECK: Decision ID not found","Decision referenced")),""))</f>
        <v/>
      </c>
      <c r="W140" s="54" t="str">
        <f aca="false">IF(A140="","",IF(COUNTIF(TRT_ID,A140)&gt;1,"CHECK: duplicate ID",IF(B140="","CHECK: Supplier ID missing",IF(COUNTIF(INV_ID,B140)=0,"CHECK: Supplier ID not in inventory",IF(AND(D140&lt;&gt;"",COUNTIF(RSK_ID,D140)=0),"CHECK: Risk ID not found",IF(AND(D140&lt;&gt;"",COUNTIF(RSK_ID,D140)&gt;0,IFERROR(INDEX(RSK_SUP,MATCH(D140,RSK_ID,0)),"")&lt;&gt;B140),"CHECK: Risk belongs to a different supplier",IF(AND(E140&lt;&gt;"",COUNTIF(FND_ID,E140)=0),"CHECK: Finding ID not found",IF(AND(N140="Verified",K140&lt;&gt;"Delivered (self-reported)"),"CHECK: verified but not marked delivered","OK"))))))))</f>
        <v/>
      </c>
      <c r="X140" s="52" t="str">
        <f aca="false">IF(OR(A140="",B140=""),"",IF(AND(T140="Open",B140=RptSup),B140&amp;"|"&amp;COUNTIFS($B$7:B140,B140,$T$7:T140,"Open"),""))</f>
        <v/>
      </c>
    </row>
    <row r="141" customFormat="false" ht="15" hidden="false" customHeight="false" outlineLevel="0" collapsed="false">
      <c r="A141" s="50"/>
      <c r="B141" s="50"/>
      <c r="C141" s="59" t="str">
        <f aca="false">IF(B141="","",IFERROR(INDEX(INV_NAME,MATCH(B141,INV_ID,0)),"CHECK: Supplier ID not found"))</f>
        <v/>
      </c>
      <c r="D141" s="50"/>
      <c r="E141" s="50"/>
      <c r="F141" s="50"/>
      <c r="G141" s="34"/>
      <c r="H141" s="34"/>
      <c r="I141" s="34"/>
      <c r="J141" s="51"/>
      <c r="K141" s="34"/>
      <c r="L141" s="34"/>
      <c r="M141" s="34"/>
      <c r="N141" s="34"/>
      <c r="O141" s="51"/>
      <c r="P141" s="50"/>
      <c r="Q141" s="34"/>
      <c r="R141" s="34"/>
      <c r="S141" s="54" t="str">
        <f aca="false">IF(A141="","",IF(K141="Cancelled","Cancelled",IF(K141="Delivered (self-reported)",IF(N141="Verified","Closed - verified","Delivered - verification pending"),IF(K141="","Not started",K141))))</f>
        <v/>
      </c>
      <c r="T141" s="52" t="str">
        <f aca="false">IF(A141="","",IF(OR(S141="Cancelled",S141="Closed - verified"),"Closed","Open"))</f>
        <v/>
      </c>
      <c r="U141" s="61" t="str">
        <f aca="false">IF(A141="","",IF(AND(T141="Open",ISNUMBER(J141),J141&lt;AsOf),"Overdue",""))</f>
        <v/>
      </c>
      <c r="V141" s="54" t="str">
        <f aca="false">IF(A141="","",IF(F141="Accept",IF(Q141="","CHECK: decision record required - not recorded",IF(COUNTIF(DEC_ID,Q141)=0,"CHECK: Decision ID not found","Decision referenced")),""))</f>
        <v/>
      </c>
      <c r="W141" s="54" t="str">
        <f aca="false">IF(A141="","",IF(COUNTIF(TRT_ID,A141)&gt;1,"CHECK: duplicate ID",IF(B141="","CHECK: Supplier ID missing",IF(COUNTIF(INV_ID,B141)=0,"CHECK: Supplier ID not in inventory",IF(AND(D141&lt;&gt;"",COUNTIF(RSK_ID,D141)=0),"CHECK: Risk ID not found",IF(AND(D141&lt;&gt;"",COUNTIF(RSK_ID,D141)&gt;0,IFERROR(INDEX(RSK_SUP,MATCH(D141,RSK_ID,0)),"")&lt;&gt;B141),"CHECK: Risk belongs to a different supplier",IF(AND(E141&lt;&gt;"",COUNTIF(FND_ID,E141)=0),"CHECK: Finding ID not found",IF(AND(N141="Verified",K141&lt;&gt;"Delivered (self-reported)"),"CHECK: verified but not marked delivered","OK"))))))))</f>
        <v/>
      </c>
      <c r="X141" s="52" t="str">
        <f aca="false">IF(OR(A141="",B141=""),"",IF(AND(T141="Open",B141=RptSup),B141&amp;"|"&amp;COUNTIFS($B$7:B141,B141,$T$7:T141,"Open"),""))</f>
        <v/>
      </c>
    </row>
    <row r="142" customFormat="false" ht="15" hidden="false" customHeight="false" outlineLevel="0" collapsed="false">
      <c r="A142" s="50"/>
      <c r="B142" s="50"/>
      <c r="C142" s="59" t="str">
        <f aca="false">IF(B142="","",IFERROR(INDEX(INV_NAME,MATCH(B142,INV_ID,0)),"CHECK: Supplier ID not found"))</f>
        <v/>
      </c>
      <c r="D142" s="50"/>
      <c r="E142" s="50"/>
      <c r="F142" s="50"/>
      <c r="G142" s="34"/>
      <c r="H142" s="34"/>
      <c r="I142" s="34"/>
      <c r="J142" s="51"/>
      <c r="K142" s="34"/>
      <c r="L142" s="34"/>
      <c r="M142" s="34"/>
      <c r="N142" s="34"/>
      <c r="O142" s="51"/>
      <c r="P142" s="50"/>
      <c r="Q142" s="34"/>
      <c r="R142" s="34"/>
      <c r="S142" s="54" t="str">
        <f aca="false">IF(A142="","",IF(K142="Cancelled","Cancelled",IF(K142="Delivered (self-reported)",IF(N142="Verified","Closed - verified","Delivered - verification pending"),IF(K142="","Not started",K142))))</f>
        <v/>
      </c>
      <c r="T142" s="52" t="str">
        <f aca="false">IF(A142="","",IF(OR(S142="Cancelled",S142="Closed - verified"),"Closed","Open"))</f>
        <v/>
      </c>
      <c r="U142" s="61" t="str">
        <f aca="false">IF(A142="","",IF(AND(T142="Open",ISNUMBER(J142),J142&lt;AsOf),"Overdue",""))</f>
        <v/>
      </c>
      <c r="V142" s="54" t="str">
        <f aca="false">IF(A142="","",IF(F142="Accept",IF(Q142="","CHECK: decision record required - not recorded",IF(COUNTIF(DEC_ID,Q142)=0,"CHECK: Decision ID not found","Decision referenced")),""))</f>
        <v/>
      </c>
      <c r="W142" s="54" t="str">
        <f aca="false">IF(A142="","",IF(COUNTIF(TRT_ID,A142)&gt;1,"CHECK: duplicate ID",IF(B142="","CHECK: Supplier ID missing",IF(COUNTIF(INV_ID,B142)=0,"CHECK: Supplier ID not in inventory",IF(AND(D142&lt;&gt;"",COUNTIF(RSK_ID,D142)=0),"CHECK: Risk ID not found",IF(AND(D142&lt;&gt;"",COUNTIF(RSK_ID,D142)&gt;0,IFERROR(INDEX(RSK_SUP,MATCH(D142,RSK_ID,0)),"")&lt;&gt;B142),"CHECK: Risk belongs to a different supplier",IF(AND(E142&lt;&gt;"",COUNTIF(FND_ID,E142)=0),"CHECK: Finding ID not found",IF(AND(N142="Verified",K142&lt;&gt;"Delivered (self-reported)"),"CHECK: verified but not marked delivered","OK"))))))))</f>
        <v/>
      </c>
      <c r="X142" s="52" t="str">
        <f aca="false">IF(OR(A142="",B142=""),"",IF(AND(T142="Open",B142=RptSup),B142&amp;"|"&amp;COUNTIFS($B$7:B142,B142,$T$7:T142,"Open"),""))</f>
        <v/>
      </c>
    </row>
    <row r="143" customFormat="false" ht="15" hidden="false" customHeight="false" outlineLevel="0" collapsed="false">
      <c r="A143" s="50"/>
      <c r="B143" s="50"/>
      <c r="C143" s="59" t="str">
        <f aca="false">IF(B143="","",IFERROR(INDEX(INV_NAME,MATCH(B143,INV_ID,0)),"CHECK: Supplier ID not found"))</f>
        <v/>
      </c>
      <c r="D143" s="50"/>
      <c r="E143" s="50"/>
      <c r="F143" s="50"/>
      <c r="G143" s="34"/>
      <c r="H143" s="34"/>
      <c r="I143" s="34"/>
      <c r="J143" s="51"/>
      <c r="K143" s="34"/>
      <c r="L143" s="34"/>
      <c r="M143" s="34"/>
      <c r="N143" s="34"/>
      <c r="O143" s="51"/>
      <c r="P143" s="50"/>
      <c r="Q143" s="34"/>
      <c r="R143" s="34"/>
      <c r="S143" s="54" t="str">
        <f aca="false">IF(A143="","",IF(K143="Cancelled","Cancelled",IF(K143="Delivered (self-reported)",IF(N143="Verified","Closed - verified","Delivered - verification pending"),IF(K143="","Not started",K143))))</f>
        <v/>
      </c>
      <c r="T143" s="52" t="str">
        <f aca="false">IF(A143="","",IF(OR(S143="Cancelled",S143="Closed - verified"),"Closed","Open"))</f>
        <v/>
      </c>
      <c r="U143" s="61" t="str">
        <f aca="false">IF(A143="","",IF(AND(T143="Open",ISNUMBER(J143),J143&lt;AsOf),"Overdue",""))</f>
        <v/>
      </c>
      <c r="V143" s="54" t="str">
        <f aca="false">IF(A143="","",IF(F143="Accept",IF(Q143="","CHECK: decision record required - not recorded",IF(COUNTIF(DEC_ID,Q143)=0,"CHECK: Decision ID not found","Decision referenced")),""))</f>
        <v/>
      </c>
      <c r="W143" s="54" t="str">
        <f aca="false">IF(A143="","",IF(COUNTIF(TRT_ID,A143)&gt;1,"CHECK: duplicate ID",IF(B143="","CHECK: Supplier ID missing",IF(COUNTIF(INV_ID,B143)=0,"CHECK: Supplier ID not in inventory",IF(AND(D143&lt;&gt;"",COUNTIF(RSK_ID,D143)=0),"CHECK: Risk ID not found",IF(AND(D143&lt;&gt;"",COUNTIF(RSK_ID,D143)&gt;0,IFERROR(INDEX(RSK_SUP,MATCH(D143,RSK_ID,0)),"")&lt;&gt;B143),"CHECK: Risk belongs to a different supplier",IF(AND(E143&lt;&gt;"",COUNTIF(FND_ID,E143)=0),"CHECK: Finding ID not found",IF(AND(N143="Verified",K143&lt;&gt;"Delivered (self-reported)"),"CHECK: verified but not marked delivered","OK"))))))))</f>
        <v/>
      </c>
      <c r="X143" s="52" t="str">
        <f aca="false">IF(OR(A143="",B143=""),"",IF(AND(T143="Open",B143=RptSup),B143&amp;"|"&amp;COUNTIFS($B$7:B143,B143,$T$7:T143,"Open"),""))</f>
        <v/>
      </c>
    </row>
    <row r="144" customFormat="false" ht="15" hidden="false" customHeight="false" outlineLevel="0" collapsed="false">
      <c r="A144" s="50"/>
      <c r="B144" s="50"/>
      <c r="C144" s="59" t="str">
        <f aca="false">IF(B144="","",IFERROR(INDEX(INV_NAME,MATCH(B144,INV_ID,0)),"CHECK: Supplier ID not found"))</f>
        <v/>
      </c>
      <c r="D144" s="50"/>
      <c r="E144" s="50"/>
      <c r="F144" s="50"/>
      <c r="G144" s="34"/>
      <c r="H144" s="34"/>
      <c r="I144" s="34"/>
      <c r="J144" s="51"/>
      <c r="K144" s="34"/>
      <c r="L144" s="34"/>
      <c r="M144" s="34"/>
      <c r="N144" s="34"/>
      <c r="O144" s="51"/>
      <c r="P144" s="50"/>
      <c r="Q144" s="34"/>
      <c r="R144" s="34"/>
      <c r="S144" s="54" t="str">
        <f aca="false">IF(A144="","",IF(K144="Cancelled","Cancelled",IF(K144="Delivered (self-reported)",IF(N144="Verified","Closed - verified","Delivered - verification pending"),IF(K144="","Not started",K144))))</f>
        <v/>
      </c>
      <c r="T144" s="52" t="str">
        <f aca="false">IF(A144="","",IF(OR(S144="Cancelled",S144="Closed - verified"),"Closed","Open"))</f>
        <v/>
      </c>
      <c r="U144" s="61" t="str">
        <f aca="false">IF(A144="","",IF(AND(T144="Open",ISNUMBER(J144),J144&lt;AsOf),"Overdue",""))</f>
        <v/>
      </c>
      <c r="V144" s="54" t="str">
        <f aca="false">IF(A144="","",IF(F144="Accept",IF(Q144="","CHECK: decision record required - not recorded",IF(COUNTIF(DEC_ID,Q144)=0,"CHECK: Decision ID not found","Decision referenced")),""))</f>
        <v/>
      </c>
      <c r="W144" s="54" t="str">
        <f aca="false">IF(A144="","",IF(COUNTIF(TRT_ID,A144)&gt;1,"CHECK: duplicate ID",IF(B144="","CHECK: Supplier ID missing",IF(COUNTIF(INV_ID,B144)=0,"CHECK: Supplier ID not in inventory",IF(AND(D144&lt;&gt;"",COUNTIF(RSK_ID,D144)=0),"CHECK: Risk ID not found",IF(AND(D144&lt;&gt;"",COUNTIF(RSK_ID,D144)&gt;0,IFERROR(INDEX(RSK_SUP,MATCH(D144,RSK_ID,0)),"")&lt;&gt;B144),"CHECK: Risk belongs to a different supplier",IF(AND(E144&lt;&gt;"",COUNTIF(FND_ID,E144)=0),"CHECK: Finding ID not found",IF(AND(N144="Verified",K144&lt;&gt;"Delivered (self-reported)"),"CHECK: verified but not marked delivered","OK"))))))))</f>
        <v/>
      </c>
      <c r="X144" s="52" t="str">
        <f aca="false">IF(OR(A144="",B144=""),"",IF(AND(T144="Open",B144=RptSup),B144&amp;"|"&amp;COUNTIFS($B$7:B144,B144,$T$7:T144,"Open"),""))</f>
        <v/>
      </c>
    </row>
    <row r="145" customFormat="false" ht="15" hidden="false" customHeight="false" outlineLevel="0" collapsed="false">
      <c r="A145" s="50"/>
      <c r="B145" s="50"/>
      <c r="C145" s="59" t="str">
        <f aca="false">IF(B145="","",IFERROR(INDEX(INV_NAME,MATCH(B145,INV_ID,0)),"CHECK: Supplier ID not found"))</f>
        <v/>
      </c>
      <c r="D145" s="50"/>
      <c r="E145" s="50"/>
      <c r="F145" s="50"/>
      <c r="G145" s="34"/>
      <c r="H145" s="34"/>
      <c r="I145" s="34"/>
      <c r="J145" s="51"/>
      <c r="K145" s="34"/>
      <c r="L145" s="34"/>
      <c r="M145" s="34"/>
      <c r="N145" s="34"/>
      <c r="O145" s="51"/>
      <c r="P145" s="50"/>
      <c r="Q145" s="34"/>
      <c r="R145" s="34"/>
      <c r="S145" s="54" t="str">
        <f aca="false">IF(A145="","",IF(K145="Cancelled","Cancelled",IF(K145="Delivered (self-reported)",IF(N145="Verified","Closed - verified","Delivered - verification pending"),IF(K145="","Not started",K145))))</f>
        <v/>
      </c>
      <c r="T145" s="52" t="str">
        <f aca="false">IF(A145="","",IF(OR(S145="Cancelled",S145="Closed - verified"),"Closed","Open"))</f>
        <v/>
      </c>
      <c r="U145" s="61" t="str">
        <f aca="false">IF(A145="","",IF(AND(T145="Open",ISNUMBER(J145),J145&lt;AsOf),"Overdue",""))</f>
        <v/>
      </c>
      <c r="V145" s="54" t="str">
        <f aca="false">IF(A145="","",IF(F145="Accept",IF(Q145="","CHECK: decision record required - not recorded",IF(COUNTIF(DEC_ID,Q145)=0,"CHECK: Decision ID not found","Decision referenced")),""))</f>
        <v/>
      </c>
      <c r="W145" s="54" t="str">
        <f aca="false">IF(A145="","",IF(COUNTIF(TRT_ID,A145)&gt;1,"CHECK: duplicate ID",IF(B145="","CHECK: Supplier ID missing",IF(COUNTIF(INV_ID,B145)=0,"CHECK: Supplier ID not in inventory",IF(AND(D145&lt;&gt;"",COUNTIF(RSK_ID,D145)=0),"CHECK: Risk ID not found",IF(AND(D145&lt;&gt;"",COUNTIF(RSK_ID,D145)&gt;0,IFERROR(INDEX(RSK_SUP,MATCH(D145,RSK_ID,0)),"")&lt;&gt;B145),"CHECK: Risk belongs to a different supplier",IF(AND(E145&lt;&gt;"",COUNTIF(FND_ID,E145)=0),"CHECK: Finding ID not found",IF(AND(N145="Verified",K145&lt;&gt;"Delivered (self-reported)"),"CHECK: verified but not marked delivered","OK"))))))))</f>
        <v/>
      </c>
      <c r="X145" s="52" t="str">
        <f aca="false">IF(OR(A145="",B145=""),"",IF(AND(T145="Open",B145=RptSup),B145&amp;"|"&amp;COUNTIFS($B$7:B145,B145,$T$7:T145,"Open"),""))</f>
        <v/>
      </c>
    </row>
    <row r="146" customFormat="false" ht="15" hidden="false" customHeight="false" outlineLevel="0" collapsed="false">
      <c r="A146" s="50"/>
      <c r="B146" s="50"/>
      <c r="C146" s="59" t="str">
        <f aca="false">IF(B146="","",IFERROR(INDEX(INV_NAME,MATCH(B146,INV_ID,0)),"CHECK: Supplier ID not found"))</f>
        <v/>
      </c>
      <c r="D146" s="50"/>
      <c r="E146" s="50"/>
      <c r="F146" s="50"/>
      <c r="G146" s="34"/>
      <c r="H146" s="34"/>
      <c r="I146" s="34"/>
      <c r="J146" s="51"/>
      <c r="K146" s="34"/>
      <c r="L146" s="34"/>
      <c r="M146" s="34"/>
      <c r="N146" s="34"/>
      <c r="O146" s="51"/>
      <c r="P146" s="50"/>
      <c r="Q146" s="34"/>
      <c r="R146" s="34"/>
      <c r="S146" s="54" t="str">
        <f aca="false">IF(A146="","",IF(K146="Cancelled","Cancelled",IF(K146="Delivered (self-reported)",IF(N146="Verified","Closed - verified","Delivered - verification pending"),IF(K146="","Not started",K146))))</f>
        <v/>
      </c>
      <c r="T146" s="52" t="str">
        <f aca="false">IF(A146="","",IF(OR(S146="Cancelled",S146="Closed - verified"),"Closed","Open"))</f>
        <v/>
      </c>
      <c r="U146" s="61" t="str">
        <f aca="false">IF(A146="","",IF(AND(T146="Open",ISNUMBER(J146),J146&lt;AsOf),"Overdue",""))</f>
        <v/>
      </c>
      <c r="V146" s="54" t="str">
        <f aca="false">IF(A146="","",IF(F146="Accept",IF(Q146="","CHECK: decision record required - not recorded",IF(COUNTIF(DEC_ID,Q146)=0,"CHECK: Decision ID not found","Decision referenced")),""))</f>
        <v/>
      </c>
      <c r="W146" s="54" t="str">
        <f aca="false">IF(A146="","",IF(COUNTIF(TRT_ID,A146)&gt;1,"CHECK: duplicate ID",IF(B146="","CHECK: Supplier ID missing",IF(COUNTIF(INV_ID,B146)=0,"CHECK: Supplier ID not in inventory",IF(AND(D146&lt;&gt;"",COUNTIF(RSK_ID,D146)=0),"CHECK: Risk ID not found",IF(AND(D146&lt;&gt;"",COUNTIF(RSK_ID,D146)&gt;0,IFERROR(INDEX(RSK_SUP,MATCH(D146,RSK_ID,0)),"")&lt;&gt;B146),"CHECK: Risk belongs to a different supplier",IF(AND(E146&lt;&gt;"",COUNTIF(FND_ID,E146)=0),"CHECK: Finding ID not found",IF(AND(N146="Verified",K146&lt;&gt;"Delivered (self-reported)"),"CHECK: verified but not marked delivered","OK"))))))))</f>
        <v/>
      </c>
      <c r="X146" s="52" t="str">
        <f aca="false">IF(OR(A146="",B146=""),"",IF(AND(T146="Open",B146=RptSup),B146&amp;"|"&amp;COUNTIFS($B$7:B146,B146,$T$7:T146,"Open"),""))</f>
        <v/>
      </c>
    </row>
    <row r="147" customFormat="false" ht="15" hidden="false" customHeight="false" outlineLevel="0" collapsed="false">
      <c r="A147" s="50"/>
      <c r="B147" s="50"/>
      <c r="C147" s="59" t="str">
        <f aca="false">IF(B147="","",IFERROR(INDEX(INV_NAME,MATCH(B147,INV_ID,0)),"CHECK: Supplier ID not found"))</f>
        <v/>
      </c>
      <c r="D147" s="50"/>
      <c r="E147" s="50"/>
      <c r="F147" s="50"/>
      <c r="G147" s="34"/>
      <c r="H147" s="34"/>
      <c r="I147" s="34"/>
      <c r="J147" s="51"/>
      <c r="K147" s="34"/>
      <c r="L147" s="34"/>
      <c r="M147" s="34"/>
      <c r="N147" s="34"/>
      <c r="O147" s="51"/>
      <c r="P147" s="50"/>
      <c r="Q147" s="34"/>
      <c r="R147" s="34"/>
      <c r="S147" s="54" t="str">
        <f aca="false">IF(A147="","",IF(K147="Cancelled","Cancelled",IF(K147="Delivered (self-reported)",IF(N147="Verified","Closed - verified","Delivered - verification pending"),IF(K147="","Not started",K147))))</f>
        <v/>
      </c>
      <c r="T147" s="52" t="str">
        <f aca="false">IF(A147="","",IF(OR(S147="Cancelled",S147="Closed - verified"),"Closed","Open"))</f>
        <v/>
      </c>
      <c r="U147" s="61" t="str">
        <f aca="false">IF(A147="","",IF(AND(T147="Open",ISNUMBER(J147),J147&lt;AsOf),"Overdue",""))</f>
        <v/>
      </c>
      <c r="V147" s="54" t="str">
        <f aca="false">IF(A147="","",IF(F147="Accept",IF(Q147="","CHECK: decision record required - not recorded",IF(COUNTIF(DEC_ID,Q147)=0,"CHECK: Decision ID not found","Decision referenced")),""))</f>
        <v/>
      </c>
      <c r="W147" s="54" t="str">
        <f aca="false">IF(A147="","",IF(COUNTIF(TRT_ID,A147)&gt;1,"CHECK: duplicate ID",IF(B147="","CHECK: Supplier ID missing",IF(COUNTIF(INV_ID,B147)=0,"CHECK: Supplier ID not in inventory",IF(AND(D147&lt;&gt;"",COUNTIF(RSK_ID,D147)=0),"CHECK: Risk ID not found",IF(AND(D147&lt;&gt;"",COUNTIF(RSK_ID,D147)&gt;0,IFERROR(INDEX(RSK_SUP,MATCH(D147,RSK_ID,0)),"")&lt;&gt;B147),"CHECK: Risk belongs to a different supplier",IF(AND(E147&lt;&gt;"",COUNTIF(FND_ID,E147)=0),"CHECK: Finding ID not found",IF(AND(N147="Verified",K147&lt;&gt;"Delivered (self-reported)"),"CHECK: verified but not marked delivered","OK"))))))))</f>
        <v/>
      </c>
      <c r="X147" s="52" t="str">
        <f aca="false">IF(OR(A147="",B147=""),"",IF(AND(T147="Open",B147=RptSup),B147&amp;"|"&amp;COUNTIFS($B$7:B147,B147,$T$7:T147,"Open"),""))</f>
        <v/>
      </c>
    </row>
    <row r="148" customFormat="false" ht="15" hidden="false" customHeight="false" outlineLevel="0" collapsed="false">
      <c r="A148" s="50"/>
      <c r="B148" s="50"/>
      <c r="C148" s="59" t="str">
        <f aca="false">IF(B148="","",IFERROR(INDEX(INV_NAME,MATCH(B148,INV_ID,0)),"CHECK: Supplier ID not found"))</f>
        <v/>
      </c>
      <c r="D148" s="50"/>
      <c r="E148" s="50"/>
      <c r="F148" s="50"/>
      <c r="G148" s="34"/>
      <c r="H148" s="34"/>
      <c r="I148" s="34"/>
      <c r="J148" s="51"/>
      <c r="K148" s="34"/>
      <c r="L148" s="34"/>
      <c r="M148" s="34"/>
      <c r="N148" s="34"/>
      <c r="O148" s="51"/>
      <c r="P148" s="50"/>
      <c r="Q148" s="34"/>
      <c r="R148" s="34"/>
      <c r="S148" s="54" t="str">
        <f aca="false">IF(A148="","",IF(K148="Cancelled","Cancelled",IF(K148="Delivered (self-reported)",IF(N148="Verified","Closed - verified","Delivered - verification pending"),IF(K148="","Not started",K148))))</f>
        <v/>
      </c>
      <c r="T148" s="52" t="str">
        <f aca="false">IF(A148="","",IF(OR(S148="Cancelled",S148="Closed - verified"),"Closed","Open"))</f>
        <v/>
      </c>
      <c r="U148" s="61" t="str">
        <f aca="false">IF(A148="","",IF(AND(T148="Open",ISNUMBER(J148),J148&lt;AsOf),"Overdue",""))</f>
        <v/>
      </c>
      <c r="V148" s="54" t="str">
        <f aca="false">IF(A148="","",IF(F148="Accept",IF(Q148="","CHECK: decision record required - not recorded",IF(COUNTIF(DEC_ID,Q148)=0,"CHECK: Decision ID not found","Decision referenced")),""))</f>
        <v/>
      </c>
      <c r="W148" s="54" t="str">
        <f aca="false">IF(A148="","",IF(COUNTIF(TRT_ID,A148)&gt;1,"CHECK: duplicate ID",IF(B148="","CHECK: Supplier ID missing",IF(COUNTIF(INV_ID,B148)=0,"CHECK: Supplier ID not in inventory",IF(AND(D148&lt;&gt;"",COUNTIF(RSK_ID,D148)=0),"CHECK: Risk ID not found",IF(AND(D148&lt;&gt;"",COUNTIF(RSK_ID,D148)&gt;0,IFERROR(INDEX(RSK_SUP,MATCH(D148,RSK_ID,0)),"")&lt;&gt;B148),"CHECK: Risk belongs to a different supplier",IF(AND(E148&lt;&gt;"",COUNTIF(FND_ID,E148)=0),"CHECK: Finding ID not found",IF(AND(N148="Verified",K148&lt;&gt;"Delivered (self-reported)"),"CHECK: verified but not marked delivered","OK"))))))))</f>
        <v/>
      </c>
      <c r="X148" s="52" t="str">
        <f aca="false">IF(OR(A148="",B148=""),"",IF(AND(T148="Open",B148=RptSup),B148&amp;"|"&amp;COUNTIFS($B$7:B148,B148,$T$7:T148,"Open"),""))</f>
        <v/>
      </c>
    </row>
    <row r="149" customFormat="false" ht="15" hidden="false" customHeight="false" outlineLevel="0" collapsed="false">
      <c r="A149" s="50"/>
      <c r="B149" s="50"/>
      <c r="C149" s="59" t="str">
        <f aca="false">IF(B149="","",IFERROR(INDEX(INV_NAME,MATCH(B149,INV_ID,0)),"CHECK: Supplier ID not found"))</f>
        <v/>
      </c>
      <c r="D149" s="50"/>
      <c r="E149" s="50"/>
      <c r="F149" s="50"/>
      <c r="G149" s="34"/>
      <c r="H149" s="34"/>
      <c r="I149" s="34"/>
      <c r="J149" s="51"/>
      <c r="K149" s="34"/>
      <c r="L149" s="34"/>
      <c r="M149" s="34"/>
      <c r="N149" s="34"/>
      <c r="O149" s="51"/>
      <c r="P149" s="50"/>
      <c r="Q149" s="34"/>
      <c r="R149" s="34"/>
      <c r="S149" s="54" t="str">
        <f aca="false">IF(A149="","",IF(K149="Cancelled","Cancelled",IF(K149="Delivered (self-reported)",IF(N149="Verified","Closed - verified","Delivered - verification pending"),IF(K149="","Not started",K149))))</f>
        <v/>
      </c>
      <c r="T149" s="52" t="str">
        <f aca="false">IF(A149="","",IF(OR(S149="Cancelled",S149="Closed - verified"),"Closed","Open"))</f>
        <v/>
      </c>
      <c r="U149" s="61" t="str">
        <f aca="false">IF(A149="","",IF(AND(T149="Open",ISNUMBER(J149),J149&lt;AsOf),"Overdue",""))</f>
        <v/>
      </c>
      <c r="V149" s="54" t="str">
        <f aca="false">IF(A149="","",IF(F149="Accept",IF(Q149="","CHECK: decision record required - not recorded",IF(COUNTIF(DEC_ID,Q149)=0,"CHECK: Decision ID not found","Decision referenced")),""))</f>
        <v/>
      </c>
      <c r="W149" s="54" t="str">
        <f aca="false">IF(A149="","",IF(COUNTIF(TRT_ID,A149)&gt;1,"CHECK: duplicate ID",IF(B149="","CHECK: Supplier ID missing",IF(COUNTIF(INV_ID,B149)=0,"CHECK: Supplier ID not in inventory",IF(AND(D149&lt;&gt;"",COUNTIF(RSK_ID,D149)=0),"CHECK: Risk ID not found",IF(AND(D149&lt;&gt;"",COUNTIF(RSK_ID,D149)&gt;0,IFERROR(INDEX(RSK_SUP,MATCH(D149,RSK_ID,0)),"")&lt;&gt;B149),"CHECK: Risk belongs to a different supplier",IF(AND(E149&lt;&gt;"",COUNTIF(FND_ID,E149)=0),"CHECK: Finding ID not found",IF(AND(N149="Verified",K149&lt;&gt;"Delivered (self-reported)"),"CHECK: verified but not marked delivered","OK"))))))))</f>
        <v/>
      </c>
      <c r="X149" s="52" t="str">
        <f aca="false">IF(OR(A149="",B149=""),"",IF(AND(T149="Open",B149=RptSup),B149&amp;"|"&amp;COUNTIFS($B$7:B149,B149,$T$7:T149,"Open"),""))</f>
        <v/>
      </c>
    </row>
    <row r="150" customFormat="false" ht="15" hidden="false" customHeight="false" outlineLevel="0" collapsed="false">
      <c r="A150" s="50"/>
      <c r="B150" s="50"/>
      <c r="C150" s="59" t="str">
        <f aca="false">IF(B150="","",IFERROR(INDEX(INV_NAME,MATCH(B150,INV_ID,0)),"CHECK: Supplier ID not found"))</f>
        <v/>
      </c>
      <c r="D150" s="50"/>
      <c r="E150" s="50"/>
      <c r="F150" s="50"/>
      <c r="G150" s="34"/>
      <c r="H150" s="34"/>
      <c r="I150" s="34"/>
      <c r="J150" s="51"/>
      <c r="K150" s="34"/>
      <c r="L150" s="34"/>
      <c r="M150" s="34"/>
      <c r="N150" s="34"/>
      <c r="O150" s="51"/>
      <c r="P150" s="50"/>
      <c r="Q150" s="34"/>
      <c r="R150" s="34"/>
      <c r="S150" s="54" t="str">
        <f aca="false">IF(A150="","",IF(K150="Cancelled","Cancelled",IF(K150="Delivered (self-reported)",IF(N150="Verified","Closed - verified","Delivered - verification pending"),IF(K150="","Not started",K150))))</f>
        <v/>
      </c>
      <c r="T150" s="52" t="str">
        <f aca="false">IF(A150="","",IF(OR(S150="Cancelled",S150="Closed - verified"),"Closed","Open"))</f>
        <v/>
      </c>
      <c r="U150" s="61" t="str">
        <f aca="false">IF(A150="","",IF(AND(T150="Open",ISNUMBER(J150),J150&lt;AsOf),"Overdue",""))</f>
        <v/>
      </c>
      <c r="V150" s="54" t="str">
        <f aca="false">IF(A150="","",IF(F150="Accept",IF(Q150="","CHECK: decision record required - not recorded",IF(COUNTIF(DEC_ID,Q150)=0,"CHECK: Decision ID not found","Decision referenced")),""))</f>
        <v/>
      </c>
      <c r="W150" s="54" t="str">
        <f aca="false">IF(A150="","",IF(COUNTIF(TRT_ID,A150)&gt;1,"CHECK: duplicate ID",IF(B150="","CHECK: Supplier ID missing",IF(COUNTIF(INV_ID,B150)=0,"CHECK: Supplier ID not in inventory",IF(AND(D150&lt;&gt;"",COUNTIF(RSK_ID,D150)=0),"CHECK: Risk ID not found",IF(AND(D150&lt;&gt;"",COUNTIF(RSK_ID,D150)&gt;0,IFERROR(INDEX(RSK_SUP,MATCH(D150,RSK_ID,0)),"")&lt;&gt;B150),"CHECK: Risk belongs to a different supplier",IF(AND(E150&lt;&gt;"",COUNTIF(FND_ID,E150)=0),"CHECK: Finding ID not found",IF(AND(N150="Verified",K150&lt;&gt;"Delivered (self-reported)"),"CHECK: verified but not marked delivered","OK"))))))))</f>
        <v/>
      </c>
      <c r="X150" s="52" t="str">
        <f aca="false">IF(OR(A150="",B150=""),"",IF(AND(T150="Open",B150=RptSup),B150&amp;"|"&amp;COUNTIFS($B$7:B150,B150,$T$7:T150,"Open"),""))</f>
        <v/>
      </c>
    </row>
    <row r="151" customFormat="false" ht="15" hidden="false" customHeight="false" outlineLevel="0" collapsed="false">
      <c r="A151" s="50"/>
      <c r="B151" s="50"/>
      <c r="C151" s="59" t="str">
        <f aca="false">IF(B151="","",IFERROR(INDEX(INV_NAME,MATCH(B151,INV_ID,0)),"CHECK: Supplier ID not found"))</f>
        <v/>
      </c>
      <c r="D151" s="50"/>
      <c r="E151" s="50"/>
      <c r="F151" s="50"/>
      <c r="G151" s="34"/>
      <c r="H151" s="34"/>
      <c r="I151" s="34"/>
      <c r="J151" s="51"/>
      <c r="K151" s="34"/>
      <c r="L151" s="34"/>
      <c r="M151" s="34"/>
      <c r="N151" s="34"/>
      <c r="O151" s="51"/>
      <c r="P151" s="50"/>
      <c r="Q151" s="34"/>
      <c r="R151" s="34"/>
      <c r="S151" s="54" t="str">
        <f aca="false">IF(A151="","",IF(K151="Cancelled","Cancelled",IF(K151="Delivered (self-reported)",IF(N151="Verified","Closed - verified","Delivered - verification pending"),IF(K151="","Not started",K151))))</f>
        <v/>
      </c>
      <c r="T151" s="52" t="str">
        <f aca="false">IF(A151="","",IF(OR(S151="Cancelled",S151="Closed - verified"),"Closed","Open"))</f>
        <v/>
      </c>
      <c r="U151" s="61" t="str">
        <f aca="false">IF(A151="","",IF(AND(T151="Open",ISNUMBER(J151),J151&lt;AsOf),"Overdue",""))</f>
        <v/>
      </c>
      <c r="V151" s="54" t="str">
        <f aca="false">IF(A151="","",IF(F151="Accept",IF(Q151="","CHECK: decision record required - not recorded",IF(COUNTIF(DEC_ID,Q151)=0,"CHECK: Decision ID not found","Decision referenced")),""))</f>
        <v/>
      </c>
      <c r="W151" s="54" t="str">
        <f aca="false">IF(A151="","",IF(COUNTIF(TRT_ID,A151)&gt;1,"CHECK: duplicate ID",IF(B151="","CHECK: Supplier ID missing",IF(COUNTIF(INV_ID,B151)=0,"CHECK: Supplier ID not in inventory",IF(AND(D151&lt;&gt;"",COUNTIF(RSK_ID,D151)=0),"CHECK: Risk ID not found",IF(AND(D151&lt;&gt;"",COUNTIF(RSK_ID,D151)&gt;0,IFERROR(INDEX(RSK_SUP,MATCH(D151,RSK_ID,0)),"")&lt;&gt;B151),"CHECK: Risk belongs to a different supplier",IF(AND(E151&lt;&gt;"",COUNTIF(FND_ID,E151)=0),"CHECK: Finding ID not found",IF(AND(N151="Verified",K151&lt;&gt;"Delivered (self-reported)"),"CHECK: verified but not marked delivered","OK"))))))))</f>
        <v/>
      </c>
      <c r="X151" s="52" t="str">
        <f aca="false">IF(OR(A151="",B151=""),"",IF(AND(T151="Open",B151=RptSup),B151&amp;"|"&amp;COUNTIFS($B$7:B151,B151,$T$7:T151,"Open"),""))</f>
        <v/>
      </c>
    </row>
    <row r="152" customFormat="false" ht="15" hidden="false" customHeight="false" outlineLevel="0" collapsed="false">
      <c r="A152" s="50"/>
      <c r="B152" s="50"/>
      <c r="C152" s="59" t="str">
        <f aca="false">IF(B152="","",IFERROR(INDEX(INV_NAME,MATCH(B152,INV_ID,0)),"CHECK: Supplier ID not found"))</f>
        <v/>
      </c>
      <c r="D152" s="50"/>
      <c r="E152" s="50"/>
      <c r="F152" s="50"/>
      <c r="G152" s="34"/>
      <c r="H152" s="34"/>
      <c r="I152" s="34"/>
      <c r="J152" s="51"/>
      <c r="K152" s="34"/>
      <c r="L152" s="34"/>
      <c r="M152" s="34"/>
      <c r="N152" s="34"/>
      <c r="O152" s="51"/>
      <c r="P152" s="50"/>
      <c r="Q152" s="34"/>
      <c r="R152" s="34"/>
      <c r="S152" s="54" t="str">
        <f aca="false">IF(A152="","",IF(K152="Cancelled","Cancelled",IF(K152="Delivered (self-reported)",IF(N152="Verified","Closed - verified","Delivered - verification pending"),IF(K152="","Not started",K152))))</f>
        <v/>
      </c>
      <c r="T152" s="52" t="str">
        <f aca="false">IF(A152="","",IF(OR(S152="Cancelled",S152="Closed - verified"),"Closed","Open"))</f>
        <v/>
      </c>
      <c r="U152" s="61" t="str">
        <f aca="false">IF(A152="","",IF(AND(T152="Open",ISNUMBER(J152),J152&lt;AsOf),"Overdue",""))</f>
        <v/>
      </c>
      <c r="V152" s="54" t="str">
        <f aca="false">IF(A152="","",IF(F152="Accept",IF(Q152="","CHECK: decision record required - not recorded",IF(COUNTIF(DEC_ID,Q152)=0,"CHECK: Decision ID not found","Decision referenced")),""))</f>
        <v/>
      </c>
      <c r="W152" s="54" t="str">
        <f aca="false">IF(A152="","",IF(COUNTIF(TRT_ID,A152)&gt;1,"CHECK: duplicate ID",IF(B152="","CHECK: Supplier ID missing",IF(COUNTIF(INV_ID,B152)=0,"CHECK: Supplier ID not in inventory",IF(AND(D152&lt;&gt;"",COUNTIF(RSK_ID,D152)=0),"CHECK: Risk ID not found",IF(AND(D152&lt;&gt;"",COUNTIF(RSK_ID,D152)&gt;0,IFERROR(INDEX(RSK_SUP,MATCH(D152,RSK_ID,0)),"")&lt;&gt;B152),"CHECK: Risk belongs to a different supplier",IF(AND(E152&lt;&gt;"",COUNTIF(FND_ID,E152)=0),"CHECK: Finding ID not found",IF(AND(N152="Verified",K152&lt;&gt;"Delivered (self-reported)"),"CHECK: verified but not marked delivered","OK"))))))))</f>
        <v/>
      </c>
      <c r="X152" s="52" t="str">
        <f aca="false">IF(OR(A152="",B152=""),"",IF(AND(T152="Open",B152=RptSup),B152&amp;"|"&amp;COUNTIFS($B$7:B152,B152,$T$7:T152,"Open"),""))</f>
        <v/>
      </c>
    </row>
    <row r="153" customFormat="false" ht="15" hidden="false" customHeight="false" outlineLevel="0" collapsed="false">
      <c r="A153" s="50"/>
      <c r="B153" s="50"/>
      <c r="C153" s="59" t="str">
        <f aca="false">IF(B153="","",IFERROR(INDEX(INV_NAME,MATCH(B153,INV_ID,0)),"CHECK: Supplier ID not found"))</f>
        <v/>
      </c>
      <c r="D153" s="50"/>
      <c r="E153" s="50"/>
      <c r="F153" s="50"/>
      <c r="G153" s="34"/>
      <c r="H153" s="34"/>
      <c r="I153" s="34"/>
      <c r="J153" s="51"/>
      <c r="K153" s="34"/>
      <c r="L153" s="34"/>
      <c r="M153" s="34"/>
      <c r="N153" s="34"/>
      <c r="O153" s="51"/>
      <c r="P153" s="50"/>
      <c r="Q153" s="34"/>
      <c r="R153" s="34"/>
      <c r="S153" s="54" t="str">
        <f aca="false">IF(A153="","",IF(K153="Cancelled","Cancelled",IF(K153="Delivered (self-reported)",IF(N153="Verified","Closed - verified","Delivered - verification pending"),IF(K153="","Not started",K153))))</f>
        <v/>
      </c>
      <c r="T153" s="52" t="str">
        <f aca="false">IF(A153="","",IF(OR(S153="Cancelled",S153="Closed - verified"),"Closed","Open"))</f>
        <v/>
      </c>
      <c r="U153" s="61" t="str">
        <f aca="false">IF(A153="","",IF(AND(T153="Open",ISNUMBER(J153),J153&lt;AsOf),"Overdue",""))</f>
        <v/>
      </c>
      <c r="V153" s="54" t="str">
        <f aca="false">IF(A153="","",IF(F153="Accept",IF(Q153="","CHECK: decision record required - not recorded",IF(COUNTIF(DEC_ID,Q153)=0,"CHECK: Decision ID not found","Decision referenced")),""))</f>
        <v/>
      </c>
      <c r="W153" s="54" t="str">
        <f aca="false">IF(A153="","",IF(COUNTIF(TRT_ID,A153)&gt;1,"CHECK: duplicate ID",IF(B153="","CHECK: Supplier ID missing",IF(COUNTIF(INV_ID,B153)=0,"CHECK: Supplier ID not in inventory",IF(AND(D153&lt;&gt;"",COUNTIF(RSK_ID,D153)=0),"CHECK: Risk ID not found",IF(AND(D153&lt;&gt;"",COUNTIF(RSK_ID,D153)&gt;0,IFERROR(INDEX(RSK_SUP,MATCH(D153,RSK_ID,0)),"")&lt;&gt;B153),"CHECK: Risk belongs to a different supplier",IF(AND(E153&lt;&gt;"",COUNTIF(FND_ID,E153)=0),"CHECK: Finding ID not found",IF(AND(N153="Verified",K153&lt;&gt;"Delivered (self-reported)"),"CHECK: verified but not marked delivered","OK"))))))))</f>
        <v/>
      </c>
      <c r="X153" s="52" t="str">
        <f aca="false">IF(OR(A153="",B153=""),"",IF(AND(T153="Open",B153=RptSup),B153&amp;"|"&amp;COUNTIFS($B$7:B153,B153,$T$7:T153,"Open"),""))</f>
        <v/>
      </c>
    </row>
    <row r="154" customFormat="false" ht="15" hidden="false" customHeight="false" outlineLevel="0" collapsed="false">
      <c r="A154" s="50"/>
      <c r="B154" s="50"/>
      <c r="C154" s="59" t="str">
        <f aca="false">IF(B154="","",IFERROR(INDEX(INV_NAME,MATCH(B154,INV_ID,0)),"CHECK: Supplier ID not found"))</f>
        <v/>
      </c>
      <c r="D154" s="50"/>
      <c r="E154" s="50"/>
      <c r="F154" s="50"/>
      <c r="G154" s="34"/>
      <c r="H154" s="34"/>
      <c r="I154" s="34"/>
      <c r="J154" s="51"/>
      <c r="K154" s="34"/>
      <c r="L154" s="34"/>
      <c r="M154" s="34"/>
      <c r="N154" s="34"/>
      <c r="O154" s="51"/>
      <c r="P154" s="50"/>
      <c r="Q154" s="34"/>
      <c r="R154" s="34"/>
      <c r="S154" s="54" t="str">
        <f aca="false">IF(A154="","",IF(K154="Cancelled","Cancelled",IF(K154="Delivered (self-reported)",IF(N154="Verified","Closed - verified","Delivered - verification pending"),IF(K154="","Not started",K154))))</f>
        <v/>
      </c>
      <c r="T154" s="52" t="str">
        <f aca="false">IF(A154="","",IF(OR(S154="Cancelled",S154="Closed - verified"),"Closed","Open"))</f>
        <v/>
      </c>
      <c r="U154" s="61" t="str">
        <f aca="false">IF(A154="","",IF(AND(T154="Open",ISNUMBER(J154),J154&lt;AsOf),"Overdue",""))</f>
        <v/>
      </c>
      <c r="V154" s="54" t="str">
        <f aca="false">IF(A154="","",IF(F154="Accept",IF(Q154="","CHECK: decision record required - not recorded",IF(COUNTIF(DEC_ID,Q154)=0,"CHECK: Decision ID not found","Decision referenced")),""))</f>
        <v/>
      </c>
      <c r="W154" s="54" t="str">
        <f aca="false">IF(A154="","",IF(COUNTIF(TRT_ID,A154)&gt;1,"CHECK: duplicate ID",IF(B154="","CHECK: Supplier ID missing",IF(COUNTIF(INV_ID,B154)=0,"CHECK: Supplier ID not in inventory",IF(AND(D154&lt;&gt;"",COUNTIF(RSK_ID,D154)=0),"CHECK: Risk ID not found",IF(AND(D154&lt;&gt;"",COUNTIF(RSK_ID,D154)&gt;0,IFERROR(INDEX(RSK_SUP,MATCH(D154,RSK_ID,0)),"")&lt;&gt;B154),"CHECK: Risk belongs to a different supplier",IF(AND(E154&lt;&gt;"",COUNTIF(FND_ID,E154)=0),"CHECK: Finding ID not found",IF(AND(N154="Verified",K154&lt;&gt;"Delivered (self-reported)"),"CHECK: verified but not marked delivered","OK"))))))))</f>
        <v/>
      </c>
      <c r="X154" s="52" t="str">
        <f aca="false">IF(OR(A154="",B154=""),"",IF(AND(T154="Open",B154=RptSup),B154&amp;"|"&amp;COUNTIFS($B$7:B154,B154,$T$7:T154,"Open"),""))</f>
        <v/>
      </c>
    </row>
    <row r="155" customFormat="false" ht="15" hidden="false" customHeight="false" outlineLevel="0" collapsed="false">
      <c r="A155" s="50"/>
      <c r="B155" s="50"/>
      <c r="C155" s="59" t="str">
        <f aca="false">IF(B155="","",IFERROR(INDEX(INV_NAME,MATCH(B155,INV_ID,0)),"CHECK: Supplier ID not found"))</f>
        <v/>
      </c>
      <c r="D155" s="50"/>
      <c r="E155" s="50"/>
      <c r="F155" s="50"/>
      <c r="G155" s="34"/>
      <c r="H155" s="34"/>
      <c r="I155" s="34"/>
      <c r="J155" s="51"/>
      <c r="K155" s="34"/>
      <c r="L155" s="34"/>
      <c r="M155" s="34"/>
      <c r="N155" s="34"/>
      <c r="O155" s="51"/>
      <c r="P155" s="50"/>
      <c r="Q155" s="34"/>
      <c r="R155" s="34"/>
      <c r="S155" s="54" t="str">
        <f aca="false">IF(A155="","",IF(K155="Cancelled","Cancelled",IF(K155="Delivered (self-reported)",IF(N155="Verified","Closed - verified","Delivered - verification pending"),IF(K155="","Not started",K155))))</f>
        <v/>
      </c>
      <c r="T155" s="52" t="str">
        <f aca="false">IF(A155="","",IF(OR(S155="Cancelled",S155="Closed - verified"),"Closed","Open"))</f>
        <v/>
      </c>
      <c r="U155" s="61" t="str">
        <f aca="false">IF(A155="","",IF(AND(T155="Open",ISNUMBER(J155),J155&lt;AsOf),"Overdue",""))</f>
        <v/>
      </c>
      <c r="V155" s="54" t="str">
        <f aca="false">IF(A155="","",IF(F155="Accept",IF(Q155="","CHECK: decision record required - not recorded",IF(COUNTIF(DEC_ID,Q155)=0,"CHECK: Decision ID not found","Decision referenced")),""))</f>
        <v/>
      </c>
      <c r="W155" s="54" t="str">
        <f aca="false">IF(A155="","",IF(COUNTIF(TRT_ID,A155)&gt;1,"CHECK: duplicate ID",IF(B155="","CHECK: Supplier ID missing",IF(COUNTIF(INV_ID,B155)=0,"CHECK: Supplier ID not in inventory",IF(AND(D155&lt;&gt;"",COUNTIF(RSK_ID,D155)=0),"CHECK: Risk ID not found",IF(AND(D155&lt;&gt;"",COUNTIF(RSK_ID,D155)&gt;0,IFERROR(INDEX(RSK_SUP,MATCH(D155,RSK_ID,0)),"")&lt;&gt;B155),"CHECK: Risk belongs to a different supplier",IF(AND(E155&lt;&gt;"",COUNTIF(FND_ID,E155)=0),"CHECK: Finding ID not found",IF(AND(N155="Verified",K155&lt;&gt;"Delivered (self-reported)"),"CHECK: verified but not marked delivered","OK"))))))))</f>
        <v/>
      </c>
      <c r="X155" s="52" t="str">
        <f aca="false">IF(OR(A155="",B155=""),"",IF(AND(T155="Open",B155=RptSup),B155&amp;"|"&amp;COUNTIFS($B$7:B155,B155,$T$7:T155,"Open"),""))</f>
        <v/>
      </c>
    </row>
    <row r="156" customFormat="false" ht="15" hidden="false" customHeight="false" outlineLevel="0" collapsed="false">
      <c r="A156" s="50"/>
      <c r="B156" s="50"/>
      <c r="C156" s="59" t="str">
        <f aca="false">IF(B156="","",IFERROR(INDEX(INV_NAME,MATCH(B156,INV_ID,0)),"CHECK: Supplier ID not found"))</f>
        <v/>
      </c>
      <c r="D156" s="50"/>
      <c r="E156" s="50"/>
      <c r="F156" s="50"/>
      <c r="G156" s="34"/>
      <c r="H156" s="34"/>
      <c r="I156" s="34"/>
      <c r="J156" s="51"/>
      <c r="K156" s="34"/>
      <c r="L156" s="34"/>
      <c r="M156" s="34"/>
      <c r="N156" s="34"/>
      <c r="O156" s="51"/>
      <c r="P156" s="50"/>
      <c r="Q156" s="34"/>
      <c r="R156" s="34"/>
      <c r="S156" s="54" t="str">
        <f aca="false">IF(A156="","",IF(K156="Cancelled","Cancelled",IF(K156="Delivered (self-reported)",IF(N156="Verified","Closed - verified","Delivered - verification pending"),IF(K156="","Not started",K156))))</f>
        <v/>
      </c>
      <c r="T156" s="52" t="str">
        <f aca="false">IF(A156="","",IF(OR(S156="Cancelled",S156="Closed - verified"),"Closed","Open"))</f>
        <v/>
      </c>
      <c r="U156" s="61" t="str">
        <f aca="false">IF(A156="","",IF(AND(T156="Open",ISNUMBER(J156),J156&lt;AsOf),"Overdue",""))</f>
        <v/>
      </c>
      <c r="V156" s="54" t="str">
        <f aca="false">IF(A156="","",IF(F156="Accept",IF(Q156="","CHECK: decision record required - not recorded",IF(COUNTIF(DEC_ID,Q156)=0,"CHECK: Decision ID not found","Decision referenced")),""))</f>
        <v/>
      </c>
      <c r="W156" s="54" t="str">
        <f aca="false">IF(A156="","",IF(COUNTIF(TRT_ID,A156)&gt;1,"CHECK: duplicate ID",IF(B156="","CHECK: Supplier ID missing",IF(COUNTIF(INV_ID,B156)=0,"CHECK: Supplier ID not in inventory",IF(AND(D156&lt;&gt;"",COUNTIF(RSK_ID,D156)=0),"CHECK: Risk ID not found",IF(AND(D156&lt;&gt;"",COUNTIF(RSK_ID,D156)&gt;0,IFERROR(INDEX(RSK_SUP,MATCH(D156,RSK_ID,0)),"")&lt;&gt;B156),"CHECK: Risk belongs to a different supplier",IF(AND(E156&lt;&gt;"",COUNTIF(FND_ID,E156)=0),"CHECK: Finding ID not found",IF(AND(N156="Verified",K156&lt;&gt;"Delivered (self-reported)"),"CHECK: verified but not marked delivered","OK"))))))))</f>
        <v/>
      </c>
      <c r="X156" s="52" t="str">
        <f aca="false">IF(OR(A156="",B156=""),"",IF(AND(T156="Open",B156=RptSup),B156&amp;"|"&amp;COUNTIFS($B$7:B156,B156,$T$7:T156,"Open"),""))</f>
        <v/>
      </c>
    </row>
  </sheetData>
  <sheetProtection sheet="true" formatColumns="false" formatRows="false" sort="false" autoFilter="false"/>
  <conditionalFormatting sqref="S7:S156">
    <cfRule type="expression" priority="2" aboveAverage="0" equalAverage="0" bottom="0" percent="0" rank="0" text="" dxfId="0">
      <formula>OR(ISNUMBER(SEARCH("Above appetite",S7)),ISNUMBER(SEARCH("Overdue",S7)),ISNUMBER(SEARCH("Expired",S7)),ISNUMBER(SEARCH("Breach",S7)),ISNUMBER(SEARCH("CHECK",S7)),ISNUMBER(SEARCH("Not ready",S7)),ISNUMBER(SEARCH("REMAINS",S7)),ISNUMBER(SEARCH("Failed",S7)),ISNUMBER(SEARCH("Cannot assess",S7)))</formula>
    </cfRule>
    <cfRule type="expression" priority="3" aboveAverage="0" equalAverage="0" bottom="0" percent="0" rank="0" text="" dxfId="21">
      <formula>OR(ISNUMBER(SEARCH("Incomplete",S7)),ISNUMBER(SEARCH("Pending",S7)),ISNUMBER(SEARCH("Approaching",S7)),ISNUMBER(SEARCH("insufficient",S7)),ISNUMBER(SEARCH("Awaiting",S7)),ISNUMBER(SEARCH("Review due",S7)),ISNUMBER(SEARCH("Not configured",S7)),ISNUMBER(SEARCH("Not classified",S7)),ISNUMBER(SEARCH("Proposed",S7)),ISNUMBER(SEARCH("Verification",S7)),ISNUMBER(SEARCH("Scope limitation",S7)),ISNUMBER(SEARCH("Follow-up",S7)),ISNUMBER(SEARCH("Open gap",S7)),ISNUMBER(SEARCH("Delivered - verification",S7)),ISNUMBER(SEARCH("Historical",S7)),ISNUMBER(SEARCH("Not scheduled",S7)),ISNUMBER(SEARCH("Not determined",S7)),ISNUMBER(SEARCH("Decision record",S7)),ISNUMBER(SEARCH("Due soon",S7)),ISNUMBER(SEARCH("Not reviewed",S7)),ISNUMBER(SEARCH("Tier not",S7)),ISNUMBER(SEARCH("No decision",S7)),ISNUMBER(SEARCH("Superseded",S7)),ISNUMBER(SEARCH("Optional",S7)),ISNUMBER(SEARCH("legal review",S7)),ISNUMBER(SEARCH("No treatment",S7)),ISNUMBER(SEARCH("not recorded",S7)),ISNUMBER(SEARCH("consider",S7)),ISNUMBER(SEARCH("Not set",S7)),ISNUMBER(SEARCH("Not started",S7)),ISNUMBER(SEARCH("No expiry",S7)),ISNUMBER(SEARCH("No KRI",S7)),ISNUMBER(SEARCH("no reassessment",S7)),ISNUMBER(SEARCH("Applicability",S7)),ISNUMBER(SEARCH("Not current",S7)),ISNUMBER(SEARCH("assess relevance",S7)))</formula>
    </cfRule>
    <cfRule type="expression" priority="4" aboveAverage="0" equalAverage="0" bottom="0" percent="0" rank="0" text="" dxfId="22">
      <formula>OR(LEFT(S7,2)="OK",LEFT(S7,8)="Complete",LEFT(S7,7)="Current",LEFT(S7,10)="Authorised",LEFT(S7,6)="Within",LEFT(S7,11)="On schedule",LEFT(S7,17)="Ready for closure",LEFT(S7,17)="Evidence reviewed",LEFT(S7,19)="Decision referenced",LEFT(S7,27)="Reassessment event recorded",LEFT(S7,14)="Period current",LEFT(S7,17)="Gap dispositioned",LEFT(S7,17)="Reviewed - no gap",LEFT(S7,11)="Recommended",LEFT(S7,17)="Closed - verified")</formula>
    </cfRule>
  </conditionalFormatting>
  <conditionalFormatting sqref="T7:T156">
    <cfRule type="expression" priority="5" aboveAverage="0" equalAverage="0" bottom="0" percent="0" rank="0" text="" dxfId="0">
      <formula>OR(ISNUMBER(SEARCH("Above appetite",T7)),ISNUMBER(SEARCH("Overdue",T7)),ISNUMBER(SEARCH("Expired",T7)),ISNUMBER(SEARCH("Breach",T7)),ISNUMBER(SEARCH("CHECK",T7)),ISNUMBER(SEARCH("Not ready",T7)),ISNUMBER(SEARCH("REMAINS",T7)),ISNUMBER(SEARCH("Failed",T7)),ISNUMBER(SEARCH("Cannot assess",T7)))</formula>
    </cfRule>
    <cfRule type="expression" priority="6" aboveAverage="0" equalAverage="0" bottom="0" percent="0" rank="0" text="" dxfId="21">
      <formula>OR(ISNUMBER(SEARCH("Incomplete",T7)),ISNUMBER(SEARCH("Pending",T7)),ISNUMBER(SEARCH("Approaching",T7)),ISNUMBER(SEARCH("insufficient",T7)),ISNUMBER(SEARCH("Awaiting",T7)),ISNUMBER(SEARCH("Review due",T7)),ISNUMBER(SEARCH("Not configured",T7)),ISNUMBER(SEARCH("Not classified",T7)),ISNUMBER(SEARCH("Proposed",T7)),ISNUMBER(SEARCH("Verification",T7)),ISNUMBER(SEARCH("Scope limitation",T7)),ISNUMBER(SEARCH("Follow-up",T7)),ISNUMBER(SEARCH("Open gap",T7)),ISNUMBER(SEARCH("Delivered - verification",T7)),ISNUMBER(SEARCH("Historical",T7)),ISNUMBER(SEARCH("Not scheduled",T7)),ISNUMBER(SEARCH("Not determined",T7)),ISNUMBER(SEARCH("Decision record",T7)),ISNUMBER(SEARCH("Due soon",T7)),ISNUMBER(SEARCH("Not reviewed",T7)),ISNUMBER(SEARCH("Tier not",T7)),ISNUMBER(SEARCH("No decision",T7)),ISNUMBER(SEARCH("Superseded",T7)),ISNUMBER(SEARCH("Optional",T7)),ISNUMBER(SEARCH("legal review",T7)),ISNUMBER(SEARCH("No treatment",T7)),ISNUMBER(SEARCH("not recorded",T7)),ISNUMBER(SEARCH("consider",T7)),ISNUMBER(SEARCH("Not set",T7)),ISNUMBER(SEARCH("Not started",T7)),ISNUMBER(SEARCH("No expiry",T7)),ISNUMBER(SEARCH("No KRI",T7)),ISNUMBER(SEARCH("no reassessment",T7)),ISNUMBER(SEARCH("Applicability",T7)),ISNUMBER(SEARCH("Not current",T7)),ISNUMBER(SEARCH("assess relevance",T7)))</formula>
    </cfRule>
    <cfRule type="expression" priority="7" aboveAverage="0" equalAverage="0" bottom="0" percent="0" rank="0" text="" dxfId="22">
      <formula>OR(LEFT(T7,2)="OK",LEFT(T7,8)="Complete",LEFT(T7,7)="Current",LEFT(T7,10)="Authorised",LEFT(T7,6)="Within",LEFT(T7,11)="On schedule",LEFT(T7,17)="Ready for closure",LEFT(T7,17)="Evidence reviewed",LEFT(T7,19)="Decision referenced",LEFT(T7,27)="Reassessment event recorded",LEFT(T7,14)="Period current",LEFT(T7,17)="Gap dispositioned",LEFT(T7,17)="Reviewed - no gap",LEFT(T7,11)="Recommended",LEFT(T7,17)="Closed - verified")</formula>
    </cfRule>
  </conditionalFormatting>
  <conditionalFormatting sqref="U7:U156">
    <cfRule type="expression" priority="8" aboveAverage="0" equalAverage="0" bottom="0" percent="0" rank="0" text="" dxfId="0">
      <formula>OR(ISNUMBER(SEARCH("Above appetite",U7)),ISNUMBER(SEARCH("Overdue",U7)),ISNUMBER(SEARCH("Expired",U7)),ISNUMBER(SEARCH("Breach",U7)),ISNUMBER(SEARCH("CHECK",U7)),ISNUMBER(SEARCH("Not ready",U7)),ISNUMBER(SEARCH("REMAINS",U7)),ISNUMBER(SEARCH("Failed",U7)),ISNUMBER(SEARCH("Cannot assess",U7)))</formula>
    </cfRule>
    <cfRule type="expression" priority="9" aboveAverage="0" equalAverage="0" bottom="0" percent="0" rank="0" text="" dxfId="21">
      <formula>OR(ISNUMBER(SEARCH("Incomplete",U7)),ISNUMBER(SEARCH("Pending",U7)),ISNUMBER(SEARCH("Approaching",U7)),ISNUMBER(SEARCH("insufficient",U7)),ISNUMBER(SEARCH("Awaiting",U7)),ISNUMBER(SEARCH("Review due",U7)),ISNUMBER(SEARCH("Not configured",U7)),ISNUMBER(SEARCH("Not classified",U7)),ISNUMBER(SEARCH("Proposed",U7)),ISNUMBER(SEARCH("Verification",U7)),ISNUMBER(SEARCH("Scope limitation",U7)),ISNUMBER(SEARCH("Follow-up",U7)),ISNUMBER(SEARCH("Open gap",U7)),ISNUMBER(SEARCH("Delivered - verification",U7)),ISNUMBER(SEARCH("Historical",U7)),ISNUMBER(SEARCH("Not scheduled",U7)),ISNUMBER(SEARCH("Not determined",U7)),ISNUMBER(SEARCH("Decision record",U7)),ISNUMBER(SEARCH("Due soon",U7)),ISNUMBER(SEARCH("Not reviewed",U7)),ISNUMBER(SEARCH("Tier not",U7)),ISNUMBER(SEARCH("No decision",U7)),ISNUMBER(SEARCH("Superseded",U7)),ISNUMBER(SEARCH("Optional",U7)),ISNUMBER(SEARCH("legal review",U7)),ISNUMBER(SEARCH("No treatment",U7)),ISNUMBER(SEARCH("not recorded",U7)),ISNUMBER(SEARCH("consider",U7)),ISNUMBER(SEARCH("Not set",U7)),ISNUMBER(SEARCH("Not started",U7)),ISNUMBER(SEARCH("No expiry",U7)),ISNUMBER(SEARCH("No KRI",U7)),ISNUMBER(SEARCH("no reassessment",U7)),ISNUMBER(SEARCH("Applicability",U7)),ISNUMBER(SEARCH("Not current",U7)),ISNUMBER(SEARCH("assess relevance",U7)))</formula>
    </cfRule>
    <cfRule type="expression" priority="10" aboveAverage="0" equalAverage="0" bottom="0" percent="0" rank="0" text="" dxfId="22">
      <formula>OR(LEFT(U7,2)="OK",LEFT(U7,8)="Complete",LEFT(U7,7)="Current",LEFT(U7,10)="Authorised",LEFT(U7,6)="Within",LEFT(U7,11)="On schedule",LEFT(U7,17)="Ready for closure",LEFT(U7,17)="Evidence reviewed",LEFT(U7,19)="Decision referenced",LEFT(U7,27)="Reassessment event recorded",LEFT(U7,14)="Period current",LEFT(U7,17)="Gap dispositioned",LEFT(U7,17)="Reviewed - no gap",LEFT(U7,11)="Recommended",LEFT(U7,17)="Closed - verified")</formula>
    </cfRule>
  </conditionalFormatting>
  <conditionalFormatting sqref="V7:V156">
    <cfRule type="expression" priority="11" aboveAverage="0" equalAverage="0" bottom="0" percent="0" rank="0" text="" dxfId="0">
      <formula>OR(ISNUMBER(SEARCH("Above appetite",V7)),ISNUMBER(SEARCH("Overdue",V7)),ISNUMBER(SEARCH("Expired",V7)),ISNUMBER(SEARCH("Breach",V7)),ISNUMBER(SEARCH("CHECK",V7)),ISNUMBER(SEARCH("Not ready",V7)),ISNUMBER(SEARCH("REMAINS",V7)),ISNUMBER(SEARCH("Failed",V7)),ISNUMBER(SEARCH("Cannot assess",V7)))</formula>
    </cfRule>
    <cfRule type="expression" priority="12" aboveAverage="0" equalAverage="0" bottom="0" percent="0" rank="0" text="" dxfId="21">
      <formula>OR(ISNUMBER(SEARCH("Incomplete",V7)),ISNUMBER(SEARCH("Pending",V7)),ISNUMBER(SEARCH("Approaching",V7)),ISNUMBER(SEARCH("insufficient",V7)),ISNUMBER(SEARCH("Awaiting",V7)),ISNUMBER(SEARCH("Review due",V7)),ISNUMBER(SEARCH("Not configured",V7)),ISNUMBER(SEARCH("Not classified",V7)),ISNUMBER(SEARCH("Proposed",V7)),ISNUMBER(SEARCH("Verification",V7)),ISNUMBER(SEARCH("Scope limitation",V7)),ISNUMBER(SEARCH("Follow-up",V7)),ISNUMBER(SEARCH("Open gap",V7)),ISNUMBER(SEARCH("Delivered - verification",V7)),ISNUMBER(SEARCH("Historical",V7)),ISNUMBER(SEARCH("Not scheduled",V7)),ISNUMBER(SEARCH("Not determined",V7)),ISNUMBER(SEARCH("Decision record",V7)),ISNUMBER(SEARCH("Due soon",V7)),ISNUMBER(SEARCH("Not reviewed",V7)),ISNUMBER(SEARCH("Tier not",V7)),ISNUMBER(SEARCH("No decision",V7)),ISNUMBER(SEARCH("Superseded",V7)),ISNUMBER(SEARCH("Optional",V7)),ISNUMBER(SEARCH("legal review",V7)),ISNUMBER(SEARCH("No treatment",V7)),ISNUMBER(SEARCH("not recorded",V7)),ISNUMBER(SEARCH("consider",V7)),ISNUMBER(SEARCH("Not set",V7)),ISNUMBER(SEARCH("Not started",V7)),ISNUMBER(SEARCH("No expiry",V7)),ISNUMBER(SEARCH("No KRI",V7)),ISNUMBER(SEARCH("no reassessment",V7)),ISNUMBER(SEARCH("Applicability",V7)),ISNUMBER(SEARCH("Not current",V7)),ISNUMBER(SEARCH("assess relevance",V7)))</formula>
    </cfRule>
    <cfRule type="expression" priority="13" aboveAverage="0" equalAverage="0" bottom="0" percent="0" rank="0" text="" dxfId="22">
      <formula>OR(LEFT(V7,2)="OK",LEFT(V7,8)="Complete",LEFT(V7,7)="Current",LEFT(V7,10)="Authorised",LEFT(V7,6)="Within",LEFT(V7,11)="On schedule",LEFT(V7,17)="Ready for closure",LEFT(V7,17)="Evidence reviewed",LEFT(V7,19)="Decision referenced",LEFT(V7,27)="Reassessment event recorded",LEFT(V7,14)="Period current",LEFT(V7,17)="Gap dispositioned",LEFT(V7,17)="Reviewed - no gap",LEFT(V7,11)="Recommended",LEFT(V7,17)="Closed - verified")</formula>
    </cfRule>
  </conditionalFormatting>
  <conditionalFormatting sqref="W7:W156">
    <cfRule type="expression" priority="14" aboveAverage="0" equalAverage="0" bottom="0" percent="0" rank="0" text="" dxfId="0">
      <formula>OR(ISNUMBER(SEARCH("Above appetite",W7)),ISNUMBER(SEARCH("Overdue",W7)),ISNUMBER(SEARCH("Expired",W7)),ISNUMBER(SEARCH("Breach",W7)),ISNUMBER(SEARCH("CHECK",W7)),ISNUMBER(SEARCH("Not ready",W7)),ISNUMBER(SEARCH("REMAINS",W7)),ISNUMBER(SEARCH("Failed",W7)),ISNUMBER(SEARCH("Cannot assess",W7)))</formula>
    </cfRule>
    <cfRule type="expression" priority="15" aboveAverage="0" equalAverage="0" bottom="0" percent="0" rank="0" text="" dxfId="21">
      <formula>OR(ISNUMBER(SEARCH("Incomplete",W7)),ISNUMBER(SEARCH("Pending",W7)),ISNUMBER(SEARCH("Approaching",W7)),ISNUMBER(SEARCH("insufficient",W7)),ISNUMBER(SEARCH("Awaiting",W7)),ISNUMBER(SEARCH("Review due",W7)),ISNUMBER(SEARCH("Not configured",W7)),ISNUMBER(SEARCH("Not classified",W7)),ISNUMBER(SEARCH("Proposed",W7)),ISNUMBER(SEARCH("Verification",W7)),ISNUMBER(SEARCH("Scope limitation",W7)),ISNUMBER(SEARCH("Follow-up",W7)),ISNUMBER(SEARCH("Open gap",W7)),ISNUMBER(SEARCH("Delivered - verification",W7)),ISNUMBER(SEARCH("Historical",W7)),ISNUMBER(SEARCH("Not scheduled",W7)),ISNUMBER(SEARCH("Not determined",W7)),ISNUMBER(SEARCH("Decision record",W7)),ISNUMBER(SEARCH("Due soon",W7)),ISNUMBER(SEARCH("Not reviewed",W7)),ISNUMBER(SEARCH("Tier not",W7)),ISNUMBER(SEARCH("No decision",W7)),ISNUMBER(SEARCH("Superseded",W7)),ISNUMBER(SEARCH("Optional",W7)),ISNUMBER(SEARCH("legal review",W7)),ISNUMBER(SEARCH("No treatment",W7)),ISNUMBER(SEARCH("not recorded",W7)),ISNUMBER(SEARCH("consider",W7)),ISNUMBER(SEARCH("Not set",W7)),ISNUMBER(SEARCH("Not started",W7)),ISNUMBER(SEARCH("No expiry",W7)),ISNUMBER(SEARCH("No KRI",W7)),ISNUMBER(SEARCH("no reassessment",W7)),ISNUMBER(SEARCH("Applicability",W7)),ISNUMBER(SEARCH("Not current",W7)),ISNUMBER(SEARCH("assess relevance",W7)))</formula>
    </cfRule>
    <cfRule type="expression" priority="16" aboveAverage="0" equalAverage="0" bottom="0" percent="0" rank="0" text="" dxfId="22">
      <formula>OR(LEFT(W7,2)="OK",LEFT(W7,8)="Complete",LEFT(W7,7)="Current",LEFT(W7,10)="Authorised",LEFT(W7,6)="Within",LEFT(W7,11)="On schedule",LEFT(W7,17)="Ready for closure",LEFT(W7,17)="Evidence reviewed",LEFT(W7,19)="Decision referenced",LEFT(W7,27)="Reassessment event recorded",LEFT(W7,14)="Period current",LEFT(W7,17)="Gap dispositioned",LEFT(W7,17)="Reviewed - no gap",LEFT(W7,11)="Recommended",LEFT(W7,17)="Closed - verified")</formula>
    </cfRule>
  </conditionalFormatting>
  <conditionalFormatting sqref="X7:X156">
    <cfRule type="expression" priority="17" aboveAverage="0" equalAverage="0" bottom="0" percent="0" rank="0" text="" dxfId="0">
      <formula>OR(ISNUMBER(SEARCH("Above appetite",X7)),ISNUMBER(SEARCH("Overdue",X7)),ISNUMBER(SEARCH("Expired",X7)),ISNUMBER(SEARCH("Breach",X7)),ISNUMBER(SEARCH("CHECK",X7)),ISNUMBER(SEARCH("Not ready",X7)),ISNUMBER(SEARCH("REMAINS",X7)),ISNUMBER(SEARCH("Failed",X7)),ISNUMBER(SEARCH("Cannot assess",X7)))</formula>
    </cfRule>
    <cfRule type="expression" priority="18" aboveAverage="0" equalAverage="0" bottom="0" percent="0" rank="0" text="" dxfId="21">
      <formula>OR(ISNUMBER(SEARCH("Incomplete",X7)),ISNUMBER(SEARCH("Pending",X7)),ISNUMBER(SEARCH("Approaching",X7)),ISNUMBER(SEARCH("insufficient",X7)),ISNUMBER(SEARCH("Awaiting",X7)),ISNUMBER(SEARCH("Review due",X7)),ISNUMBER(SEARCH("Not configured",X7)),ISNUMBER(SEARCH("Not classified",X7)),ISNUMBER(SEARCH("Proposed",X7)),ISNUMBER(SEARCH("Verification",X7)),ISNUMBER(SEARCH("Scope limitation",X7)),ISNUMBER(SEARCH("Follow-up",X7)),ISNUMBER(SEARCH("Open gap",X7)),ISNUMBER(SEARCH("Delivered - verification",X7)),ISNUMBER(SEARCH("Historical",X7)),ISNUMBER(SEARCH("Not scheduled",X7)),ISNUMBER(SEARCH("Not determined",X7)),ISNUMBER(SEARCH("Decision record",X7)),ISNUMBER(SEARCH("Due soon",X7)),ISNUMBER(SEARCH("Not reviewed",X7)),ISNUMBER(SEARCH("Tier not",X7)),ISNUMBER(SEARCH("No decision",X7)),ISNUMBER(SEARCH("Superseded",X7)),ISNUMBER(SEARCH("Optional",X7)),ISNUMBER(SEARCH("legal review",X7)),ISNUMBER(SEARCH("No treatment",X7)),ISNUMBER(SEARCH("not recorded",X7)),ISNUMBER(SEARCH("consider",X7)),ISNUMBER(SEARCH("Not set",X7)),ISNUMBER(SEARCH("Not started",X7)),ISNUMBER(SEARCH("No expiry",X7)),ISNUMBER(SEARCH("No KRI",X7)),ISNUMBER(SEARCH("no reassessment",X7)),ISNUMBER(SEARCH("Applicability",X7)),ISNUMBER(SEARCH("Not current",X7)),ISNUMBER(SEARCH("assess relevance",X7)))</formula>
    </cfRule>
    <cfRule type="expression" priority="19" aboveAverage="0" equalAverage="0" bottom="0" percent="0" rank="0" text="" dxfId="22">
      <formula>OR(LEFT(X7,2)="OK",LEFT(X7,8)="Complete",LEFT(X7,7)="Current",LEFT(X7,10)="Authorised",LEFT(X7,6)="Within",LEFT(X7,11)="On schedule",LEFT(X7,17)="Ready for closure",LEFT(X7,17)="Evidence reviewed",LEFT(X7,19)="Decision referenced",LEFT(X7,27)="Reassessment event recorded",LEFT(X7,14)="Period current",LEFT(X7,17)="Gap dispositioned",LEFT(X7,17)="Reviewed - no gap",LEFT(X7,11)="Recommended",LEFT(X7,17)="Closed - verified")</formula>
    </cfRule>
  </conditionalFormatting>
  <conditionalFormatting sqref="A7:A156">
    <cfRule type="expression" priority="20" aboveAverage="0" equalAverage="0" bottom="0" percent="0" rank="0" text="" dxfId="0">
      <formula>AND(A7&lt;&gt;"",COUNTIF($A$7:$A$156,A7)&gt;1)</formula>
    </cfRule>
  </conditionalFormatting>
  <dataValidations count="9">
    <dataValidation allowBlank="true" error="Enter a valid date (on or after 1 Jan 2000)." errorStyle="stop" errorTitle="Invalid date" operator="greaterThanOrEqual" showDropDown="false" showErrorMessage="true" showInputMessage="false" sqref="J7:J156 O7:O156" type="date">
      <formula1>36526</formula1>
      <formula2>0</formula2>
    </dataValidation>
    <dataValidation allowBlank="true" error="Choose a value from the list (controlled vocabulary or an existing ID)." errorStyle="stop" errorTitle="Invalid entry" operator="between" showDropDown="false" showErrorMessage="true" showInputMessage="false" sqref="B7:B156" type="list">
      <formula1>INV_ID</formula1>
      <formula2>0</formula2>
    </dataValidation>
    <dataValidation allowBlank="true" error="Choose a value from the list (controlled vocabulary or an existing ID)." errorStyle="stop" errorTitle="Invalid entry" operator="between" showDropDown="false" showErrorMessage="true" showInputMessage="false" sqref="D7:D156" type="list">
      <formula1>RSK_ID</formula1>
      <formula2>0</formula2>
    </dataValidation>
    <dataValidation allowBlank="true" error="Choose a value from the list (controlled vocabulary or an existing ID)." errorStyle="stop" errorTitle="Invalid entry" operator="between" showDropDown="false" showErrorMessage="true" showInputMessage="false" sqref="E7:E156" type="list">
      <formula1>FND_ID</formula1>
      <formula2>0</formula2>
    </dataValidation>
    <dataValidation allowBlank="true" error="Choose a value from the list (controlled vocabulary or an existing ID)." errorStyle="stop" errorTitle="Invalid entry" operator="between" showDropDown="false" showErrorMessage="true" showInputMessage="false" sqref="F7:F156" type="list">
      <formula1>L_TrtApproach</formula1>
      <formula2>0</formula2>
    </dataValidation>
    <dataValidation allowBlank="true" error="Choose a value from the list (controlled vocabulary or an existing ID)." errorStyle="stop" errorTitle="Invalid entry" operator="between" showDropDown="false" showErrorMessage="true" showInputMessage="false" sqref="K7:K156" type="list">
      <formula1>L_TrtDelivery</formula1>
      <formula2>0</formula2>
    </dataValidation>
    <dataValidation allowBlank="true" error="Choose a value from the list (controlled vocabulary or an existing ID)." errorStyle="stop" errorTitle="Invalid entry" operator="between" showDropDown="false" showErrorMessage="true" showInputMessage="false" sqref="N7:N156" type="list">
      <formula1>L_TrtVerif</formula1>
      <formula2>0</formula2>
    </dataValidation>
    <dataValidation allowBlank="true" error="Choose a value from the list (controlled vocabulary or an existing ID)." errorStyle="stop" errorTitle="Invalid entry" operator="between" showDropDown="false" showErrorMessage="true" showInputMessage="false" sqref="P7:P156" type="list">
      <formula1>L_Escal</formula1>
      <formula2>0</formula2>
    </dataValidation>
    <dataValidation allowBlank="true" error="Choose a value from the list (controlled vocabulary or an existing ID)." errorStyle="stop" errorTitle="Invalid entry" operator="between" showDropDown="false" showErrorMessage="true" showInputMessage="false" sqref="Q7:Q156" type="list">
      <formula1>DEC_ID</formula1>
      <formula2>0</formula2>
    </dataValidation>
  </dataValidations>
  <hyperlinks>
    <hyperlink ref="H1" r:id="rId1" location="'01%20Start%20Here'!A1" display="&lt;&lt; Back to Start Here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tableParts>
    <tablePart r:id="rId2"/>
  </tableParts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Z10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6" topLeftCell="C7" activePane="bottomRight" state="frozen"/>
      <selection pane="topLeft" activeCell="A1" activeCellId="0" sqref="A1"/>
      <selection pane="topRight" activeCell="C1" activeCellId="0" sqref="C1"/>
      <selection pane="bottomLeft" activeCell="A7" activeCellId="0" sqref="A7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10"/>
    <col collapsed="false" customWidth="true" hidden="false" outlineLevel="0" max="2" min="2" style="1" width="12"/>
    <col collapsed="false" customWidth="true" hidden="false" outlineLevel="0" max="3" min="3" style="1" width="22"/>
    <col collapsed="false" customWidth="true" hidden="false" outlineLevel="0" max="4" min="4" style="1" width="11"/>
    <col collapsed="false" customWidth="true" hidden="false" outlineLevel="0" max="5" min="5" style="1" width="20"/>
    <col collapsed="false" customWidth="true" hidden="false" outlineLevel="0" max="6" min="6" style="1" width="11"/>
    <col collapsed="false" customWidth="true" hidden="false" outlineLevel="0" max="7" min="7" style="1" width="14"/>
    <col collapsed="false" customWidth="true" hidden="false" outlineLevel="0" max="8" min="8" style="1" width="24"/>
    <col collapsed="false" customWidth="true" hidden="false" outlineLevel="0" max="9" min="9" style="1" width="13"/>
    <col collapsed="false" customWidth="true" hidden="false" outlineLevel="0" max="10" min="10" style="1" width="36"/>
    <col collapsed="false" customWidth="true" hidden="false" outlineLevel="0" max="11" min="11" style="1" width="30"/>
    <col collapsed="false" customWidth="true" hidden="false" outlineLevel="0" max="12" min="12" style="1" width="20"/>
    <col collapsed="false" customWidth="true" hidden="false" outlineLevel="0" max="13" min="13" style="1" width="22"/>
    <col collapsed="false" customWidth="true" hidden="false" outlineLevel="0" max="14" min="14" style="1" width="18"/>
    <col collapsed="false" customWidth="true" hidden="false" outlineLevel="0" max="15" min="15" style="1" width="20"/>
    <col collapsed="false" customWidth="true" hidden="false" outlineLevel="0" max="16" min="16" style="1" width="28"/>
    <col collapsed="false" customWidth="true" hidden="false" outlineLevel="0" max="18" min="17" style="1" width="13"/>
    <col collapsed="false" customWidth="true" hidden="false" outlineLevel="0" max="19" min="19" style="1" width="30"/>
    <col collapsed="false" customWidth="true" hidden="false" outlineLevel="0" max="20" min="20" style="1" width="26"/>
    <col collapsed="false" customWidth="true" hidden="false" outlineLevel="0" max="21" min="21" style="1" width="12"/>
    <col collapsed="false" customWidth="true" hidden="false" outlineLevel="0" max="22" min="22" style="1" width="30"/>
    <col collapsed="false" customWidth="true" hidden="false" outlineLevel="0" max="23" min="23" style="1" width="34"/>
    <col collapsed="false" customWidth="true" hidden="true" outlineLevel="0" max="24" min="24" style="1" width="10"/>
    <col collapsed="false" customWidth="true" hidden="false" outlineLevel="0" max="25" min="25" style="1" width="32"/>
    <col collapsed="false" customWidth="true" hidden="true" outlineLevel="0" max="26" min="26" style="1" width="10"/>
  </cols>
  <sheetData>
    <row r="1" customFormat="false" ht="17.35" hidden="false" customHeight="false" outlineLevel="0" collapsed="false">
      <c r="A1" s="22" t="s">
        <v>1516</v>
      </c>
      <c r="H1" s="10" t="s">
        <v>100</v>
      </c>
    </row>
    <row r="2" customFormat="false" ht="15" hidden="false" customHeight="false" outlineLevel="0" collapsed="false">
      <c r="A2" s="3" t="s">
        <v>1517</v>
      </c>
    </row>
    <row r="3" customFormat="false" ht="15" hidden="false" customHeight="false" outlineLevel="0" collapsed="false">
      <c r="A3" s="4" t="s">
        <v>1518</v>
      </c>
    </row>
    <row r="4" customFormat="false" ht="24" hidden="false" customHeight="true" outlineLevel="0" collapsed="false">
      <c r="A4" s="45" t="s">
        <v>69</v>
      </c>
      <c r="B4" s="45" t="s">
        <v>69</v>
      </c>
      <c r="C4" s="55" t="s">
        <v>73</v>
      </c>
      <c r="D4" s="45" t="s">
        <v>69</v>
      </c>
      <c r="E4" s="45" t="s">
        <v>69</v>
      </c>
      <c r="F4" s="46" t="s">
        <v>442</v>
      </c>
      <c r="G4" s="55" t="s">
        <v>73</v>
      </c>
      <c r="H4" s="55" t="s">
        <v>73</v>
      </c>
      <c r="I4" s="45" t="s">
        <v>69</v>
      </c>
      <c r="J4" s="45" t="s">
        <v>69</v>
      </c>
      <c r="K4" s="45" t="s">
        <v>69</v>
      </c>
      <c r="L4" s="45" t="s">
        <v>69</v>
      </c>
      <c r="M4" s="56" t="s">
        <v>75</v>
      </c>
      <c r="N4" s="45" t="s">
        <v>69</v>
      </c>
      <c r="O4" s="56" t="s">
        <v>75</v>
      </c>
      <c r="P4" s="45" t="s">
        <v>69</v>
      </c>
      <c r="Q4" s="56" t="s">
        <v>75</v>
      </c>
      <c r="R4" s="45" t="s">
        <v>69</v>
      </c>
      <c r="S4" s="56" t="s">
        <v>75</v>
      </c>
      <c r="T4" s="45" t="s">
        <v>69</v>
      </c>
      <c r="U4" s="45" t="s">
        <v>69</v>
      </c>
      <c r="V4" s="46" t="s">
        <v>442</v>
      </c>
      <c r="W4" s="46" t="s">
        <v>442</v>
      </c>
      <c r="X4" s="46" t="s">
        <v>442</v>
      </c>
      <c r="Y4" s="46" t="s">
        <v>442</v>
      </c>
      <c r="Z4" s="46" t="s">
        <v>442</v>
      </c>
    </row>
    <row r="5" customFormat="false" ht="30" hidden="false" customHeight="true" outlineLevel="0" collapsed="false">
      <c r="A5" s="47" t="s">
        <v>1519</v>
      </c>
      <c r="B5" s="47" t="s">
        <v>443</v>
      </c>
      <c r="C5" s="47"/>
      <c r="D5" s="47" t="s">
        <v>594</v>
      </c>
      <c r="E5" s="47" t="s">
        <v>1520</v>
      </c>
      <c r="F5" s="47"/>
      <c r="G5" s="47"/>
      <c r="H5" s="47"/>
      <c r="I5" s="47" t="s">
        <v>1521</v>
      </c>
      <c r="J5" s="47"/>
      <c r="K5" s="47"/>
      <c r="L5" s="47"/>
      <c r="M5" s="47" t="s">
        <v>1522</v>
      </c>
      <c r="N5" s="47" t="s">
        <v>1523</v>
      </c>
      <c r="O5" s="47" t="s">
        <v>1524</v>
      </c>
      <c r="P5" s="47"/>
      <c r="Q5" s="47" t="s">
        <v>1525</v>
      </c>
      <c r="R5" s="47" t="s">
        <v>451</v>
      </c>
      <c r="S5" s="47" t="s">
        <v>1526</v>
      </c>
      <c r="T5" s="47"/>
      <c r="U5" s="47" t="s">
        <v>1527</v>
      </c>
      <c r="V5" s="47"/>
      <c r="W5" s="47"/>
      <c r="X5" s="47"/>
      <c r="Y5" s="47"/>
      <c r="Z5" s="47"/>
    </row>
    <row r="6" customFormat="false" ht="48" hidden="false" customHeight="true" outlineLevel="0" collapsed="false">
      <c r="A6" s="48" t="s">
        <v>1528</v>
      </c>
      <c r="B6" s="48" t="s">
        <v>456</v>
      </c>
      <c r="C6" s="57" t="s">
        <v>538</v>
      </c>
      <c r="D6" s="48" t="s">
        <v>1529</v>
      </c>
      <c r="E6" s="48" t="s">
        <v>1530</v>
      </c>
      <c r="F6" s="49" t="s">
        <v>1531</v>
      </c>
      <c r="G6" s="57" t="s">
        <v>1532</v>
      </c>
      <c r="H6" s="57" t="s">
        <v>1533</v>
      </c>
      <c r="I6" s="48" t="s">
        <v>1534</v>
      </c>
      <c r="J6" s="48" t="s">
        <v>1535</v>
      </c>
      <c r="K6" s="48" t="s">
        <v>1536</v>
      </c>
      <c r="L6" s="48" t="s">
        <v>459</v>
      </c>
      <c r="M6" s="58" t="s">
        <v>1537</v>
      </c>
      <c r="N6" s="48" t="s">
        <v>1538</v>
      </c>
      <c r="O6" s="58" t="s">
        <v>1539</v>
      </c>
      <c r="P6" s="48" t="s">
        <v>1540</v>
      </c>
      <c r="Q6" s="58" t="s">
        <v>1541</v>
      </c>
      <c r="R6" s="48" t="s">
        <v>1542</v>
      </c>
      <c r="S6" s="58" t="s">
        <v>1543</v>
      </c>
      <c r="T6" s="48" t="s">
        <v>1544</v>
      </c>
      <c r="U6" s="48" t="s">
        <v>1410</v>
      </c>
      <c r="V6" s="49" t="s">
        <v>1545</v>
      </c>
      <c r="W6" s="49" t="s">
        <v>1546</v>
      </c>
      <c r="X6" s="49" t="s">
        <v>1547</v>
      </c>
      <c r="Y6" s="49" t="s">
        <v>560</v>
      </c>
      <c r="Z6" s="49" t="s">
        <v>632</v>
      </c>
    </row>
    <row r="7" customFormat="false" ht="46.25" hidden="false" customHeight="false" outlineLevel="0" collapsed="false">
      <c r="A7" s="50" t="s">
        <v>1548</v>
      </c>
      <c r="B7" s="50" t="s">
        <v>479</v>
      </c>
      <c r="C7" s="59" t="str">
        <f aca="false">IF(B7="","",IFERROR(INDEX(INV_NAME,MATCH(B7,INV_ID,0)),"CHECK: Supplier ID not found"))</f>
        <v>Northwind Cloud Hosting Ltd</v>
      </c>
      <c r="D7" s="34"/>
      <c r="E7" s="34" t="s">
        <v>300</v>
      </c>
      <c r="F7" s="52" t="str">
        <f aca="false">IF(A7="","",IF(OR(E7="Supplier approval",E7="Conditional approval",E7="Approval deferred",E7="Supplier rejection"),"Yes","No"))</f>
        <v>Yes</v>
      </c>
      <c r="G7" s="63" t="str">
        <f aca="false">IF(OR(A7="",D7=""),"",IFERROR(INDEX(RSK_RBAND,MATCH(D7,RSK_ID,0)),"CHECK: Risk ID not found"))</f>
        <v/>
      </c>
      <c r="H7" s="59" t="str">
        <f aca="false">IF(OR(A7="",D7=""),"",IFERROR(INDEX(RSK_APP,MATCH(D7,RSK_ID,0)),"CHECK: Risk ID not found"))</f>
        <v/>
      </c>
      <c r="I7" s="51" t="n">
        <v>46289</v>
      </c>
      <c r="J7" s="34" t="s">
        <v>1549</v>
      </c>
      <c r="K7" s="34" t="s">
        <v>1550</v>
      </c>
      <c r="L7" s="34" t="s">
        <v>482</v>
      </c>
      <c r="M7" s="60" t="s">
        <v>1551</v>
      </c>
      <c r="N7" s="34" t="s">
        <v>301</v>
      </c>
      <c r="O7" s="60" t="s">
        <v>302</v>
      </c>
      <c r="P7" s="34" t="s">
        <v>1552</v>
      </c>
      <c r="Q7" s="64" t="n">
        <v>46295</v>
      </c>
      <c r="R7" s="51" t="n">
        <v>46477</v>
      </c>
      <c r="S7" s="60" t="s">
        <v>1553</v>
      </c>
      <c r="T7" s="34" t="s">
        <v>1554</v>
      </c>
      <c r="U7" s="50" t="s">
        <v>340</v>
      </c>
      <c r="V7" s="54" t="str">
        <f aca="false">IF(A7="","",IF(OR(O7="",O7="Not yet decided"),"Pending - no authorised decision",IF(OR(M7="",S7="",Q7=""),"Incomplete authorisation record - not treated as authorised",IF(OR(U7="Withdrawn",U7="Superseded"),"Not current ("&amp;U7&amp;")",IF(AND(ISNUMBER(R7),R7&lt;AsOf),"Expired - re-approval required",IF(AND(ISNUMBER(R7),R7&lt;=AsOf+WarnDecisionDays),"Review due soon","Authorised (user-entered record)"))))))</f>
        <v>Authorised (user-entered record)</v>
      </c>
      <c r="W7" s="54" t="str">
        <f aca="false">IF(A7="","",IF(AND(OR(O7="Risk accepted",O7="Temporary exception granted"),LEFT(H7,5)="Above"),"Accepted exposure REMAINS above appetite - acceptance does not remove the breach",IF(AND(OR(O7="Risk accepted",O7="Temporary exception granted"),H7="Not configured"),"Appetite not configured - position cannot be confirmed","")))</f>
        <v/>
      </c>
      <c r="X7" s="52" t="str">
        <f aca="false">IF(AND(F7="Yes",ISNUMBER(I7),I7=_xlfn.MAXIFS(DEC_RECDATE,DEC_SUP,B7,DEC_LEVEL,"Yes")),B7&amp;"|Latest","")</f>
        <v>SUP-001|Latest</v>
      </c>
      <c r="Y7" s="54" t="str">
        <f aca="false">IF(A7="","",IF(COUNTIF(DEC_ID,A7)&gt;1,"CHECK: duplicate ID",IF(B7="","CHECK: Supplier ID missing",IF(COUNTIF(INV_ID,B7)=0,"CHECK: Supplier ID not in inventory",IF(AND(D7&lt;&gt;"",COUNTIF(RSK_ID,D7)=0),"CHECK: Risk ID not found",IF(AND(D7&lt;&gt;"",COUNTIF(RSK_ID,D7)&gt;0,IFERROR(INDEX(RSK_SUP,MATCH(D7,RSK_ID,0)),"")&lt;&gt;B7),"CHECK: Risk belongs to a different supplier",IF(AND(F7="No",D7=""),"CHECK: risk ID required for risk-level decision","OK")))))))</f>
        <v>OK</v>
      </c>
      <c r="Z7" s="52" t="str">
        <f aca="false">IF(OR(A7="",B7=""),"",IF(B7=RptSup,B7&amp;"|"&amp;COUNTIF($B$7:B7,B7),""))</f>
        <v>SUP-001|1</v>
      </c>
    </row>
    <row r="8" customFormat="false" ht="35.05" hidden="false" customHeight="false" outlineLevel="0" collapsed="false">
      <c r="A8" s="50" t="s">
        <v>642</v>
      </c>
      <c r="B8" s="50" t="s">
        <v>479</v>
      </c>
      <c r="C8" s="59" t="str">
        <f aca="false">IF(B8="","",IFERROR(INDEX(INV_NAME,MATCH(B8,INV_ID,0)),"CHECK: Supplier ID not found"))</f>
        <v>Northwind Cloud Hosting Ltd</v>
      </c>
      <c r="D8" s="34" t="s">
        <v>633</v>
      </c>
      <c r="E8" s="34" t="s">
        <v>391</v>
      </c>
      <c r="F8" s="52" t="str">
        <f aca="false">IF(A8="","",IF(OR(E8="Supplier approval",E8="Conditional approval",E8="Approval deferred",E8="Supplier rejection"),"Yes","No"))</f>
        <v>No</v>
      </c>
      <c r="G8" s="63" t="str">
        <f aca="false">IF(OR(A8="",D8=""),"",IFERROR(INDEX(RSK_RBAND,MATCH(D8,RSK_ID,0)),"CHECK: Risk ID not found"))</f>
        <v>High</v>
      </c>
      <c r="H8" s="59" t="str">
        <f aca="false">IF(OR(A8="",D8=""),"",IFERROR(INDEX(RSK_APP,MATCH(D8,RSK_ID,0)),"CHECK: Risk ID not found"))</f>
        <v>Above appetite - escalation required</v>
      </c>
      <c r="I8" s="51" t="n">
        <v>46295</v>
      </c>
      <c r="J8" s="34" t="s">
        <v>1555</v>
      </c>
      <c r="K8" s="34" t="s">
        <v>1556</v>
      </c>
      <c r="L8" s="34" t="s">
        <v>482</v>
      </c>
      <c r="M8" s="60" t="s">
        <v>1551</v>
      </c>
      <c r="N8" s="34" t="s">
        <v>392</v>
      </c>
      <c r="O8" s="60" t="s">
        <v>393</v>
      </c>
      <c r="P8" s="34" t="s">
        <v>1557</v>
      </c>
      <c r="Q8" s="64" t="n">
        <v>46300</v>
      </c>
      <c r="R8" s="51" t="n">
        <v>46507</v>
      </c>
      <c r="S8" s="60" t="s">
        <v>1558</v>
      </c>
      <c r="T8" s="34" t="s">
        <v>1559</v>
      </c>
      <c r="U8" s="50" t="s">
        <v>340</v>
      </c>
      <c r="V8" s="54" t="str">
        <f aca="false">IF(A8="","",IF(OR(O8="",O8="Not yet decided"),"Pending - no authorised decision",IF(OR(M8="",S8="",Q8=""),"Incomplete authorisation record - not treated as authorised",IF(OR(U8="Withdrawn",U8="Superseded"),"Not current ("&amp;U8&amp;")",IF(AND(ISNUMBER(R8),R8&lt;AsOf),"Expired - re-approval required",IF(AND(ISNUMBER(R8),R8&lt;=AsOf+WarnDecisionDays),"Review due soon","Authorised (user-entered record)"))))))</f>
        <v>Authorised (user-entered record)</v>
      </c>
      <c r="W8" s="54" t="str">
        <f aca="false">IF(A8="","",IF(AND(OR(O8="Risk accepted",O8="Temporary exception granted"),LEFT(H8,5)="Above"),"Accepted exposure REMAINS above appetite - acceptance does not remove the breach",IF(AND(OR(O8="Risk accepted",O8="Temporary exception granted"),H8="Not configured"),"Appetite not configured - position cannot be confirmed","")))</f>
        <v>Accepted exposure REMAINS above appetite - acceptance does not remove the breach</v>
      </c>
      <c r="X8" s="52" t="str">
        <f aca="false">IF(AND(F8="Yes",ISNUMBER(I8),I8=_xlfn.MAXIFS(DEC_RECDATE,DEC_SUP,B8,DEC_LEVEL,"Yes")),B8&amp;"|Latest","")</f>
        <v/>
      </c>
      <c r="Y8" s="54" t="str">
        <f aca="false">IF(A8="","",IF(COUNTIF(DEC_ID,A8)&gt;1,"CHECK: duplicate ID",IF(B8="","CHECK: Supplier ID missing",IF(COUNTIF(INV_ID,B8)=0,"CHECK: Supplier ID not in inventory",IF(AND(D8&lt;&gt;"",COUNTIF(RSK_ID,D8)=0),"CHECK: Risk ID not found",IF(AND(D8&lt;&gt;"",COUNTIF(RSK_ID,D8)&gt;0,IFERROR(INDEX(RSK_SUP,MATCH(D8,RSK_ID,0)),"")&lt;&gt;B8),"CHECK: Risk belongs to a different supplier",IF(AND(F8="No",D8=""),"CHECK: risk ID required for risk-level decision","OK")))))))</f>
        <v>OK</v>
      </c>
      <c r="Z8" s="52" t="str">
        <f aca="false">IF(OR(A8="",B8=""),"",IF(B8=RptSup,B8&amp;"|"&amp;COUNTIF($B$7:B8,B8),""))</f>
        <v>SUP-001|2</v>
      </c>
    </row>
    <row r="9" customFormat="false" ht="35.05" hidden="false" customHeight="false" outlineLevel="0" collapsed="false">
      <c r="A9" s="50" t="s">
        <v>1560</v>
      </c>
      <c r="B9" s="50" t="s">
        <v>489</v>
      </c>
      <c r="C9" s="59" t="str">
        <f aca="false">IF(B9="","",IFERROR(INDEX(INV_NAME,MATCH(B9,INV_ID,0)),"CHECK: Supplier ID not found"))</f>
        <v>SupportLoop Ltd</v>
      </c>
      <c r="D9" s="34"/>
      <c r="E9" s="34" t="s">
        <v>338</v>
      </c>
      <c r="F9" s="52" t="str">
        <f aca="false">IF(A9="","",IF(OR(E9="Supplier approval",E9="Conditional approval",E9="Approval deferred",E9="Supplier rejection"),"Yes","No"))</f>
        <v>Yes</v>
      </c>
      <c r="G9" s="63" t="str">
        <f aca="false">IF(OR(A9="",D9=""),"",IFERROR(INDEX(RSK_RBAND,MATCH(D9,RSK_ID,0)),"CHECK: Risk ID not found"))</f>
        <v/>
      </c>
      <c r="H9" s="59" t="str">
        <f aca="false">IF(OR(A9="",D9=""),"",IFERROR(INDEX(RSK_APP,MATCH(D9,RSK_ID,0)),"CHECK: Risk ID not found"))</f>
        <v/>
      </c>
      <c r="I9" s="51" t="n">
        <v>46307</v>
      </c>
      <c r="J9" s="34" t="s">
        <v>1561</v>
      </c>
      <c r="K9" s="34" t="s">
        <v>1562</v>
      </c>
      <c r="L9" s="34" t="s">
        <v>492</v>
      </c>
      <c r="M9" s="60" t="s">
        <v>1551</v>
      </c>
      <c r="N9" s="34" t="s">
        <v>339</v>
      </c>
      <c r="O9" s="60" t="s">
        <v>323</v>
      </c>
      <c r="P9" s="34" t="s">
        <v>1563</v>
      </c>
      <c r="Q9" s="64" t="n">
        <v>46307</v>
      </c>
      <c r="R9" s="51" t="n">
        <v>46356</v>
      </c>
      <c r="S9" s="60" t="s">
        <v>1564</v>
      </c>
      <c r="T9" s="34" t="s">
        <v>1565</v>
      </c>
      <c r="U9" s="50" t="s">
        <v>340</v>
      </c>
      <c r="V9" s="54" t="str">
        <f aca="false">IF(A9="","",IF(OR(O9="",O9="Not yet decided"),"Pending - no authorised decision",IF(OR(M9="",S9="",Q9=""),"Incomplete authorisation record - not treated as authorised",IF(OR(U9="Withdrawn",U9="Superseded"),"Not current ("&amp;U9&amp;")",IF(AND(ISNUMBER(R9),R9&lt;AsOf),"Expired - re-approval required",IF(AND(ISNUMBER(R9),R9&lt;=AsOf+WarnDecisionDays),"Review due soon","Authorised (user-entered record)"))))))</f>
        <v>Authorised (user-entered record)</v>
      </c>
      <c r="W9" s="54" t="str">
        <f aca="false">IF(A9="","",IF(AND(OR(O9="Risk accepted",O9="Temporary exception granted"),LEFT(H9,5)="Above"),"Accepted exposure REMAINS above appetite - acceptance does not remove the breach",IF(AND(OR(O9="Risk accepted",O9="Temporary exception granted"),H9="Not configured"),"Appetite not configured - position cannot be confirmed","")))</f>
        <v/>
      </c>
      <c r="X9" s="52" t="str">
        <f aca="false">IF(AND(F9="Yes",ISNUMBER(I9),I9=_xlfn.MAXIFS(DEC_RECDATE,DEC_SUP,B9,DEC_LEVEL,"Yes")),B9&amp;"|Latest","")</f>
        <v>SUP-002|Latest</v>
      </c>
      <c r="Y9" s="54" t="str">
        <f aca="false">IF(A9="","",IF(COUNTIF(DEC_ID,A9)&gt;1,"CHECK: duplicate ID",IF(B9="","CHECK: Supplier ID missing",IF(COUNTIF(INV_ID,B9)=0,"CHECK: Supplier ID not in inventory",IF(AND(D9&lt;&gt;"",COUNTIF(RSK_ID,D9)=0),"CHECK: Risk ID not found",IF(AND(D9&lt;&gt;"",COUNTIF(RSK_ID,D9)&gt;0,IFERROR(INDEX(RSK_SUP,MATCH(D9,RSK_ID,0)),"")&lt;&gt;B9),"CHECK: Risk belongs to a different supplier",IF(AND(F9="No",D9=""),"CHECK: risk ID required for risk-level decision","OK")))))))</f>
        <v>OK</v>
      </c>
      <c r="Z9" s="52" t="str">
        <f aca="false">IF(OR(A9="",B9=""),"",IF(B9=RptSup,B9&amp;"|"&amp;COUNTIF($B$7:B9,B9),""))</f>
        <v/>
      </c>
    </row>
    <row r="10" customFormat="false" ht="23.85" hidden="false" customHeight="false" outlineLevel="0" collapsed="false">
      <c r="A10" s="50" t="s">
        <v>1566</v>
      </c>
      <c r="B10" s="50" t="s">
        <v>499</v>
      </c>
      <c r="C10" s="59" t="str">
        <f aca="false">IF(B10="","",IFERROR(INDEX(INV_NAME,MATCH(B10,INV_ID,0)),"CHECK: Supplier ID not found"))</f>
        <v>BrightDesk Office Supplies</v>
      </c>
      <c r="D10" s="34"/>
      <c r="E10" s="34" t="s">
        <v>263</v>
      </c>
      <c r="F10" s="52" t="str">
        <f aca="false">IF(A10="","",IF(OR(E10="Supplier approval",E10="Conditional approval",E10="Approval deferred",E10="Supplier rejection"),"Yes","No"))</f>
        <v>Yes</v>
      </c>
      <c r="G10" s="63" t="str">
        <f aca="false">IF(OR(A10="",D10=""),"",IFERROR(INDEX(RSK_RBAND,MATCH(D10,RSK_ID,0)),"CHECK: Risk ID not found"))</f>
        <v/>
      </c>
      <c r="H10" s="59" t="str">
        <f aca="false">IF(OR(A10="",D10=""),"",IFERROR(INDEX(RSK_APP,MATCH(D10,RSK_ID,0)),"CHECK: Risk ID not found"))</f>
        <v/>
      </c>
      <c r="I10" s="51" t="n">
        <v>46254</v>
      </c>
      <c r="J10" s="34" t="s">
        <v>1567</v>
      </c>
      <c r="K10" s="34" t="s">
        <v>1568</v>
      </c>
      <c r="L10" s="34" t="s">
        <v>502</v>
      </c>
      <c r="M10" s="60" t="s">
        <v>1569</v>
      </c>
      <c r="N10" s="34" t="s">
        <v>264</v>
      </c>
      <c r="O10" s="60" t="s">
        <v>265</v>
      </c>
      <c r="P10" s="34"/>
      <c r="Q10" s="64" t="n">
        <v>46254</v>
      </c>
      <c r="R10" s="51" t="n">
        <v>46985</v>
      </c>
      <c r="S10" s="60" t="s">
        <v>1570</v>
      </c>
      <c r="T10" s="34" t="s">
        <v>1571</v>
      </c>
      <c r="U10" s="50" t="s">
        <v>340</v>
      </c>
      <c r="V10" s="54" t="str">
        <f aca="false">IF(A10="","",IF(OR(O10="",O10="Not yet decided"),"Pending - no authorised decision",IF(OR(M10="",S10="",Q10=""),"Incomplete authorisation record - not treated as authorised",IF(OR(U10="Withdrawn",U10="Superseded"),"Not current ("&amp;U10&amp;")",IF(AND(ISNUMBER(R10),R10&lt;AsOf),"Expired - re-approval required",IF(AND(ISNUMBER(R10),R10&lt;=AsOf+WarnDecisionDays),"Review due soon","Authorised (user-entered record)"))))))</f>
        <v>Authorised (user-entered record)</v>
      </c>
      <c r="W10" s="54" t="str">
        <f aca="false">IF(A10="","",IF(AND(OR(O10="Risk accepted",O10="Temporary exception granted"),LEFT(H10,5)="Above"),"Accepted exposure REMAINS above appetite - acceptance does not remove the breach",IF(AND(OR(O10="Risk accepted",O10="Temporary exception granted"),H10="Not configured"),"Appetite not configured - position cannot be confirmed","")))</f>
        <v/>
      </c>
      <c r="X10" s="52" t="str">
        <f aca="false">IF(AND(F10="Yes",ISNUMBER(I10),I10=_xlfn.MAXIFS(DEC_RECDATE,DEC_SUP,B10,DEC_LEVEL,"Yes")),B10&amp;"|Latest","")</f>
        <v>SUP-003|Latest</v>
      </c>
      <c r="Y10" s="54" t="str">
        <f aca="false">IF(A10="","",IF(COUNTIF(DEC_ID,A10)&gt;1,"CHECK: duplicate ID",IF(B10="","CHECK: Supplier ID missing",IF(COUNTIF(INV_ID,B10)=0,"CHECK: Supplier ID not in inventory",IF(AND(D10&lt;&gt;"",COUNTIF(RSK_ID,D10)=0),"CHECK: Risk ID not found",IF(AND(D10&lt;&gt;"",COUNTIF(RSK_ID,D10)&gt;0,IFERROR(INDEX(RSK_SUP,MATCH(D10,RSK_ID,0)),"")&lt;&gt;B10),"CHECK: Risk belongs to a different supplier",IF(AND(F10="No",D10=""),"CHECK: risk ID required for risk-level decision","OK")))))))</f>
        <v>OK</v>
      </c>
      <c r="Z10" s="52" t="str">
        <f aca="false">IF(OR(A10="",B10=""),"",IF(B10=RptSup,B10&amp;"|"&amp;COUNTIF($B$7:B10,B10),""))</f>
        <v/>
      </c>
    </row>
    <row r="11" customFormat="false" ht="23.85" hidden="false" customHeight="false" outlineLevel="0" collapsed="false">
      <c r="A11" s="50" t="s">
        <v>1572</v>
      </c>
      <c r="B11" s="50" t="s">
        <v>506</v>
      </c>
      <c r="C11" s="59" t="str">
        <f aca="false">IF(B11="","",IFERROR(INDEX(INV_NAME,MATCH(B11,INV_ID,0)),"CHECK: Supplier ID not found"))</f>
        <v>Cleanwell Facilities Ltd</v>
      </c>
      <c r="D11" s="34"/>
      <c r="E11" s="34" t="s">
        <v>300</v>
      </c>
      <c r="F11" s="52" t="str">
        <f aca="false">IF(A11="","",IF(OR(E11="Supplier approval",E11="Conditional approval",E11="Approval deferred",E11="Supplier rejection"),"Yes","No"))</f>
        <v>Yes</v>
      </c>
      <c r="G11" s="63" t="str">
        <f aca="false">IF(OR(A11="",D11=""),"",IFERROR(INDEX(RSK_RBAND,MATCH(D11,RSK_ID,0)),"CHECK: Risk ID not found"))</f>
        <v/>
      </c>
      <c r="H11" s="59" t="str">
        <f aca="false">IF(OR(A11="",D11=""),"",IFERROR(INDEX(RSK_APP,MATCH(D11,RSK_ID,0)),"CHECK: Risk ID not found"))</f>
        <v/>
      </c>
      <c r="I11" s="51" t="n">
        <v>46310</v>
      </c>
      <c r="J11" s="34" t="s">
        <v>1573</v>
      </c>
      <c r="K11" s="34" t="s">
        <v>1574</v>
      </c>
      <c r="L11" s="34" t="s">
        <v>509</v>
      </c>
      <c r="M11" s="60"/>
      <c r="N11" s="34" t="s">
        <v>301</v>
      </c>
      <c r="O11" s="60" t="s">
        <v>418</v>
      </c>
      <c r="P11" s="34"/>
      <c r="Q11" s="64"/>
      <c r="R11" s="51"/>
      <c r="S11" s="60"/>
      <c r="T11" s="34"/>
      <c r="U11" s="50" t="s">
        <v>303</v>
      </c>
      <c r="V11" s="54" t="str">
        <f aca="false">IF(A11="","",IF(OR(O11="",O11="Not yet decided"),"Pending - no authorised decision",IF(OR(M11="",S11="",Q11=""),"Incomplete authorisation record - not treated as authorised",IF(OR(U11="Withdrawn",U11="Superseded"),"Not current ("&amp;U11&amp;")",IF(AND(ISNUMBER(R11),R11&lt;AsOf),"Expired - re-approval required",IF(AND(ISNUMBER(R11),R11&lt;=AsOf+WarnDecisionDays),"Review due soon","Authorised (user-entered record)"))))))</f>
        <v>Pending - no authorised decision</v>
      </c>
      <c r="W11" s="54" t="str">
        <f aca="false">IF(A11="","",IF(AND(OR(O11="Risk accepted",O11="Temporary exception granted"),LEFT(H11,5)="Above"),"Accepted exposure REMAINS above appetite - acceptance does not remove the breach",IF(AND(OR(O11="Risk accepted",O11="Temporary exception granted"),H11="Not configured"),"Appetite not configured - position cannot be confirmed","")))</f>
        <v/>
      </c>
      <c r="X11" s="52" t="str">
        <f aca="false">IF(AND(F11="Yes",ISNUMBER(I11),I11=_xlfn.MAXIFS(DEC_RECDATE,DEC_SUP,B11,DEC_LEVEL,"Yes")),B11&amp;"|Latest","")</f>
        <v>SUP-004|Latest</v>
      </c>
      <c r="Y11" s="54" t="str">
        <f aca="false">IF(A11="","",IF(COUNTIF(DEC_ID,A11)&gt;1,"CHECK: duplicate ID",IF(B11="","CHECK: Supplier ID missing",IF(COUNTIF(INV_ID,B11)=0,"CHECK: Supplier ID not in inventory",IF(AND(D11&lt;&gt;"",COUNTIF(RSK_ID,D11)=0),"CHECK: Risk ID not found",IF(AND(D11&lt;&gt;"",COUNTIF(RSK_ID,D11)&gt;0,IFERROR(INDEX(RSK_SUP,MATCH(D11,RSK_ID,0)),"")&lt;&gt;B11),"CHECK: Risk belongs to a different supplier",IF(AND(F11="No",D11=""),"CHECK: risk ID required for risk-level decision","OK")))))))</f>
        <v>OK</v>
      </c>
      <c r="Z11" s="52" t="str">
        <f aca="false">IF(OR(A11="",B11=""),"",IF(B11=RptSup,B11&amp;"|"&amp;COUNTIF($B$7:B11,B11),""))</f>
        <v/>
      </c>
    </row>
    <row r="12" customFormat="false" ht="15" hidden="false" customHeight="false" outlineLevel="0" collapsed="false">
      <c r="A12" s="50"/>
      <c r="B12" s="50"/>
      <c r="C12" s="59" t="str">
        <f aca="false">IF(B12="","",IFERROR(INDEX(INV_NAME,MATCH(B12,INV_ID,0)),"CHECK: Supplier ID not found"))</f>
        <v/>
      </c>
      <c r="D12" s="34"/>
      <c r="E12" s="34"/>
      <c r="F12" s="52" t="str">
        <f aca="false">IF(A12="","",IF(OR(E12="Supplier approval",E12="Conditional approval",E12="Approval deferred",E12="Supplier rejection"),"Yes","No"))</f>
        <v/>
      </c>
      <c r="G12" s="63" t="str">
        <f aca="false">IF(OR(A12="",D12=""),"",IFERROR(INDEX(RSK_RBAND,MATCH(D12,RSK_ID,0)),"CHECK: Risk ID not found"))</f>
        <v/>
      </c>
      <c r="H12" s="59" t="str">
        <f aca="false">IF(OR(A12="",D12=""),"",IFERROR(INDEX(RSK_APP,MATCH(D12,RSK_ID,0)),"CHECK: Risk ID not found"))</f>
        <v/>
      </c>
      <c r="I12" s="51"/>
      <c r="J12" s="34"/>
      <c r="K12" s="34"/>
      <c r="L12" s="34"/>
      <c r="M12" s="60"/>
      <c r="N12" s="34"/>
      <c r="O12" s="60"/>
      <c r="P12" s="34"/>
      <c r="Q12" s="64"/>
      <c r="R12" s="51"/>
      <c r="S12" s="60"/>
      <c r="T12" s="34"/>
      <c r="U12" s="50"/>
      <c r="V12" s="54" t="str">
        <f aca="false">IF(A12="","",IF(OR(O12="",O12="Not yet decided"),"Pending - no authorised decision",IF(OR(M12="",S12="",Q12=""),"Incomplete authorisation record - not treated as authorised",IF(OR(U12="Withdrawn",U12="Superseded"),"Not current ("&amp;U12&amp;")",IF(AND(ISNUMBER(R12),R12&lt;AsOf),"Expired - re-approval required",IF(AND(ISNUMBER(R12),R12&lt;=AsOf+WarnDecisionDays),"Review due soon","Authorised (user-entered record)"))))))</f>
        <v/>
      </c>
      <c r="W12" s="54" t="str">
        <f aca="false">IF(A12="","",IF(AND(OR(O12="Risk accepted",O12="Temporary exception granted"),LEFT(H12,5)="Above"),"Accepted exposure REMAINS above appetite - acceptance does not remove the breach",IF(AND(OR(O12="Risk accepted",O12="Temporary exception granted"),H12="Not configured"),"Appetite not configured - position cannot be confirmed","")))</f>
        <v/>
      </c>
      <c r="X12" s="52" t="str">
        <f aca="false">IF(AND(F12="Yes",ISNUMBER(I12),I12=_xlfn.MAXIFS(DEC_RECDATE,DEC_SUP,B12,DEC_LEVEL,"Yes")),B12&amp;"|Latest","")</f>
        <v/>
      </c>
      <c r="Y12" s="54" t="str">
        <f aca="false">IF(A12="","",IF(COUNTIF(DEC_ID,A12)&gt;1,"CHECK: duplicate ID",IF(B12="","CHECK: Supplier ID missing",IF(COUNTIF(INV_ID,B12)=0,"CHECK: Supplier ID not in inventory",IF(AND(D12&lt;&gt;"",COUNTIF(RSK_ID,D12)=0),"CHECK: Risk ID not found",IF(AND(D12&lt;&gt;"",COUNTIF(RSK_ID,D12)&gt;0,IFERROR(INDEX(RSK_SUP,MATCH(D12,RSK_ID,0)),"")&lt;&gt;B12),"CHECK: Risk belongs to a different supplier",IF(AND(F12="No",D12=""),"CHECK: risk ID required for risk-level decision","OK")))))))</f>
        <v/>
      </c>
      <c r="Z12" s="52" t="str">
        <f aca="false">IF(OR(A12="",B12=""),"",IF(B12=RptSup,B12&amp;"|"&amp;COUNTIF($B$7:B12,B12),""))</f>
        <v/>
      </c>
    </row>
    <row r="13" customFormat="false" ht="15" hidden="false" customHeight="false" outlineLevel="0" collapsed="false">
      <c r="A13" s="50"/>
      <c r="B13" s="50"/>
      <c r="C13" s="59" t="str">
        <f aca="false">IF(B13="","",IFERROR(INDEX(INV_NAME,MATCH(B13,INV_ID,0)),"CHECK: Supplier ID not found"))</f>
        <v/>
      </c>
      <c r="D13" s="34"/>
      <c r="E13" s="34"/>
      <c r="F13" s="52" t="str">
        <f aca="false">IF(A13="","",IF(OR(E13="Supplier approval",E13="Conditional approval",E13="Approval deferred",E13="Supplier rejection"),"Yes","No"))</f>
        <v/>
      </c>
      <c r="G13" s="63" t="str">
        <f aca="false">IF(OR(A13="",D13=""),"",IFERROR(INDEX(RSK_RBAND,MATCH(D13,RSK_ID,0)),"CHECK: Risk ID not found"))</f>
        <v/>
      </c>
      <c r="H13" s="59" t="str">
        <f aca="false">IF(OR(A13="",D13=""),"",IFERROR(INDEX(RSK_APP,MATCH(D13,RSK_ID,0)),"CHECK: Risk ID not found"))</f>
        <v/>
      </c>
      <c r="I13" s="51"/>
      <c r="J13" s="34"/>
      <c r="K13" s="34"/>
      <c r="L13" s="34"/>
      <c r="M13" s="60"/>
      <c r="N13" s="34"/>
      <c r="O13" s="60"/>
      <c r="P13" s="34"/>
      <c r="Q13" s="64"/>
      <c r="R13" s="51"/>
      <c r="S13" s="60"/>
      <c r="T13" s="34"/>
      <c r="U13" s="50"/>
      <c r="V13" s="54" t="str">
        <f aca="false">IF(A13="","",IF(OR(O13="",O13="Not yet decided"),"Pending - no authorised decision",IF(OR(M13="",S13="",Q13=""),"Incomplete authorisation record - not treated as authorised",IF(OR(U13="Withdrawn",U13="Superseded"),"Not current ("&amp;U13&amp;")",IF(AND(ISNUMBER(R13),R13&lt;AsOf),"Expired - re-approval required",IF(AND(ISNUMBER(R13),R13&lt;=AsOf+WarnDecisionDays),"Review due soon","Authorised (user-entered record)"))))))</f>
        <v/>
      </c>
      <c r="W13" s="54" t="str">
        <f aca="false">IF(A13="","",IF(AND(OR(O13="Risk accepted",O13="Temporary exception granted"),LEFT(H13,5)="Above"),"Accepted exposure REMAINS above appetite - acceptance does not remove the breach",IF(AND(OR(O13="Risk accepted",O13="Temporary exception granted"),H13="Not configured"),"Appetite not configured - position cannot be confirmed","")))</f>
        <v/>
      </c>
      <c r="X13" s="52" t="str">
        <f aca="false">IF(AND(F13="Yes",ISNUMBER(I13),I13=_xlfn.MAXIFS(DEC_RECDATE,DEC_SUP,B13,DEC_LEVEL,"Yes")),B13&amp;"|Latest","")</f>
        <v/>
      </c>
      <c r="Y13" s="54" t="str">
        <f aca="false">IF(A13="","",IF(COUNTIF(DEC_ID,A13)&gt;1,"CHECK: duplicate ID",IF(B13="","CHECK: Supplier ID missing",IF(COUNTIF(INV_ID,B13)=0,"CHECK: Supplier ID not in inventory",IF(AND(D13&lt;&gt;"",COUNTIF(RSK_ID,D13)=0),"CHECK: Risk ID not found",IF(AND(D13&lt;&gt;"",COUNTIF(RSK_ID,D13)&gt;0,IFERROR(INDEX(RSK_SUP,MATCH(D13,RSK_ID,0)),"")&lt;&gt;B13),"CHECK: Risk belongs to a different supplier",IF(AND(F13="No",D13=""),"CHECK: risk ID required for risk-level decision","OK")))))))</f>
        <v/>
      </c>
      <c r="Z13" s="52" t="str">
        <f aca="false">IF(OR(A13="",B13=""),"",IF(B13=RptSup,B13&amp;"|"&amp;COUNTIF($B$7:B13,B13),""))</f>
        <v/>
      </c>
    </row>
    <row r="14" customFormat="false" ht="15" hidden="false" customHeight="false" outlineLevel="0" collapsed="false">
      <c r="A14" s="50"/>
      <c r="B14" s="50"/>
      <c r="C14" s="59" t="str">
        <f aca="false">IF(B14="","",IFERROR(INDEX(INV_NAME,MATCH(B14,INV_ID,0)),"CHECK: Supplier ID not found"))</f>
        <v/>
      </c>
      <c r="D14" s="34"/>
      <c r="E14" s="34"/>
      <c r="F14" s="52" t="str">
        <f aca="false">IF(A14="","",IF(OR(E14="Supplier approval",E14="Conditional approval",E14="Approval deferred",E14="Supplier rejection"),"Yes","No"))</f>
        <v/>
      </c>
      <c r="G14" s="63" t="str">
        <f aca="false">IF(OR(A14="",D14=""),"",IFERROR(INDEX(RSK_RBAND,MATCH(D14,RSK_ID,0)),"CHECK: Risk ID not found"))</f>
        <v/>
      </c>
      <c r="H14" s="59" t="str">
        <f aca="false">IF(OR(A14="",D14=""),"",IFERROR(INDEX(RSK_APP,MATCH(D14,RSK_ID,0)),"CHECK: Risk ID not found"))</f>
        <v/>
      </c>
      <c r="I14" s="51"/>
      <c r="J14" s="34"/>
      <c r="K14" s="34"/>
      <c r="L14" s="34"/>
      <c r="M14" s="60"/>
      <c r="N14" s="34"/>
      <c r="O14" s="60"/>
      <c r="P14" s="34"/>
      <c r="Q14" s="64"/>
      <c r="R14" s="51"/>
      <c r="S14" s="60"/>
      <c r="T14" s="34"/>
      <c r="U14" s="50"/>
      <c r="V14" s="54" t="str">
        <f aca="false">IF(A14="","",IF(OR(O14="",O14="Not yet decided"),"Pending - no authorised decision",IF(OR(M14="",S14="",Q14=""),"Incomplete authorisation record - not treated as authorised",IF(OR(U14="Withdrawn",U14="Superseded"),"Not current ("&amp;U14&amp;")",IF(AND(ISNUMBER(R14),R14&lt;AsOf),"Expired - re-approval required",IF(AND(ISNUMBER(R14),R14&lt;=AsOf+WarnDecisionDays),"Review due soon","Authorised (user-entered record)"))))))</f>
        <v/>
      </c>
      <c r="W14" s="54" t="str">
        <f aca="false">IF(A14="","",IF(AND(OR(O14="Risk accepted",O14="Temporary exception granted"),LEFT(H14,5)="Above"),"Accepted exposure REMAINS above appetite - acceptance does not remove the breach",IF(AND(OR(O14="Risk accepted",O14="Temporary exception granted"),H14="Not configured"),"Appetite not configured - position cannot be confirmed","")))</f>
        <v/>
      </c>
      <c r="X14" s="52" t="str">
        <f aca="false">IF(AND(F14="Yes",ISNUMBER(I14),I14=_xlfn.MAXIFS(DEC_RECDATE,DEC_SUP,B14,DEC_LEVEL,"Yes")),B14&amp;"|Latest","")</f>
        <v/>
      </c>
      <c r="Y14" s="54" t="str">
        <f aca="false">IF(A14="","",IF(COUNTIF(DEC_ID,A14)&gt;1,"CHECK: duplicate ID",IF(B14="","CHECK: Supplier ID missing",IF(COUNTIF(INV_ID,B14)=0,"CHECK: Supplier ID not in inventory",IF(AND(D14&lt;&gt;"",COUNTIF(RSK_ID,D14)=0),"CHECK: Risk ID not found",IF(AND(D14&lt;&gt;"",COUNTIF(RSK_ID,D14)&gt;0,IFERROR(INDEX(RSK_SUP,MATCH(D14,RSK_ID,0)),"")&lt;&gt;B14),"CHECK: Risk belongs to a different supplier",IF(AND(F14="No",D14=""),"CHECK: risk ID required for risk-level decision","OK")))))))</f>
        <v/>
      </c>
      <c r="Z14" s="52" t="str">
        <f aca="false">IF(OR(A14="",B14=""),"",IF(B14=RptSup,B14&amp;"|"&amp;COUNTIF($B$7:B14,B14),""))</f>
        <v/>
      </c>
    </row>
    <row r="15" customFormat="false" ht="15" hidden="false" customHeight="false" outlineLevel="0" collapsed="false">
      <c r="A15" s="50"/>
      <c r="B15" s="50"/>
      <c r="C15" s="59" t="str">
        <f aca="false">IF(B15="","",IFERROR(INDEX(INV_NAME,MATCH(B15,INV_ID,0)),"CHECK: Supplier ID not found"))</f>
        <v/>
      </c>
      <c r="D15" s="34"/>
      <c r="E15" s="34"/>
      <c r="F15" s="52" t="str">
        <f aca="false">IF(A15="","",IF(OR(E15="Supplier approval",E15="Conditional approval",E15="Approval deferred",E15="Supplier rejection"),"Yes","No"))</f>
        <v/>
      </c>
      <c r="G15" s="63" t="str">
        <f aca="false">IF(OR(A15="",D15=""),"",IFERROR(INDEX(RSK_RBAND,MATCH(D15,RSK_ID,0)),"CHECK: Risk ID not found"))</f>
        <v/>
      </c>
      <c r="H15" s="59" t="str">
        <f aca="false">IF(OR(A15="",D15=""),"",IFERROR(INDEX(RSK_APP,MATCH(D15,RSK_ID,0)),"CHECK: Risk ID not found"))</f>
        <v/>
      </c>
      <c r="I15" s="51"/>
      <c r="J15" s="34"/>
      <c r="K15" s="34"/>
      <c r="L15" s="34"/>
      <c r="M15" s="60"/>
      <c r="N15" s="34"/>
      <c r="O15" s="60"/>
      <c r="P15" s="34"/>
      <c r="Q15" s="64"/>
      <c r="R15" s="51"/>
      <c r="S15" s="60"/>
      <c r="T15" s="34"/>
      <c r="U15" s="50"/>
      <c r="V15" s="54" t="str">
        <f aca="false">IF(A15="","",IF(OR(O15="",O15="Not yet decided"),"Pending - no authorised decision",IF(OR(M15="",S15="",Q15=""),"Incomplete authorisation record - not treated as authorised",IF(OR(U15="Withdrawn",U15="Superseded"),"Not current ("&amp;U15&amp;")",IF(AND(ISNUMBER(R15),R15&lt;AsOf),"Expired - re-approval required",IF(AND(ISNUMBER(R15),R15&lt;=AsOf+WarnDecisionDays),"Review due soon","Authorised (user-entered record)"))))))</f>
        <v/>
      </c>
      <c r="W15" s="54" t="str">
        <f aca="false">IF(A15="","",IF(AND(OR(O15="Risk accepted",O15="Temporary exception granted"),LEFT(H15,5)="Above"),"Accepted exposure REMAINS above appetite - acceptance does not remove the breach",IF(AND(OR(O15="Risk accepted",O15="Temporary exception granted"),H15="Not configured"),"Appetite not configured - position cannot be confirmed","")))</f>
        <v/>
      </c>
      <c r="X15" s="52" t="str">
        <f aca="false">IF(AND(F15="Yes",ISNUMBER(I15),I15=_xlfn.MAXIFS(DEC_RECDATE,DEC_SUP,B15,DEC_LEVEL,"Yes")),B15&amp;"|Latest","")</f>
        <v/>
      </c>
      <c r="Y15" s="54" t="str">
        <f aca="false">IF(A15="","",IF(COUNTIF(DEC_ID,A15)&gt;1,"CHECK: duplicate ID",IF(B15="","CHECK: Supplier ID missing",IF(COUNTIF(INV_ID,B15)=0,"CHECK: Supplier ID not in inventory",IF(AND(D15&lt;&gt;"",COUNTIF(RSK_ID,D15)=0),"CHECK: Risk ID not found",IF(AND(D15&lt;&gt;"",COUNTIF(RSK_ID,D15)&gt;0,IFERROR(INDEX(RSK_SUP,MATCH(D15,RSK_ID,0)),"")&lt;&gt;B15),"CHECK: Risk belongs to a different supplier",IF(AND(F15="No",D15=""),"CHECK: risk ID required for risk-level decision","OK")))))))</f>
        <v/>
      </c>
      <c r="Z15" s="52" t="str">
        <f aca="false">IF(OR(A15="",B15=""),"",IF(B15=RptSup,B15&amp;"|"&amp;COUNTIF($B$7:B15,B15),""))</f>
        <v/>
      </c>
    </row>
    <row r="16" customFormat="false" ht="15" hidden="false" customHeight="false" outlineLevel="0" collapsed="false">
      <c r="A16" s="50"/>
      <c r="B16" s="50"/>
      <c r="C16" s="59" t="str">
        <f aca="false">IF(B16="","",IFERROR(INDEX(INV_NAME,MATCH(B16,INV_ID,0)),"CHECK: Supplier ID not found"))</f>
        <v/>
      </c>
      <c r="D16" s="34"/>
      <c r="E16" s="34"/>
      <c r="F16" s="52" t="str">
        <f aca="false">IF(A16="","",IF(OR(E16="Supplier approval",E16="Conditional approval",E16="Approval deferred",E16="Supplier rejection"),"Yes","No"))</f>
        <v/>
      </c>
      <c r="G16" s="63" t="str">
        <f aca="false">IF(OR(A16="",D16=""),"",IFERROR(INDEX(RSK_RBAND,MATCH(D16,RSK_ID,0)),"CHECK: Risk ID not found"))</f>
        <v/>
      </c>
      <c r="H16" s="59" t="str">
        <f aca="false">IF(OR(A16="",D16=""),"",IFERROR(INDEX(RSK_APP,MATCH(D16,RSK_ID,0)),"CHECK: Risk ID not found"))</f>
        <v/>
      </c>
      <c r="I16" s="51"/>
      <c r="J16" s="34"/>
      <c r="K16" s="34"/>
      <c r="L16" s="34"/>
      <c r="M16" s="60"/>
      <c r="N16" s="34"/>
      <c r="O16" s="60"/>
      <c r="P16" s="34"/>
      <c r="Q16" s="64"/>
      <c r="R16" s="51"/>
      <c r="S16" s="60"/>
      <c r="T16" s="34"/>
      <c r="U16" s="50"/>
      <c r="V16" s="54" t="str">
        <f aca="false">IF(A16="","",IF(OR(O16="",O16="Not yet decided"),"Pending - no authorised decision",IF(OR(M16="",S16="",Q16=""),"Incomplete authorisation record - not treated as authorised",IF(OR(U16="Withdrawn",U16="Superseded"),"Not current ("&amp;U16&amp;")",IF(AND(ISNUMBER(R16),R16&lt;AsOf),"Expired - re-approval required",IF(AND(ISNUMBER(R16),R16&lt;=AsOf+WarnDecisionDays),"Review due soon","Authorised (user-entered record)"))))))</f>
        <v/>
      </c>
      <c r="W16" s="54" t="str">
        <f aca="false">IF(A16="","",IF(AND(OR(O16="Risk accepted",O16="Temporary exception granted"),LEFT(H16,5)="Above"),"Accepted exposure REMAINS above appetite - acceptance does not remove the breach",IF(AND(OR(O16="Risk accepted",O16="Temporary exception granted"),H16="Not configured"),"Appetite not configured - position cannot be confirmed","")))</f>
        <v/>
      </c>
      <c r="X16" s="52" t="str">
        <f aca="false">IF(AND(F16="Yes",ISNUMBER(I16),I16=_xlfn.MAXIFS(DEC_RECDATE,DEC_SUP,B16,DEC_LEVEL,"Yes")),B16&amp;"|Latest","")</f>
        <v/>
      </c>
      <c r="Y16" s="54" t="str">
        <f aca="false">IF(A16="","",IF(COUNTIF(DEC_ID,A16)&gt;1,"CHECK: duplicate ID",IF(B16="","CHECK: Supplier ID missing",IF(COUNTIF(INV_ID,B16)=0,"CHECK: Supplier ID not in inventory",IF(AND(D16&lt;&gt;"",COUNTIF(RSK_ID,D16)=0),"CHECK: Risk ID not found",IF(AND(D16&lt;&gt;"",COUNTIF(RSK_ID,D16)&gt;0,IFERROR(INDEX(RSK_SUP,MATCH(D16,RSK_ID,0)),"")&lt;&gt;B16),"CHECK: Risk belongs to a different supplier",IF(AND(F16="No",D16=""),"CHECK: risk ID required for risk-level decision","OK")))))))</f>
        <v/>
      </c>
      <c r="Z16" s="52" t="str">
        <f aca="false">IF(OR(A16="",B16=""),"",IF(B16=RptSup,B16&amp;"|"&amp;COUNTIF($B$7:B16,B16),""))</f>
        <v/>
      </c>
    </row>
    <row r="17" customFormat="false" ht="15" hidden="false" customHeight="false" outlineLevel="0" collapsed="false">
      <c r="A17" s="50"/>
      <c r="B17" s="50"/>
      <c r="C17" s="59" t="str">
        <f aca="false">IF(B17="","",IFERROR(INDEX(INV_NAME,MATCH(B17,INV_ID,0)),"CHECK: Supplier ID not found"))</f>
        <v/>
      </c>
      <c r="D17" s="34"/>
      <c r="E17" s="34"/>
      <c r="F17" s="52" t="str">
        <f aca="false">IF(A17="","",IF(OR(E17="Supplier approval",E17="Conditional approval",E17="Approval deferred",E17="Supplier rejection"),"Yes","No"))</f>
        <v/>
      </c>
      <c r="G17" s="63" t="str">
        <f aca="false">IF(OR(A17="",D17=""),"",IFERROR(INDEX(RSK_RBAND,MATCH(D17,RSK_ID,0)),"CHECK: Risk ID not found"))</f>
        <v/>
      </c>
      <c r="H17" s="59" t="str">
        <f aca="false">IF(OR(A17="",D17=""),"",IFERROR(INDEX(RSK_APP,MATCH(D17,RSK_ID,0)),"CHECK: Risk ID not found"))</f>
        <v/>
      </c>
      <c r="I17" s="51"/>
      <c r="J17" s="34"/>
      <c r="K17" s="34"/>
      <c r="L17" s="34"/>
      <c r="M17" s="60"/>
      <c r="N17" s="34"/>
      <c r="O17" s="60"/>
      <c r="P17" s="34"/>
      <c r="Q17" s="64"/>
      <c r="R17" s="51"/>
      <c r="S17" s="60"/>
      <c r="T17" s="34"/>
      <c r="U17" s="50"/>
      <c r="V17" s="54" t="str">
        <f aca="false">IF(A17="","",IF(OR(O17="",O17="Not yet decided"),"Pending - no authorised decision",IF(OR(M17="",S17="",Q17=""),"Incomplete authorisation record - not treated as authorised",IF(OR(U17="Withdrawn",U17="Superseded"),"Not current ("&amp;U17&amp;")",IF(AND(ISNUMBER(R17),R17&lt;AsOf),"Expired - re-approval required",IF(AND(ISNUMBER(R17),R17&lt;=AsOf+WarnDecisionDays),"Review due soon","Authorised (user-entered record)"))))))</f>
        <v/>
      </c>
      <c r="W17" s="54" t="str">
        <f aca="false">IF(A17="","",IF(AND(OR(O17="Risk accepted",O17="Temporary exception granted"),LEFT(H17,5)="Above"),"Accepted exposure REMAINS above appetite - acceptance does not remove the breach",IF(AND(OR(O17="Risk accepted",O17="Temporary exception granted"),H17="Not configured"),"Appetite not configured - position cannot be confirmed","")))</f>
        <v/>
      </c>
      <c r="X17" s="52" t="str">
        <f aca="false">IF(AND(F17="Yes",ISNUMBER(I17),I17=_xlfn.MAXIFS(DEC_RECDATE,DEC_SUP,B17,DEC_LEVEL,"Yes")),B17&amp;"|Latest","")</f>
        <v/>
      </c>
      <c r="Y17" s="54" t="str">
        <f aca="false">IF(A17="","",IF(COUNTIF(DEC_ID,A17)&gt;1,"CHECK: duplicate ID",IF(B17="","CHECK: Supplier ID missing",IF(COUNTIF(INV_ID,B17)=0,"CHECK: Supplier ID not in inventory",IF(AND(D17&lt;&gt;"",COUNTIF(RSK_ID,D17)=0),"CHECK: Risk ID not found",IF(AND(D17&lt;&gt;"",COUNTIF(RSK_ID,D17)&gt;0,IFERROR(INDEX(RSK_SUP,MATCH(D17,RSK_ID,0)),"")&lt;&gt;B17),"CHECK: Risk belongs to a different supplier",IF(AND(F17="No",D17=""),"CHECK: risk ID required for risk-level decision","OK")))))))</f>
        <v/>
      </c>
      <c r="Z17" s="52" t="str">
        <f aca="false">IF(OR(A17="",B17=""),"",IF(B17=RptSup,B17&amp;"|"&amp;COUNTIF($B$7:B17,B17),""))</f>
        <v/>
      </c>
    </row>
    <row r="18" customFormat="false" ht="15" hidden="false" customHeight="false" outlineLevel="0" collapsed="false">
      <c r="A18" s="50"/>
      <c r="B18" s="50"/>
      <c r="C18" s="59" t="str">
        <f aca="false">IF(B18="","",IFERROR(INDEX(INV_NAME,MATCH(B18,INV_ID,0)),"CHECK: Supplier ID not found"))</f>
        <v/>
      </c>
      <c r="D18" s="34"/>
      <c r="E18" s="34"/>
      <c r="F18" s="52" t="str">
        <f aca="false">IF(A18="","",IF(OR(E18="Supplier approval",E18="Conditional approval",E18="Approval deferred",E18="Supplier rejection"),"Yes","No"))</f>
        <v/>
      </c>
      <c r="G18" s="63" t="str">
        <f aca="false">IF(OR(A18="",D18=""),"",IFERROR(INDEX(RSK_RBAND,MATCH(D18,RSK_ID,0)),"CHECK: Risk ID not found"))</f>
        <v/>
      </c>
      <c r="H18" s="59" t="str">
        <f aca="false">IF(OR(A18="",D18=""),"",IFERROR(INDEX(RSK_APP,MATCH(D18,RSK_ID,0)),"CHECK: Risk ID not found"))</f>
        <v/>
      </c>
      <c r="I18" s="51"/>
      <c r="J18" s="34"/>
      <c r="K18" s="34"/>
      <c r="L18" s="34"/>
      <c r="M18" s="60"/>
      <c r="N18" s="34"/>
      <c r="O18" s="60"/>
      <c r="P18" s="34"/>
      <c r="Q18" s="64"/>
      <c r="R18" s="51"/>
      <c r="S18" s="60"/>
      <c r="T18" s="34"/>
      <c r="U18" s="50"/>
      <c r="V18" s="54" t="str">
        <f aca="false">IF(A18="","",IF(OR(O18="",O18="Not yet decided"),"Pending - no authorised decision",IF(OR(M18="",S18="",Q18=""),"Incomplete authorisation record - not treated as authorised",IF(OR(U18="Withdrawn",U18="Superseded"),"Not current ("&amp;U18&amp;")",IF(AND(ISNUMBER(R18),R18&lt;AsOf),"Expired - re-approval required",IF(AND(ISNUMBER(R18),R18&lt;=AsOf+WarnDecisionDays),"Review due soon","Authorised (user-entered record)"))))))</f>
        <v/>
      </c>
      <c r="W18" s="54" t="str">
        <f aca="false">IF(A18="","",IF(AND(OR(O18="Risk accepted",O18="Temporary exception granted"),LEFT(H18,5)="Above"),"Accepted exposure REMAINS above appetite - acceptance does not remove the breach",IF(AND(OR(O18="Risk accepted",O18="Temporary exception granted"),H18="Not configured"),"Appetite not configured - position cannot be confirmed","")))</f>
        <v/>
      </c>
      <c r="X18" s="52" t="str">
        <f aca="false">IF(AND(F18="Yes",ISNUMBER(I18),I18=_xlfn.MAXIFS(DEC_RECDATE,DEC_SUP,B18,DEC_LEVEL,"Yes")),B18&amp;"|Latest","")</f>
        <v/>
      </c>
      <c r="Y18" s="54" t="str">
        <f aca="false">IF(A18="","",IF(COUNTIF(DEC_ID,A18)&gt;1,"CHECK: duplicate ID",IF(B18="","CHECK: Supplier ID missing",IF(COUNTIF(INV_ID,B18)=0,"CHECK: Supplier ID not in inventory",IF(AND(D18&lt;&gt;"",COUNTIF(RSK_ID,D18)=0),"CHECK: Risk ID not found",IF(AND(D18&lt;&gt;"",COUNTIF(RSK_ID,D18)&gt;0,IFERROR(INDEX(RSK_SUP,MATCH(D18,RSK_ID,0)),"")&lt;&gt;B18),"CHECK: Risk belongs to a different supplier",IF(AND(F18="No",D18=""),"CHECK: risk ID required for risk-level decision","OK")))))))</f>
        <v/>
      </c>
      <c r="Z18" s="52" t="str">
        <f aca="false">IF(OR(A18="",B18=""),"",IF(B18=RptSup,B18&amp;"|"&amp;COUNTIF($B$7:B18,B18),""))</f>
        <v/>
      </c>
    </row>
    <row r="19" customFormat="false" ht="15" hidden="false" customHeight="false" outlineLevel="0" collapsed="false">
      <c r="A19" s="50"/>
      <c r="B19" s="50"/>
      <c r="C19" s="59" t="str">
        <f aca="false">IF(B19="","",IFERROR(INDEX(INV_NAME,MATCH(B19,INV_ID,0)),"CHECK: Supplier ID not found"))</f>
        <v/>
      </c>
      <c r="D19" s="34"/>
      <c r="E19" s="34"/>
      <c r="F19" s="52" t="str">
        <f aca="false">IF(A19="","",IF(OR(E19="Supplier approval",E19="Conditional approval",E19="Approval deferred",E19="Supplier rejection"),"Yes","No"))</f>
        <v/>
      </c>
      <c r="G19" s="63" t="str">
        <f aca="false">IF(OR(A19="",D19=""),"",IFERROR(INDEX(RSK_RBAND,MATCH(D19,RSK_ID,0)),"CHECK: Risk ID not found"))</f>
        <v/>
      </c>
      <c r="H19" s="59" t="str">
        <f aca="false">IF(OR(A19="",D19=""),"",IFERROR(INDEX(RSK_APP,MATCH(D19,RSK_ID,0)),"CHECK: Risk ID not found"))</f>
        <v/>
      </c>
      <c r="I19" s="51"/>
      <c r="J19" s="34"/>
      <c r="K19" s="34"/>
      <c r="L19" s="34"/>
      <c r="M19" s="60"/>
      <c r="N19" s="34"/>
      <c r="O19" s="60"/>
      <c r="P19" s="34"/>
      <c r="Q19" s="64"/>
      <c r="R19" s="51"/>
      <c r="S19" s="60"/>
      <c r="T19" s="34"/>
      <c r="U19" s="50"/>
      <c r="V19" s="54" t="str">
        <f aca="false">IF(A19="","",IF(OR(O19="",O19="Not yet decided"),"Pending - no authorised decision",IF(OR(M19="",S19="",Q19=""),"Incomplete authorisation record - not treated as authorised",IF(OR(U19="Withdrawn",U19="Superseded"),"Not current ("&amp;U19&amp;")",IF(AND(ISNUMBER(R19),R19&lt;AsOf),"Expired - re-approval required",IF(AND(ISNUMBER(R19),R19&lt;=AsOf+WarnDecisionDays),"Review due soon","Authorised (user-entered record)"))))))</f>
        <v/>
      </c>
      <c r="W19" s="54" t="str">
        <f aca="false">IF(A19="","",IF(AND(OR(O19="Risk accepted",O19="Temporary exception granted"),LEFT(H19,5)="Above"),"Accepted exposure REMAINS above appetite - acceptance does not remove the breach",IF(AND(OR(O19="Risk accepted",O19="Temporary exception granted"),H19="Not configured"),"Appetite not configured - position cannot be confirmed","")))</f>
        <v/>
      </c>
      <c r="X19" s="52" t="str">
        <f aca="false">IF(AND(F19="Yes",ISNUMBER(I19),I19=_xlfn.MAXIFS(DEC_RECDATE,DEC_SUP,B19,DEC_LEVEL,"Yes")),B19&amp;"|Latest","")</f>
        <v/>
      </c>
      <c r="Y19" s="54" t="str">
        <f aca="false">IF(A19="","",IF(COUNTIF(DEC_ID,A19)&gt;1,"CHECK: duplicate ID",IF(B19="","CHECK: Supplier ID missing",IF(COUNTIF(INV_ID,B19)=0,"CHECK: Supplier ID not in inventory",IF(AND(D19&lt;&gt;"",COUNTIF(RSK_ID,D19)=0),"CHECK: Risk ID not found",IF(AND(D19&lt;&gt;"",COUNTIF(RSK_ID,D19)&gt;0,IFERROR(INDEX(RSK_SUP,MATCH(D19,RSK_ID,0)),"")&lt;&gt;B19),"CHECK: Risk belongs to a different supplier",IF(AND(F19="No",D19=""),"CHECK: risk ID required for risk-level decision","OK")))))))</f>
        <v/>
      </c>
      <c r="Z19" s="52" t="str">
        <f aca="false">IF(OR(A19="",B19=""),"",IF(B19=RptSup,B19&amp;"|"&amp;COUNTIF($B$7:B19,B19),""))</f>
        <v/>
      </c>
    </row>
    <row r="20" customFormat="false" ht="15" hidden="false" customHeight="false" outlineLevel="0" collapsed="false">
      <c r="A20" s="50"/>
      <c r="B20" s="50"/>
      <c r="C20" s="59" t="str">
        <f aca="false">IF(B20="","",IFERROR(INDEX(INV_NAME,MATCH(B20,INV_ID,0)),"CHECK: Supplier ID not found"))</f>
        <v/>
      </c>
      <c r="D20" s="34"/>
      <c r="E20" s="34"/>
      <c r="F20" s="52" t="str">
        <f aca="false">IF(A20="","",IF(OR(E20="Supplier approval",E20="Conditional approval",E20="Approval deferred",E20="Supplier rejection"),"Yes","No"))</f>
        <v/>
      </c>
      <c r="G20" s="63" t="str">
        <f aca="false">IF(OR(A20="",D20=""),"",IFERROR(INDEX(RSK_RBAND,MATCH(D20,RSK_ID,0)),"CHECK: Risk ID not found"))</f>
        <v/>
      </c>
      <c r="H20" s="59" t="str">
        <f aca="false">IF(OR(A20="",D20=""),"",IFERROR(INDEX(RSK_APP,MATCH(D20,RSK_ID,0)),"CHECK: Risk ID not found"))</f>
        <v/>
      </c>
      <c r="I20" s="51"/>
      <c r="J20" s="34"/>
      <c r="K20" s="34"/>
      <c r="L20" s="34"/>
      <c r="M20" s="60"/>
      <c r="N20" s="34"/>
      <c r="O20" s="60"/>
      <c r="P20" s="34"/>
      <c r="Q20" s="64"/>
      <c r="R20" s="51"/>
      <c r="S20" s="60"/>
      <c r="T20" s="34"/>
      <c r="U20" s="50"/>
      <c r="V20" s="54" t="str">
        <f aca="false">IF(A20="","",IF(OR(O20="",O20="Not yet decided"),"Pending - no authorised decision",IF(OR(M20="",S20="",Q20=""),"Incomplete authorisation record - not treated as authorised",IF(OR(U20="Withdrawn",U20="Superseded"),"Not current ("&amp;U20&amp;")",IF(AND(ISNUMBER(R20),R20&lt;AsOf),"Expired - re-approval required",IF(AND(ISNUMBER(R20),R20&lt;=AsOf+WarnDecisionDays),"Review due soon","Authorised (user-entered record)"))))))</f>
        <v/>
      </c>
      <c r="W20" s="54" t="str">
        <f aca="false">IF(A20="","",IF(AND(OR(O20="Risk accepted",O20="Temporary exception granted"),LEFT(H20,5)="Above"),"Accepted exposure REMAINS above appetite - acceptance does not remove the breach",IF(AND(OR(O20="Risk accepted",O20="Temporary exception granted"),H20="Not configured"),"Appetite not configured - position cannot be confirmed","")))</f>
        <v/>
      </c>
      <c r="X20" s="52" t="str">
        <f aca="false">IF(AND(F20="Yes",ISNUMBER(I20),I20=_xlfn.MAXIFS(DEC_RECDATE,DEC_SUP,B20,DEC_LEVEL,"Yes")),B20&amp;"|Latest","")</f>
        <v/>
      </c>
      <c r="Y20" s="54" t="str">
        <f aca="false">IF(A20="","",IF(COUNTIF(DEC_ID,A20)&gt;1,"CHECK: duplicate ID",IF(B20="","CHECK: Supplier ID missing",IF(COUNTIF(INV_ID,B20)=0,"CHECK: Supplier ID not in inventory",IF(AND(D20&lt;&gt;"",COUNTIF(RSK_ID,D20)=0),"CHECK: Risk ID not found",IF(AND(D20&lt;&gt;"",COUNTIF(RSK_ID,D20)&gt;0,IFERROR(INDEX(RSK_SUP,MATCH(D20,RSK_ID,0)),"")&lt;&gt;B20),"CHECK: Risk belongs to a different supplier",IF(AND(F20="No",D20=""),"CHECK: risk ID required for risk-level decision","OK")))))))</f>
        <v/>
      </c>
      <c r="Z20" s="52" t="str">
        <f aca="false">IF(OR(A20="",B20=""),"",IF(B20=RptSup,B20&amp;"|"&amp;COUNTIF($B$7:B20,B20),""))</f>
        <v/>
      </c>
    </row>
    <row r="21" customFormat="false" ht="15" hidden="false" customHeight="false" outlineLevel="0" collapsed="false">
      <c r="A21" s="50"/>
      <c r="B21" s="50"/>
      <c r="C21" s="59" t="str">
        <f aca="false">IF(B21="","",IFERROR(INDEX(INV_NAME,MATCH(B21,INV_ID,0)),"CHECK: Supplier ID not found"))</f>
        <v/>
      </c>
      <c r="D21" s="34"/>
      <c r="E21" s="34"/>
      <c r="F21" s="52" t="str">
        <f aca="false">IF(A21="","",IF(OR(E21="Supplier approval",E21="Conditional approval",E21="Approval deferred",E21="Supplier rejection"),"Yes","No"))</f>
        <v/>
      </c>
      <c r="G21" s="63" t="str">
        <f aca="false">IF(OR(A21="",D21=""),"",IFERROR(INDEX(RSK_RBAND,MATCH(D21,RSK_ID,0)),"CHECK: Risk ID not found"))</f>
        <v/>
      </c>
      <c r="H21" s="59" t="str">
        <f aca="false">IF(OR(A21="",D21=""),"",IFERROR(INDEX(RSK_APP,MATCH(D21,RSK_ID,0)),"CHECK: Risk ID not found"))</f>
        <v/>
      </c>
      <c r="I21" s="51"/>
      <c r="J21" s="34"/>
      <c r="K21" s="34"/>
      <c r="L21" s="34"/>
      <c r="M21" s="60"/>
      <c r="N21" s="34"/>
      <c r="O21" s="60"/>
      <c r="P21" s="34"/>
      <c r="Q21" s="64"/>
      <c r="R21" s="51"/>
      <c r="S21" s="60"/>
      <c r="T21" s="34"/>
      <c r="U21" s="50"/>
      <c r="V21" s="54" t="str">
        <f aca="false">IF(A21="","",IF(OR(O21="",O21="Not yet decided"),"Pending - no authorised decision",IF(OR(M21="",S21="",Q21=""),"Incomplete authorisation record - not treated as authorised",IF(OR(U21="Withdrawn",U21="Superseded"),"Not current ("&amp;U21&amp;")",IF(AND(ISNUMBER(R21),R21&lt;AsOf),"Expired - re-approval required",IF(AND(ISNUMBER(R21),R21&lt;=AsOf+WarnDecisionDays),"Review due soon","Authorised (user-entered record)"))))))</f>
        <v/>
      </c>
      <c r="W21" s="54" t="str">
        <f aca="false">IF(A21="","",IF(AND(OR(O21="Risk accepted",O21="Temporary exception granted"),LEFT(H21,5)="Above"),"Accepted exposure REMAINS above appetite - acceptance does not remove the breach",IF(AND(OR(O21="Risk accepted",O21="Temporary exception granted"),H21="Not configured"),"Appetite not configured - position cannot be confirmed","")))</f>
        <v/>
      </c>
      <c r="X21" s="52" t="str">
        <f aca="false">IF(AND(F21="Yes",ISNUMBER(I21),I21=_xlfn.MAXIFS(DEC_RECDATE,DEC_SUP,B21,DEC_LEVEL,"Yes")),B21&amp;"|Latest","")</f>
        <v/>
      </c>
      <c r="Y21" s="54" t="str">
        <f aca="false">IF(A21="","",IF(COUNTIF(DEC_ID,A21)&gt;1,"CHECK: duplicate ID",IF(B21="","CHECK: Supplier ID missing",IF(COUNTIF(INV_ID,B21)=0,"CHECK: Supplier ID not in inventory",IF(AND(D21&lt;&gt;"",COUNTIF(RSK_ID,D21)=0),"CHECK: Risk ID not found",IF(AND(D21&lt;&gt;"",COUNTIF(RSK_ID,D21)&gt;0,IFERROR(INDEX(RSK_SUP,MATCH(D21,RSK_ID,0)),"")&lt;&gt;B21),"CHECK: Risk belongs to a different supplier",IF(AND(F21="No",D21=""),"CHECK: risk ID required for risk-level decision","OK")))))))</f>
        <v/>
      </c>
      <c r="Z21" s="52" t="str">
        <f aca="false">IF(OR(A21="",B21=""),"",IF(B21=RptSup,B21&amp;"|"&amp;COUNTIF($B$7:B21,B21),""))</f>
        <v/>
      </c>
    </row>
    <row r="22" customFormat="false" ht="15" hidden="false" customHeight="false" outlineLevel="0" collapsed="false">
      <c r="A22" s="50"/>
      <c r="B22" s="50"/>
      <c r="C22" s="59" t="str">
        <f aca="false">IF(B22="","",IFERROR(INDEX(INV_NAME,MATCH(B22,INV_ID,0)),"CHECK: Supplier ID not found"))</f>
        <v/>
      </c>
      <c r="D22" s="34"/>
      <c r="E22" s="34"/>
      <c r="F22" s="52" t="str">
        <f aca="false">IF(A22="","",IF(OR(E22="Supplier approval",E22="Conditional approval",E22="Approval deferred",E22="Supplier rejection"),"Yes","No"))</f>
        <v/>
      </c>
      <c r="G22" s="63" t="str">
        <f aca="false">IF(OR(A22="",D22=""),"",IFERROR(INDEX(RSK_RBAND,MATCH(D22,RSK_ID,0)),"CHECK: Risk ID not found"))</f>
        <v/>
      </c>
      <c r="H22" s="59" t="str">
        <f aca="false">IF(OR(A22="",D22=""),"",IFERROR(INDEX(RSK_APP,MATCH(D22,RSK_ID,0)),"CHECK: Risk ID not found"))</f>
        <v/>
      </c>
      <c r="I22" s="51"/>
      <c r="J22" s="34"/>
      <c r="K22" s="34"/>
      <c r="L22" s="34"/>
      <c r="M22" s="60"/>
      <c r="N22" s="34"/>
      <c r="O22" s="60"/>
      <c r="P22" s="34"/>
      <c r="Q22" s="64"/>
      <c r="R22" s="51"/>
      <c r="S22" s="60"/>
      <c r="T22" s="34"/>
      <c r="U22" s="50"/>
      <c r="V22" s="54" t="str">
        <f aca="false">IF(A22="","",IF(OR(O22="",O22="Not yet decided"),"Pending - no authorised decision",IF(OR(M22="",S22="",Q22=""),"Incomplete authorisation record - not treated as authorised",IF(OR(U22="Withdrawn",U22="Superseded"),"Not current ("&amp;U22&amp;")",IF(AND(ISNUMBER(R22),R22&lt;AsOf),"Expired - re-approval required",IF(AND(ISNUMBER(R22),R22&lt;=AsOf+WarnDecisionDays),"Review due soon","Authorised (user-entered record)"))))))</f>
        <v/>
      </c>
      <c r="W22" s="54" t="str">
        <f aca="false">IF(A22="","",IF(AND(OR(O22="Risk accepted",O22="Temporary exception granted"),LEFT(H22,5)="Above"),"Accepted exposure REMAINS above appetite - acceptance does not remove the breach",IF(AND(OR(O22="Risk accepted",O22="Temporary exception granted"),H22="Not configured"),"Appetite not configured - position cannot be confirmed","")))</f>
        <v/>
      </c>
      <c r="X22" s="52" t="str">
        <f aca="false">IF(AND(F22="Yes",ISNUMBER(I22),I22=_xlfn.MAXIFS(DEC_RECDATE,DEC_SUP,B22,DEC_LEVEL,"Yes")),B22&amp;"|Latest","")</f>
        <v/>
      </c>
      <c r="Y22" s="54" t="str">
        <f aca="false">IF(A22="","",IF(COUNTIF(DEC_ID,A22)&gt;1,"CHECK: duplicate ID",IF(B22="","CHECK: Supplier ID missing",IF(COUNTIF(INV_ID,B22)=0,"CHECK: Supplier ID not in inventory",IF(AND(D22&lt;&gt;"",COUNTIF(RSK_ID,D22)=0),"CHECK: Risk ID not found",IF(AND(D22&lt;&gt;"",COUNTIF(RSK_ID,D22)&gt;0,IFERROR(INDEX(RSK_SUP,MATCH(D22,RSK_ID,0)),"")&lt;&gt;B22),"CHECK: Risk belongs to a different supplier",IF(AND(F22="No",D22=""),"CHECK: risk ID required for risk-level decision","OK")))))))</f>
        <v/>
      </c>
      <c r="Z22" s="52" t="str">
        <f aca="false">IF(OR(A22="",B22=""),"",IF(B22=RptSup,B22&amp;"|"&amp;COUNTIF($B$7:B22,B22),""))</f>
        <v/>
      </c>
    </row>
    <row r="23" customFormat="false" ht="15" hidden="false" customHeight="false" outlineLevel="0" collapsed="false">
      <c r="A23" s="50"/>
      <c r="B23" s="50"/>
      <c r="C23" s="59" t="str">
        <f aca="false">IF(B23="","",IFERROR(INDEX(INV_NAME,MATCH(B23,INV_ID,0)),"CHECK: Supplier ID not found"))</f>
        <v/>
      </c>
      <c r="D23" s="34"/>
      <c r="E23" s="34"/>
      <c r="F23" s="52" t="str">
        <f aca="false">IF(A23="","",IF(OR(E23="Supplier approval",E23="Conditional approval",E23="Approval deferred",E23="Supplier rejection"),"Yes","No"))</f>
        <v/>
      </c>
      <c r="G23" s="63" t="str">
        <f aca="false">IF(OR(A23="",D23=""),"",IFERROR(INDEX(RSK_RBAND,MATCH(D23,RSK_ID,0)),"CHECK: Risk ID not found"))</f>
        <v/>
      </c>
      <c r="H23" s="59" t="str">
        <f aca="false">IF(OR(A23="",D23=""),"",IFERROR(INDEX(RSK_APP,MATCH(D23,RSK_ID,0)),"CHECK: Risk ID not found"))</f>
        <v/>
      </c>
      <c r="I23" s="51"/>
      <c r="J23" s="34"/>
      <c r="K23" s="34"/>
      <c r="L23" s="34"/>
      <c r="M23" s="60"/>
      <c r="N23" s="34"/>
      <c r="O23" s="60"/>
      <c r="P23" s="34"/>
      <c r="Q23" s="64"/>
      <c r="R23" s="51"/>
      <c r="S23" s="60"/>
      <c r="T23" s="34"/>
      <c r="U23" s="50"/>
      <c r="V23" s="54" t="str">
        <f aca="false">IF(A23="","",IF(OR(O23="",O23="Not yet decided"),"Pending - no authorised decision",IF(OR(M23="",S23="",Q23=""),"Incomplete authorisation record - not treated as authorised",IF(OR(U23="Withdrawn",U23="Superseded"),"Not current ("&amp;U23&amp;")",IF(AND(ISNUMBER(R23),R23&lt;AsOf),"Expired - re-approval required",IF(AND(ISNUMBER(R23),R23&lt;=AsOf+WarnDecisionDays),"Review due soon","Authorised (user-entered record)"))))))</f>
        <v/>
      </c>
      <c r="W23" s="54" t="str">
        <f aca="false">IF(A23="","",IF(AND(OR(O23="Risk accepted",O23="Temporary exception granted"),LEFT(H23,5)="Above"),"Accepted exposure REMAINS above appetite - acceptance does not remove the breach",IF(AND(OR(O23="Risk accepted",O23="Temporary exception granted"),H23="Not configured"),"Appetite not configured - position cannot be confirmed","")))</f>
        <v/>
      </c>
      <c r="X23" s="52" t="str">
        <f aca="false">IF(AND(F23="Yes",ISNUMBER(I23),I23=_xlfn.MAXIFS(DEC_RECDATE,DEC_SUP,B23,DEC_LEVEL,"Yes")),B23&amp;"|Latest","")</f>
        <v/>
      </c>
      <c r="Y23" s="54" t="str">
        <f aca="false">IF(A23="","",IF(COUNTIF(DEC_ID,A23)&gt;1,"CHECK: duplicate ID",IF(B23="","CHECK: Supplier ID missing",IF(COUNTIF(INV_ID,B23)=0,"CHECK: Supplier ID not in inventory",IF(AND(D23&lt;&gt;"",COUNTIF(RSK_ID,D23)=0),"CHECK: Risk ID not found",IF(AND(D23&lt;&gt;"",COUNTIF(RSK_ID,D23)&gt;0,IFERROR(INDEX(RSK_SUP,MATCH(D23,RSK_ID,0)),"")&lt;&gt;B23),"CHECK: Risk belongs to a different supplier",IF(AND(F23="No",D23=""),"CHECK: risk ID required for risk-level decision","OK")))))))</f>
        <v/>
      </c>
      <c r="Z23" s="52" t="str">
        <f aca="false">IF(OR(A23="",B23=""),"",IF(B23=RptSup,B23&amp;"|"&amp;COUNTIF($B$7:B23,B23),""))</f>
        <v/>
      </c>
    </row>
    <row r="24" customFormat="false" ht="15" hidden="false" customHeight="false" outlineLevel="0" collapsed="false">
      <c r="A24" s="50"/>
      <c r="B24" s="50"/>
      <c r="C24" s="59" t="str">
        <f aca="false">IF(B24="","",IFERROR(INDEX(INV_NAME,MATCH(B24,INV_ID,0)),"CHECK: Supplier ID not found"))</f>
        <v/>
      </c>
      <c r="D24" s="34"/>
      <c r="E24" s="34"/>
      <c r="F24" s="52" t="str">
        <f aca="false">IF(A24="","",IF(OR(E24="Supplier approval",E24="Conditional approval",E24="Approval deferred",E24="Supplier rejection"),"Yes","No"))</f>
        <v/>
      </c>
      <c r="G24" s="63" t="str">
        <f aca="false">IF(OR(A24="",D24=""),"",IFERROR(INDEX(RSK_RBAND,MATCH(D24,RSK_ID,0)),"CHECK: Risk ID not found"))</f>
        <v/>
      </c>
      <c r="H24" s="59" t="str">
        <f aca="false">IF(OR(A24="",D24=""),"",IFERROR(INDEX(RSK_APP,MATCH(D24,RSK_ID,0)),"CHECK: Risk ID not found"))</f>
        <v/>
      </c>
      <c r="I24" s="51"/>
      <c r="J24" s="34"/>
      <c r="K24" s="34"/>
      <c r="L24" s="34"/>
      <c r="M24" s="60"/>
      <c r="N24" s="34"/>
      <c r="O24" s="60"/>
      <c r="P24" s="34"/>
      <c r="Q24" s="64"/>
      <c r="R24" s="51"/>
      <c r="S24" s="60"/>
      <c r="T24" s="34"/>
      <c r="U24" s="50"/>
      <c r="V24" s="54" t="str">
        <f aca="false">IF(A24="","",IF(OR(O24="",O24="Not yet decided"),"Pending - no authorised decision",IF(OR(M24="",S24="",Q24=""),"Incomplete authorisation record - not treated as authorised",IF(OR(U24="Withdrawn",U24="Superseded"),"Not current ("&amp;U24&amp;")",IF(AND(ISNUMBER(R24),R24&lt;AsOf),"Expired - re-approval required",IF(AND(ISNUMBER(R24),R24&lt;=AsOf+WarnDecisionDays),"Review due soon","Authorised (user-entered record)"))))))</f>
        <v/>
      </c>
      <c r="W24" s="54" t="str">
        <f aca="false">IF(A24="","",IF(AND(OR(O24="Risk accepted",O24="Temporary exception granted"),LEFT(H24,5)="Above"),"Accepted exposure REMAINS above appetite - acceptance does not remove the breach",IF(AND(OR(O24="Risk accepted",O24="Temporary exception granted"),H24="Not configured"),"Appetite not configured - position cannot be confirmed","")))</f>
        <v/>
      </c>
      <c r="X24" s="52" t="str">
        <f aca="false">IF(AND(F24="Yes",ISNUMBER(I24),I24=_xlfn.MAXIFS(DEC_RECDATE,DEC_SUP,B24,DEC_LEVEL,"Yes")),B24&amp;"|Latest","")</f>
        <v/>
      </c>
      <c r="Y24" s="54" t="str">
        <f aca="false">IF(A24="","",IF(COUNTIF(DEC_ID,A24)&gt;1,"CHECK: duplicate ID",IF(B24="","CHECK: Supplier ID missing",IF(COUNTIF(INV_ID,B24)=0,"CHECK: Supplier ID not in inventory",IF(AND(D24&lt;&gt;"",COUNTIF(RSK_ID,D24)=0),"CHECK: Risk ID not found",IF(AND(D24&lt;&gt;"",COUNTIF(RSK_ID,D24)&gt;0,IFERROR(INDEX(RSK_SUP,MATCH(D24,RSK_ID,0)),"")&lt;&gt;B24),"CHECK: Risk belongs to a different supplier",IF(AND(F24="No",D24=""),"CHECK: risk ID required for risk-level decision","OK")))))))</f>
        <v/>
      </c>
      <c r="Z24" s="52" t="str">
        <f aca="false">IF(OR(A24="",B24=""),"",IF(B24=RptSup,B24&amp;"|"&amp;COUNTIF($B$7:B24,B24),""))</f>
        <v/>
      </c>
    </row>
    <row r="25" customFormat="false" ht="15" hidden="false" customHeight="false" outlineLevel="0" collapsed="false">
      <c r="A25" s="50"/>
      <c r="B25" s="50"/>
      <c r="C25" s="59" t="str">
        <f aca="false">IF(B25="","",IFERROR(INDEX(INV_NAME,MATCH(B25,INV_ID,0)),"CHECK: Supplier ID not found"))</f>
        <v/>
      </c>
      <c r="D25" s="34"/>
      <c r="E25" s="34"/>
      <c r="F25" s="52" t="str">
        <f aca="false">IF(A25="","",IF(OR(E25="Supplier approval",E25="Conditional approval",E25="Approval deferred",E25="Supplier rejection"),"Yes","No"))</f>
        <v/>
      </c>
      <c r="G25" s="63" t="str">
        <f aca="false">IF(OR(A25="",D25=""),"",IFERROR(INDEX(RSK_RBAND,MATCH(D25,RSK_ID,0)),"CHECK: Risk ID not found"))</f>
        <v/>
      </c>
      <c r="H25" s="59" t="str">
        <f aca="false">IF(OR(A25="",D25=""),"",IFERROR(INDEX(RSK_APP,MATCH(D25,RSK_ID,0)),"CHECK: Risk ID not found"))</f>
        <v/>
      </c>
      <c r="I25" s="51"/>
      <c r="J25" s="34"/>
      <c r="K25" s="34"/>
      <c r="L25" s="34"/>
      <c r="M25" s="60"/>
      <c r="N25" s="34"/>
      <c r="O25" s="60"/>
      <c r="P25" s="34"/>
      <c r="Q25" s="64"/>
      <c r="R25" s="51"/>
      <c r="S25" s="60"/>
      <c r="T25" s="34"/>
      <c r="U25" s="50"/>
      <c r="V25" s="54" t="str">
        <f aca="false">IF(A25="","",IF(OR(O25="",O25="Not yet decided"),"Pending - no authorised decision",IF(OR(M25="",S25="",Q25=""),"Incomplete authorisation record - not treated as authorised",IF(OR(U25="Withdrawn",U25="Superseded"),"Not current ("&amp;U25&amp;")",IF(AND(ISNUMBER(R25),R25&lt;AsOf),"Expired - re-approval required",IF(AND(ISNUMBER(R25),R25&lt;=AsOf+WarnDecisionDays),"Review due soon","Authorised (user-entered record)"))))))</f>
        <v/>
      </c>
      <c r="W25" s="54" t="str">
        <f aca="false">IF(A25="","",IF(AND(OR(O25="Risk accepted",O25="Temporary exception granted"),LEFT(H25,5)="Above"),"Accepted exposure REMAINS above appetite - acceptance does not remove the breach",IF(AND(OR(O25="Risk accepted",O25="Temporary exception granted"),H25="Not configured"),"Appetite not configured - position cannot be confirmed","")))</f>
        <v/>
      </c>
      <c r="X25" s="52" t="str">
        <f aca="false">IF(AND(F25="Yes",ISNUMBER(I25),I25=_xlfn.MAXIFS(DEC_RECDATE,DEC_SUP,B25,DEC_LEVEL,"Yes")),B25&amp;"|Latest","")</f>
        <v/>
      </c>
      <c r="Y25" s="54" t="str">
        <f aca="false">IF(A25="","",IF(COUNTIF(DEC_ID,A25)&gt;1,"CHECK: duplicate ID",IF(B25="","CHECK: Supplier ID missing",IF(COUNTIF(INV_ID,B25)=0,"CHECK: Supplier ID not in inventory",IF(AND(D25&lt;&gt;"",COUNTIF(RSK_ID,D25)=0),"CHECK: Risk ID not found",IF(AND(D25&lt;&gt;"",COUNTIF(RSK_ID,D25)&gt;0,IFERROR(INDEX(RSK_SUP,MATCH(D25,RSK_ID,0)),"")&lt;&gt;B25),"CHECK: Risk belongs to a different supplier",IF(AND(F25="No",D25=""),"CHECK: risk ID required for risk-level decision","OK")))))))</f>
        <v/>
      </c>
      <c r="Z25" s="52" t="str">
        <f aca="false">IF(OR(A25="",B25=""),"",IF(B25=RptSup,B25&amp;"|"&amp;COUNTIF($B$7:B25,B25),""))</f>
        <v/>
      </c>
    </row>
    <row r="26" customFormat="false" ht="15" hidden="false" customHeight="false" outlineLevel="0" collapsed="false">
      <c r="A26" s="50"/>
      <c r="B26" s="50"/>
      <c r="C26" s="59" t="str">
        <f aca="false">IF(B26="","",IFERROR(INDEX(INV_NAME,MATCH(B26,INV_ID,0)),"CHECK: Supplier ID not found"))</f>
        <v/>
      </c>
      <c r="D26" s="34"/>
      <c r="E26" s="34"/>
      <c r="F26" s="52" t="str">
        <f aca="false">IF(A26="","",IF(OR(E26="Supplier approval",E26="Conditional approval",E26="Approval deferred",E26="Supplier rejection"),"Yes","No"))</f>
        <v/>
      </c>
      <c r="G26" s="63" t="str">
        <f aca="false">IF(OR(A26="",D26=""),"",IFERROR(INDEX(RSK_RBAND,MATCH(D26,RSK_ID,0)),"CHECK: Risk ID not found"))</f>
        <v/>
      </c>
      <c r="H26" s="59" t="str">
        <f aca="false">IF(OR(A26="",D26=""),"",IFERROR(INDEX(RSK_APP,MATCH(D26,RSK_ID,0)),"CHECK: Risk ID not found"))</f>
        <v/>
      </c>
      <c r="I26" s="51"/>
      <c r="J26" s="34"/>
      <c r="K26" s="34"/>
      <c r="L26" s="34"/>
      <c r="M26" s="60"/>
      <c r="N26" s="34"/>
      <c r="O26" s="60"/>
      <c r="P26" s="34"/>
      <c r="Q26" s="64"/>
      <c r="R26" s="51"/>
      <c r="S26" s="60"/>
      <c r="T26" s="34"/>
      <c r="U26" s="50"/>
      <c r="V26" s="54" t="str">
        <f aca="false">IF(A26="","",IF(OR(O26="",O26="Not yet decided"),"Pending - no authorised decision",IF(OR(M26="",S26="",Q26=""),"Incomplete authorisation record - not treated as authorised",IF(OR(U26="Withdrawn",U26="Superseded"),"Not current ("&amp;U26&amp;")",IF(AND(ISNUMBER(R26),R26&lt;AsOf),"Expired - re-approval required",IF(AND(ISNUMBER(R26),R26&lt;=AsOf+WarnDecisionDays),"Review due soon","Authorised (user-entered record)"))))))</f>
        <v/>
      </c>
      <c r="W26" s="54" t="str">
        <f aca="false">IF(A26="","",IF(AND(OR(O26="Risk accepted",O26="Temporary exception granted"),LEFT(H26,5)="Above"),"Accepted exposure REMAINS above appetite - acceptance does not remove the breach",IF(AND(OR(O26="Risk accepted",O26="Temporary exception granted"),H26="Not configured"),"Appetite not configured - position cannot be confirmed","")))</f>
        <v/>
      </c>
      <c r="X26" s="52" t="str">
        <f aca="false">IF(AND(F26="Yes",ISNUMBER(I26),I26=_xlfn.MAXIFS(DEC_RECDATE,DEC_SUP,B26,DEC_LEVEL,"Yes")),B26&amp;"|Latest","")</f>
        <v/>
      </c>
      <c r="Y26" s="54" t="str">
        <f aca="false">IF(A26="","",IF(COUNTIF(DEC_ID,A26)&gt;1,"CHECK: duplicate ID",IF(B26="","CHECK: Supplier ID missing",IF(COUNTIF(INV_ID,B26)=0,"CHECK: Supplier ID not in inventory",IF(AND(D26&lt;&gt;"",COUNTIF(RSK_ID,D26)=0),"CHECK: Risk ID not found",IF(AND(D26&lt;&gt;"",COUNTIF(RSK_ID,D26)&gt;0,IFERROR(INDEX(RSK_SUP,MATCH(D26,RSK_ID,0)),"")&lt;&gt;B26),"CHECK: Risk belongs to a different supplier",IF(AND(F26="No",D26=""),"CHECK: risk ID required for risk-level decision","OK")))))))</f>
        <v/>
      </c>
      <c r="Z26" s="52" t="str">
        <f aca="false">IF(OR(A26="",B26=""),"",IF(B26=RptSup,B26&amp;"|"&amp;COUNTIF($B$7:B26,B26),""))</f>
        <v/>
      </c>
    </row>
    <row r="27" customFormat="false" ht="15" hidden="false" customHeight="false" outlineLevel="0" collapsed="false">
      <c r="A27" s="50"/>
      <c r="B27" s="50"/>
      <c r="C27" s="59" t="str">
        <f aca="false">IF(B27="","",IFERROR(INDEX(INV_NAME,MATCH(B27,INV_ID,0)),"CHECK: Supplier ID not found"))</f>
        <v/>
      </c>
      <c r="D27" s="34"/>
      <c r="E27" s="34"/>
      <c r="F27" s="52" t="str">
        <f aca="false">IF(A27="","",IF(OR(E27="Supplier approval",E27="Conditional approval",E27="Approval deferred",E27="Supplier rejection"),"Yes","No"))</f>
        <v/>
      </c>
      <c r="G27" s="63" t="str">
        <f aca="false">IF(OR(A27="",D27=""),"",IFERROR(INDEX(RSK_RBAND,MATCH(D27,RSK_ID,0)),"CHECK: Risk ID not found"))</f>
        <v/>
      </c>
      <c r="H27" s="59" t="str">
        <f aca="false">IF(OR(A27="",D27=""),"",IFERROR(INDEX(RSK_APP,MATCH(D27,RSK_ID,0)),"CHECK: Risk ID not found"))</f>
        <v/>
      </c>
      <c r="I27" s="51"/>
      <c r="J27" s="34"/>
      <c r="K27" s="34"/>
      <c r="L27" s="34"/>
      <c r="M27" s="60"/>
      <c r="N27" s="34"/>
      <c r="O27" s="60"/>
      <c r="P27" s="34"/>
      <c r="Q27" s="64"/>
      <c r="R27" s="51"/>
      <c r="S27" s="60"/>
      <c r="T27" s="34"/>
      <c r="U27" s="50"/>
      <c r="V27" s="54" t="str">
        <f aca="false">IF(A27="","",IF(OR(O27="",O27="Not yet decided"),"Pending - no authorised decision",IF(OR(M27="",S27="",Q27=""),"Incomplete authorisation record - not treated as authorised",IF(OR(U27="Withdrawn",U27="Superseded"),"Not current ("&amp;U27&amp;")",IF(AND(ISNUMBER(R27),R27&lt;AsOf),"Expired - re-approval required",IF(AND(ISNUMBER(R27),R27&lt;=AsOf+WarnDecisionDays),"Review due soon","Authorised (user-entered record)"))))))</f>
        <v/>
      </c>
      <c r="W27" s="54" t="str">
        <f aca="false">IF(A27="","",IF(AND(OR(O27="Risk accepted",O27="Temporary exception granted"),LEFT(H27,5)="Above"),"Accepted exposure REMAINS above appetite - acceptance does not remove the breach",IF(AND(OR(O27="Risk accepted",O27="Temporary exception granted"),H27="Not configured"),"Appetite not configured - position cannot be confirmed","")))</f>
        <v/>
      </c>
      <c r="X27" s="52" t="str">
        <f aca="false">IF(AND(F27="Yes",ISNUMBER(I27),I27=_xlfn.MAXIFS(DEC_RECDATE,DEC_SUP,B27,DEC_LEVEL,"Yes")),B27&amp;"|Latest","")</f>
        <v/>
      </c>
      <c r="Y27" s="54" t="str">
        <f aca="false">IF(A27="","",IF(COUNTIF(DEC_ID,A27)&gt;1,"CHECK: duplicate ID",IF(B27="","CHECK: Supplier ID missing",IF(COUNTIF(INV_ID,B27)=0,"CHECK: Supplier ID not in inventory",IF(AND(D27&lt;&gt;"",COUNTIF(RSK_ID,D27)=0),"CHECK: Risk ID not found",IF(AND(D27&lt;&gt;"",COUNTIF(RSK_ID,D27)&gt;0,IFERROR(INDEX(RSK_SUP,MATCH(D27,RSK_ID,0)),"")&lt;&gt;B27),"CHECK: Risk belongs to a different supplier",IF(AND(F27="No",D27=""),"CHECK: risk ID required for risk-level decision","OK")))))))</f>
        <v/>
      </c>
      <c r="Z27" s="52" t="str">
        <f aca="false">IF(OR(A27="",B27=""),"",IF(B27=RptSup,B27&amp;"|"&amp;COUNTIF($B$7:B27,B27),""))</f>
        <v/>
      </c>
    </row>
    <row r="28" customFormat="false" ht="15" hidden="false" customHeight="false" outlineLevel="0" collapsed="false">
      <c r="A28" s="50"/>
      <c r="B28" s="50"/>
      <c r="C28" s="59" t="str">
        <f aca="false">IF(B28="","",IFERROR(INDEX(INV_NAME,MATCH(B28,INV_ID,0)),"CHECK: Supplier ID not found"))</f>
        <v/>
      </c>
      <c r="D28" s="34"/>
      <c r="E28" s="34"/>
      <c r="F28" s="52" t="str">
        <f aca="false">IF(A28="","",IF(OR(E28="Supplier approval",E28="Conditional approval",E28="Approval deferred",E28="Supplier rejection"),"Yes","No"))</f>
        <v/>
      </c>
      <c r="G28" s="63" t="str">
        <f aca="false">IF(OR(A28="",D28=""),"",IFERROR(INDEX(RSK_RBAND,MATCH(D28,RSK_ID,0)),"CHECK: Risk ID not found"))</f>
        <v/>
      </c>
      <c r="H28" s="59" t="str">
        <f aca="false">IF(OR(A28="",D28=""),"",IFERROR(INDEX(RSK_APP,MATCH(D28,RSK_ID,0)),"CHECK: Risk ID not found"))</f>
        <v/>
      </c>
      <c r="I28" s="51"/>
      <c r="J28" s="34"/>
      <c r="K28" s="34"/>
      <c r="L28" s="34"/>
      <c r="M28" s="60"/>
      <c r="N28" s="34"/>
      <c r="O28" s="60"/>
      <c r="P28" s="34"/>
      <c r="Q28" s="64"/>
      <c r="R28" s="51"/>
      <c r="S28" s="60"/>
      <c r="T28" s="34"/>
      <c r="U28" s="50"/>
      <c r="V28" s="54" t="str">
        <f aca="false">IF(A28="","",IF(OR(O28="",O28="Not yet decided"),"Pending - no authorised decision",IF(OR(M28="",S28="",Q28=""),"Incomplete authorisation record - not treated as authorised",IF(OR(U28="Withdrawn",U28="Superseded"),"Not current ("&amp;U28&amp;")",IF(AND(ISNUMBER(R28),R28&lt;AsOf),"Expired - re-approval required",IF(AND(ISNUMBER(R28),R28&lt;=AsOf+WarnDecisionDays),"Review due soon","Authorised (user-entered record)"))))))</f>
        <v/>
      </c>
      <c r="W28" s="54" t="str">
        <f aca="false">IF(A28="","",IF(AND(OR(O28="Risk accepted",O28="Temporary exception granted"),LEFT(H28,5)="Above"),"Accepted exposure REMAINS above appetite - acceptance does not remove the breach",IF(AND(OR(O28="Risk accepted",O28="Temporary exception granted"),H28="Not configured"),"Appetite not configured - position cannot be confirmed","")))</f>
        <v/>
      </c>
      <c r="X28" s="52" t="str">
        <f aca="false">IF(AND(F28="Yes",ISNUMBER(I28),I28=_xlfn.MAXIFS(DEC_RECDATE,DEC_SUP,B28,DEC_LEVEL,"Yes")),B28&amp;"|Latest","")</f>
        <v/>
      </c>
      <c r="Y28" s="54" t="str">
        <f aca="false">IF(A28="","",IF(COUNTIF(DEC_ID,A28)&gt;1,"CHECK: duplicate ID",IF(B28="","CHECK: Supplier ID missing",IF(COUNTIF(INV_ID,B28)=0,"CHECK: Supplier ID not in inventory",IF(AND(D28&lt;&gt;"",COUNTIF(RSK_ID,D28)=0),"CHECK: Risk ID not found",IF(AND(D28&lt;&gt;"",COUNTIF(RSK_ID,D28)&gt;0,IFERROR(INDEX(RSK_SUP,MATCH(D28,RSK_ID,0)),"")&lt;&gt;B28),"CHECK: Risk belongs to a different supplier",IF(AND(F28="No",D28=""),"CHECK: risk ID required for risk-level decision","OK")))))))</f>
        <v/>
      </c>
      <c r="Z28" s="52" t="str">
        <f aca="false">IF(OR(A28="",B28=""),"",IF(B28=RptSup,B28&amp;"|"&amp;COUNTIF($B$7:B28,B28),""))</f>
        <v/>
      </c>
    </row>
    <row r="29" customFormat="false" ht="15" hidden="false" customHeight="false" outlineLevel="0" collapsed="false">
      <c r="A29" s="50"/>
      <c r="B29" s="50"/>
      <c r="C29" s="59" t="str">
        <f aca="false">IF(B29="","",IFERROR(INDEX(INV_NAME,MATCH(B29,INV_ID,0)),"CHECK: Supplier ID not found"))</f>
        <v/>
      </c>
      <c r="D29" s="34"/>
      <c r="E29" s="34"/>
      <c r="F29" s="52" t="str">
        <f aca="false">IF(A29="","",IF(OR(E29="Supplier approval",E29="Conditional approval",E29="Approval deferred",E29="Supplier rejection"),"Yes","No"))</f>
        <v/>
      </c>
      <c r="G29" s="63" t="str">
        <f aca="false">IF(OR(A29="",D29=""),"",IFERROR(INDEX(RSK_RBAND,MATCH(D29,RSK_ID,0)),"CHECK: Risk ID not found"))</f>
        <v/>
      </c>
      <c r="H29" s="59" t="str">
        <f aca="false">IF(OR(A29="",D29=""),"",IFERROR(INDEX(RSK_APP,MATCH(D29,RSK_ID,0)),"CHECK: Risk ID not found"))</f>
        <v/>
      </c>
      <c r="I29" s="51"/>
      <c r="J29" s="34"/>
      <c r="K29" s="34"/>
      <c r="L29" s="34"/>
      <c r="M29" s="60"/>
      <c r="N29" s="34"/>
      <c r="O29" s="60"/>
      <c r="P29" s="34"/>
      <c r="Q29" s="64"/>
      <c r="R29" s="51"/>
      <c r="S29" s="60"/>
      <c r="T29" s="34"/>
      <c r="U29" s="50"/>
      <c r="V29" s="54" t="str">
        <f aca="false">IF(A29="","",IF(OR(O29="",O29="Not yet decided"),"Pending - no authorised decision",IF(OR(M29="",S29="",Q29=""),"Incomplete authorisation record - not treated as authorised",IF(OR(U29="Withdrawn",U29="Superseded"),"Not current ("&amp;U29&amp;")",IF(AND(ISNUMBER(R29),R29&lt;AsOf),"Expired - re-approval required",IF(AND(ISNUMBER(R29),R29&lt;=AsOf+WarnDecisionDays),"Review due soon","Authorised (user-entered record)"))))))</f>
        <v/>
      </c>
      <c r="W29" s="54" t="str">
        <f aca="false">IF(A29="","",IF(AND(OR(O29="Risk accepted",O29="Temporary exception granted"),LEFT(H29,5)="Above"),"Accepted exposure REMAINS above appetite - acceptance does not remove the breach",IF(AND(OR(O29="Risk accepted",O29="Temporary exception granted"),H29="Not configured"),"Appetite not configured - position cannot be confirmed","")))</f>
        <v/>
      </c>
      <c r="X29" s="52" t="str">
        <f aca="false">IF(AND(F29="Yes",ISNUMBER(I29),I29=_xlfn.MAXIFS(DEC_RECDATE,DEC_SUP,B29,DEC_LEVEL,"Yes")),B29&amp;"|Latest","")</f>
        <v/>
      </c>
      <c r="Y29" s="54" t="str">
        <f aca="false">IF(A29="","",IF(COUNTIF(DEC_ID,A29)&gt;1,"CHECK: duplicate ID",IF(B29="","CHECK: Supplier ID missing",IF(COUNTIF(INV_ID,B29)=0,"CHECK: Supplier ID not in inventory",IF(AND(D29&lt;&gt;"",COUNTIF(RSK_ID,D29)=0),"CHECK: Risk ID not found",IF(AND(D29&lt;&gt;"",COUNTIF(RSK_ID,D29)&gt;0,IFERROR(INDEX(RSK_SUP,MATCH(D29,RSK_ID,0)),"")&lt;&gt;B29),"CHECK: Risk belongs to a different supplier",IF(AND(F29="No",D29=""),"CHECK: risk ID required for risk-level decision","OK")))))))</f>
        <v/>
      </c>
      <c r="Z29" s="52" t="str">
        <f aca="false">IF(OR(A29="",B29=""),"",IF(B29=RptSup,B29&amp;"|"&amp;COUNTIF($B$7:B29,B29),""))</f>
        <v/>
      </c>
    </row>
    <row r="30" customFormat="false" ht="15" hidden="false" customHeight="false" outlineLevel="0" collapsed="false">
      <c r="A30" s="50"/>
      <c r="B30" s="50"/>
      <c r="C30" s="59" t="str">
        <f aca="false">IF(B30="","",IFERROR(INDEX(INV_NAME,MATCH(B30,INV_ID,0)),"CHECK: Supplier ID not found"))</f>
        <v/>
      </c>
      <c r="D30" s="34"/>
      <c r="E30" s="34"/>
      <c r="F30" s="52" t="str">
        <f aca="false">IF(A30="","",IF(OR(E30="Supplier approval",E30="Conditional approval",E30="Approval deferred",E30="Supplier rejection"),"Yes","No"))</f>
        <v/>
      </c>
      <c r="G30" s="63" t="str">
        <f aca="false">IF(OR(A30="",D30=""),"",IFERROR(INDEX(RSK_RBAND,MATCH(D30,RSK_ID,0)),"CHECK: Risk ID not found"))</f>
        <v/>
      </c>
      <c r="H30" s="59" t="str">
        <f aca="false">IF(OR(A30="",D30=""),"",IFERROR(INDEX(RSK_APP,MATCH(D30,RSK_ID,0)),"CHECK: Risk ID not found"))</f>
        <v/>
      </c>
      <c r="I30" s="51"/>
      <c r="J30" s="34"/>
      <c r="K30" s="34"/>
      <c r="L30" s="34"/>
      <c r="M30" s="60"/>
      <c r="N30" s="34"/>
      <c r="O30" s="60"/>
      <c r="P30" s="34"/>
      <c r="Q30" s="64"/>
      <c r="R30" s="51"/>
      <c r="S30" s="60"/>
      <c r="T30" s="34"/>
      <c r="U30" s="50"/>
      <c r="V30" s="54" t="str">
        <f aca="false">IF(A30="","",IF(OR(O30="",O30="Not yet decided"),"Pending - no authorised decision",IF(OR(M30="",S30="",Q30=""),"Incomplete authorisation record - not treated as authorised",IF(OR(U30="Withdrawn",U30="Superseded"),"Not current ("&amp;U30&amp;")",IF(AND(ISNUMBER(R30),R30&lt;AsOf),"Expired - re-approval required",IF(AND(ISNUMBER(R30),R30&lt;=AsOf+WarnDecisionDays),"Review due soon","Authorised (user-entered record)"))))))</f>
        <v/>
      </c>
      <c r="W30" s="54" t="str">
        <f aca="false">IF(A30="","",IF(AND(OR(O30="Risk accepted",O30="Temporary exception granted"),LEFT(H30,5)="Above"),"Accepted exposure REMAINS above appetite - acceptance does not remove the breach",IF(AND(OR(O30="Risk accepted",O30="Temporary exception granted"),H30="Not configured"),"Appetite not configured - position cannot be confirmed","")))</f>
        <v/>
      </c>
      <c r="X30" s="52" t="str">
        <f aca="false">IF(AND(F30="Yes",ISNUMBER(I30),I30=_xlfn.MAXIFS(DEC_RECDATE,DEC_SUP,B30,DEC_LEVEL,"Yes")),B30&amp;"|Latest","")</f>
        <v/>
      </c>
      <c r="Y30" s="54" t="str">
        <f aca="false">IF(A30="","",IF(COUNTIF(DEC_ID,A30)&gt;1,"CHECK: duplicate ID",IF(B30="","CHECK: Supplier ID missing",IF(COUNTIF(INV_ID,B30)=0,"CHECK: Supplier ID not in inventory",IF(AND(D30&lt;&gt;"",COUNTIF(RSK_ID,D30)=0),"CHECK: Risk ID not found",IF(AND(D30&lt;&gt;"",COUNTIF(RSK_ID,D30)&gt;0,IFERROR(INDEX(RSK_SUP,MATCH(D30,RSK_ID,0)),"")&lt;&gt;B30),"CHECK: Risk belongs to a different supplier",IF(AND(F30="No",D30=""),"CHECK: risk ID required for risk-level decision","OK")))))))</f>
        <v/>
      </c>
      <c r="Z30" s="52" t="str">
        <f aca="false">IF(OR(A30="",B30=""),"",IF(B30=RptSup,B30&amp;"|"&amp;COUNTIF($B$7:B30,B30),""))</f>
        <v/>
      </c>
    </row>
    <row r="31" customFormat="false" ht="15" hidden="false" customHeight="false" outlineLevel="0" collapsed="false">
      <c r="A31" s="50"/>
      <c r="B31" s="50"/>
      <c r="C31" s="59" t="str">
        <f aca="false">IF(B31="","",IFERROR(INDEX(INV_NAME,MATCH(B31,INV_ID,0)),"CHECK: Supplier ID not found"))</f>
        <v/>
      </c>
      <c r="D31" s="34"/>
      <c r="E31" s="34"/>
      <c r="F31" s="52" t="str">
        <f aca="false">IF(A31="","",IF(OR(E31="Supplier approval",E31="Conditional approval",E31="Approval deferred",E31="Supplier rejection"),"Yes","No"))</f>
        <v/>
      </c>
      <c r="G31" s="63" t="str">
        <f aca="false">IF(OR(A31="",D31=""),"",IFERROR(INDEX(RSK_RBAND,MATCH(D31,RSK_ID,0)),"CHECK: Risk ID not found"))</f>
        <v/>
      </c>
      <c r="H31" s="59" t="str">
        <f aca="false">IF(OR(A31="",D31=""),"",IFERROR(INDEX(RSK_APP,MATCH(D31,RSK_ID,0)),"CHECK: Risk ID not found"))</f>
        <v/>
      </c>
      <c r="I31" s="51"/>
      <c r="J31" s="34"/>
      <c r="K31" s="34"/>
      <c r="L31" s="34"/>
      <c r="M31" s="60"/>
      <c r="N31" s="34"/>
      <c r="O31" s="60"/>
      <c r="P31" s="34"/>
      <c r="Q31" s="64"/>
      <c r="R31" s="51"/>
      <c r="S31" s="60"/>
      <c r="T31" s="34"/>
      <c r="U31" s="50"/>
      <c r="V31" s="54" t="str">
        <f aca="false">IF(A31="","",IF(OR(O31="",O31="Not yet decided"),"Pending - no authorised decision",IF(OR(M31="",S31="",Q31=""),"Incomplete authorisation record - not treated as authorised",IF(OR(U31="Withdrawn",U31="Superseded"),"Not current ("&amp;U31&amp;")",IF(AND(ISNUMBER(R31),R31&lt;AsOf),"Expired - re-approval required",IF(AND(ISNUMBER(R31),R31&lt;=AsOf+WarnDecisionDays),"Review due soon","Authorised (user-entered record)"))))))</f>
        <v/>
      </c>
      <c r="W31" s="54" t="str">
        <f aca="false">IF(A31="","",IF(AND(OR(O31="Risk accepted",O31="Temporary exception granted"),LEFT(H31,5)="Above"),"Accepted exposure REMAINS above appetite - acceptance does not remove the breach",IF(AND(OR(O31="Risk accepted",O31="Temporary exception granted"),H31="Not configured"),"Appetite not configured - position cannot be confirmed","")))</f>
        <v/>
      </c>
      <c r="X31" s="52" t="str">
        <f aca="false">IF(AND(F31="Yes",ISNUMBER(I31),I31=_xlfn.MAXIFS(DEC_RECDATE,DEC_SUP,B31,DEC_LEVEL,"Yes")),B31&amp;"|Latest","")</f>
        <v/>
      </c>
      <c r="Y31" s="54" t="str">
        <f aca="false">IF(A31="","",IF(COUNTIF(DEC_ID,A31)&gt;1,"CHECK: duplicate ID",IF(B31="","CHECK: Supplier ID missing",IF(COUNTIF(INV_ID,B31)=0,"CHECK: Supplier ID not in inventory",IF(AND(D31&lt;&gt;"",COUNTIF(RSK_ID,D31)=0),"CHECK: Risk ID not found",IF(AND(D31&lt;&gt;"",COUNTIF(RSK_ID,D31)&gt;0,IFERROR(INDEX(RSK_SUP,MATCH(D31,RSK_ID,0)),"")&lt;&gt;B31),"CHECK: Risk belongs to a different supplier",IF(AND(F31="No",D31=""),"CHECK: risk ID required for risk-level decision","OK")))))))</f>
        <v/>
      </c>
      <c r="Z31" s="52" t="str">
        <f aca="false">IF(OR(A31="",B31=""),"",IF(B31=RptSup,B31&amp;"|"&amp;COUNTIF($B$7:B31,B31),""))</f>
        <v/>
      </c>
    </row>
    <row r="32" customFormat="false" ht="15" hidden="false" customHeight="false" outlineLevel="0" collapsed="false">
      <c r="A32" s="50"/>
      <c r="B32" s="50"/>
      <c r="C32" s="59" t="str">
        <f aca="false">IF(B32="","",IFERROR(INDEX(INV_NAME,MATCH(B32,INV_ID,0)),"CHECK: Supplier ID not found"))</f>
        <v/>
      </c>
      <c r="D32" s="34"/>
      <c r="E32" s="34"/>
      <c r="F32" s="52" t="str">
        <f aca="false">IF(A32="","",IF(OR(E32="Supplier approval",E32="Conditional approval",E32="Approval deferred",E32="Supplier rejection"),"Yes","No"))</f>
        <v/>
      </c>
      <c r="G32" s="63" t="str">
        <f aca="false">IF(OR(A32="",D32=""),"",IFERROR(INDEX(RSK_RBAND,MATCH(D32,RSK_ID,0)),"CHECK: Risk ID not found"))</f>
        <v/>
      </c>
      <c r="H32" s="59" t="str">
        <f aca="false">IF(OR(A32="",D32=""),"",IFERROR(INDEX(RSK_APP,MATCH(D32,RSK_ID,0)),"CHECK: Risk ID not found"))</f>
        <v/>
      </c>
      <c r="I32" s="51"/>
      <c r="J32" s="34"/>
      <c r="K32" s="34"/>
      <c r="L32" s="34"/>
      <c r="M32" s="60"/>
      <c r="N32" s="34"/>
      <c r="O32" s="60"/>
      <c r="P32" s="34"/>
      <c r="Q32" s="64"/>
      <c r="R32" s="51"/>
      <c r="S32" s="60"/>
      <c r="T32" s="34"/>
      <c r="U32" s="50"/>
      <c r="V32" s="54" t="str">
        <f aca="false">IF(A32="","",IF(OR(O32="",O32="Not yet decided"),"Pending - no authorised decision",IF(OR(M32="",S32="",Q32=""),"Incomplete authorisation record - not treated as authorised",IF(OR(U32="Withdrawn",U32="Superseded"),"Not current ("&amp;U32&amp;")",IF(AND(ISNUMBER(R32),R32&lt;AsOf),"Expired - re-approval required",IF(AND(ISNUMBER(R32),R32&lt;=AsOf+WarnDecisionDays),"Review due soon","Authorised (user-entered record)"))))))</f>
        <v/>
      </c>
      <c r="W32" s="54" t="str">
        <f aca="false">IF(A32="","",IF(AND(OR(O32="Risk accepted",O32="Temporary exception granted"),LEFT(H32,5)="Above"),"Accepted exposure REMAINS above appetite - acceptance does not remove the breach",IF(AND(OR(O32="Risk accepted",O32="Temporary exception granted"),H32="Not configured"),"Appetite not configured - position cannot be confirmed","")))</f>
        <v/>
      </c>
      <c r="X32" s="52" t="str">
        <f aca="false">IF(AND(F32="Yes",ISNUMBER(I32),I32=_xlfn.MAXIFS(DEC_RECDATE,DEC_SUP,B32,DEC_LEVEL,"Yes")),B32&amp;"|Latest","")</f>
        <v/>
      </c>
      <c r="Y32" s="54" t="str">
        <f aca="false">IF(A32="","",IF(COUNTIF(DEC_ID,A32)&gt;1,"CHECK: duplicate ID",IF(B32="","CHECK: Supplier ID missing",IF(COUNTIF(INV_ID,B32)=0,"CHECK: Supplier ID not in inventory",IF(AND(D32&lt;&gt;"",COUNTIF(RSK_ID,D32)=0),"CHECK: Risk ID not found",IF(AND(D32&lt;&gt;"",COUNTIF(RSK_ID,D32)&gt;0,IFERROR(INDEX(RSK_SUP,MATCH(D32,RSK_ID,0)),"")&lt;&gt;B32),"CHECK: Risk belongs to a different supplier",IF(AND(F32="No",D32=""),"CHECK: risk ID required for risk-level decision","OK")))))))</f>
        <v/>
      </c>
      <c r="Z32" s="52" t="str">
        <f aca="false">IF(OR(A32="",B32=""),"",IF(B32=RptSup,B32&amp;"|"&amp;COUNTIF($B$7:B32,B32),""))</f>
        <v/>
      </c>
    </row>
    <row r="33" customFormat="false" ht="15" hidden="false" customHeight="false" outlineLevel="0" collapsed="false">
      <c r="A33" s="50"/>
      <c r="B33" s="50"/>
      <c r="C33" s="59" t="str">
        <f aca="false">IF(B33="","",IFERROR(INDEX(INV_NAME,MATCH(B33,INV_ID,0)),"CHECK: Supplier ID not found"))</f>
        <v/>
      </c>
      <c r="D33" s="34"/>
      <c r="E33" s="34"/>
      <c r="F33" s="52" t="str">
        <f aca="false">IF(A33="","",IF(OR(E33="Supplier approval",E33="Conditional approval",E33="Approval deferred",E33="Supplier rejection"),"Yes","No"))</f>
        <v/>
      </c>
      <c r="G33" s="63" t="str">
        <f aca="false">IF(OR(A33="",D33=""),"",IFERROR(INDEX(RSK_RBAND,MATCH(D33,RSK_ID,0)),"CHECK: Risk ID not found"))</f>
        <v/>
      </c>
      <c r="H33" s="59" t="str">
        <f aca="false">IF(OR(A33="",D33=""),"",IFERROR(INDEX(RSK_APP,MATCH(D33,RSK_ID,0)),"CHECK: Risk ID not found"))</f>
        <v/>
      </c>
      <c r="I33" s="51"/>
      <c r="J33" s="34"/>
      <c r="K33" s="34"/>
      <c r="L33" s="34"/>
      <c r="M33" s="60"/>
      <c r="N33" s="34"/>
      <c r="O33" s="60"/>
      <c r="P33" s="34"/>
      <c r="Q33" s="64"/>
      <c r="R33" s="51"/>
      <c r="S33" s="60"/>
      <c r="T33" s="34"/>
      <c r="U33" s="50"/>
      <c r="V33" s="54" t="str">
        <f aca="false">IF(A33="","",IF(OR(O33="",O33="Not yet decided"),"Pending - no authorised decision",IF(OR(M33="",S33="",Q33=""),"Incomplete authorisation record - not treated as authorised",IF(OR(U33="Withdrawn",U33="Superseded"),"Not current ("&amp;U33&amp;")",IF(AND(ISNUMBER(R33),R33&lt;AsOf),"Expired - re-approval required",IF(AND(ISNUMBER(R33),R33&lt;=AsOf+WarnDecisionDays),"Review due soon","Authorised (user-entered record)"))))))</f>
        <v/>
      </c>
      <c r="W33" s="54" t="str">
        <f aca="false">IF(A33="","",IF(AND(OR(O33="Risk accepted",O33="Temporary exception granted"),LEFT(H33,5)="Above"),"Accepted exposure REMAINS above appetite - acceptance does not remove the breach",IF(AND(OR(O33="Risk accepted",O33="Temporary exception granted"),H33="Not configured"),"Appetite not configured - position cannot be confirmed","")))</f>
        <v/>
      </c>
      <c r="X33" s="52" t="str">
        <f aca="false">IF(AND(F33="Yes",ISNUMBER(I33),I33=_xlfn.MAXIFS(DEC_RECDATE,DEC_SUP,B33,DEC_LEVEL,"Yes")),B33&amp;"|Latest","")</f>
        <v/>
      </c>
      <c r="Y33" s="54" t="str">
        <f aca="false">IF(A33="","",IF(COUNTIF(DEC_ID,A33)&gt;1,"CHECK: duplicate ID",IF(B33="","CHECK: Supplier ID missing",IF(COUNTIF(INV_ID,B33)=0,"CHECK: Supplier ID not in inventory",IF(AND(D33&lt;&gt;"",COUNTIF(RSK_ID,D33)=0),"CHECK: Risk ID not found",IF(AND(D33&lt;&gt;"",COUNTIF(RSK_ID,D33)&gt;0,IFERROR(INDEX(RSK_SUP,MATCH(D33,RSK_ID,0)),"")&lt;&gt;B33),"CHECK: Risk belongs to a different supplier",IF(AND(F33="No",D33=""),"CHECK: risk ID required for risk-level decision","OK")))))))</f>
        <v/>
      </c>
      <c r="Z33" s="52" t="str">
        <f aca="false">IF(OR(A33="",B33=""),"",IF(B33=RptSup,B33&amp;"|"&amp;COUNTIF($B$7:B33,B33),""))</f>
        <v/>
      </c>
    </row>
    <row r="34" customFormat="false" ht="15" hidden="false" customHeight="false" outlineLevel="0" collapsed="false">
      <c r="A34" s="50"/>
      <c r="B34" s="50"/>
      <c r="C34" s="59" t="str">
        <f aca="false">IF(B34="","",IFERROR(INDEX(INV_NAME,MATCH(B34,INV_ID,0)),"CHECK: Supplier ID not found"))</f>
        <v/>
      </c>
      <c r="D34" s="34"/>
      <c r="E34" s="34"/>
      <c r="F34" s="52" t="str">
        <f aca="false">IF(A34="","",IF(OR(E34="Supplier approval",E34="Conditional approval",E34="Approval deferred",E34="Supplier rejection"),"Yes","No"))</f>
        <v/>
      </c>
      <c r="G34" s="63" t="str">
        <f aca="false">IF(OR(A34="",D34=""),"",IFERROR(INDEX(RSK_RBAND,MATCH(D34,RSK_ID,0)),"CHECK: Risk ID not found"))</f>
        <v/>
      </c>
      <c r="H34" s="59" t="str">
        <f aca="false">IF(OR(A34="",D34=""),"",IFERROR(INDEX(RSK_APP,MATCH(D34,RSK_ID,0)),"CHECK: Risk ID not found"))</f>
        <v/>
      </c>
      <c r="I34" s="51"/>
      <c r="J34" s="34"/>
      <c r="K34" s="34"/>
      <c r="L34" s="34"/>
      <c r="M34" s="60"/>
      <c r="N34" s="34"/>
      <c r="O34" s="60"/>
      <c r="P34" s="34"/>
      <c r="Q34" s="64"/>
      <c r="R34" s="51"/>
      <c r="S34" s="60"/>
      <c r="T34" s="34"/>
      <c r="U34" s="50"/>
      <c r="V34" s="54" t="str">
        <f aca="false">IF(A34="","",IF(OR(O34="",O34="Not yet decided"),"Pending - no authorised decision",IF(OR(M34="",S34="",Q34=""),"Incomplete authorisation record - not treated as authorised",IF(OR(U34="Withdrawn",U34="Superseded"),"Not current ("&amp;U34&amp;")",IF(AND(ISNUMBER(R34),R34&lt;AsOf),"Expired - re-approval required",IF(AND(ISNUMBER(R34),R34&lt;=AsOf+WarnDecisionDays),"Review due soon","Authorised (user-entered record)"))))))</f>
        <v/>
      </c>
      <c r="W34" s="54" t="str">
        <f aca="false">IF(A34="","",IF(AND(OR(O34="Risk accepted",O34="Temporary exception granted"),LEFT(H34,5)="Above"),"Accepted exposure REMAINS above appetite - acceptance does not remove the breach",IF(AND(OR(O34="Risk accepted",O34="Temporary exception granted"),H34="Not configured"),"Appetite not configured - position cannot be confirmed","")))</f>
        <v/>
      </c>
      <c r="X34" s="52" t="str">
        <f aca="false">IF(AND(F34="Yes",ISNUMBER(I34),I34=_xlfn.MAXIFS(DEC_RECDATE,DEC_SUP,B34,DEC_LEVEL,"Yes")),B34&amp;"|Latest","")</f>
        <v/>
      </c>
      <c r="Y34" s="54" t="str">
        <f aca="false">IF(A34="","",IF(COUNTIF(DEC_ID,A34)&gt;1,"CHECK: duplicate ID",IF(B34="","CHECK: Supplier ID missing",IF(COUNTIF(INV_ID,B34)=0,"CHECK: Supplier ID not in inventory",IF(AND(D34&lt;&gt;"",COUNTIF(RSK_ID,D34)=0),"CHECK: Risk ID not found",IF(AND(D34&lt;&gt;"",COUNTIF(RSK_ID,D34)&gt;0,IFERROR(INDEX(RSK_SUP,MATCH(D34,RSK_ID,0)),"")&lt;&gt;B34),"CHECK: Risk belongs to a different supplier",IF(AND(F34="No",D34=""),"CHECK: risk ID required for risk-level decision","OK")))))))</f>
        <v/>
      </c>
      <c r="Z34" s="52" t="str">
        <f aca="false">IF(OR(A34="",B34=""),"",IF(B34=RptSup,B34&amp;"|"&amp;COUNTIF($B$7:B34,B34),""))</f>
        <v/>
      </c>
    </row>
    <row r="35" customFormat="false" ht="15" hidden="false" customHeight="false" outlineLevel="0" collapsed="false">
      <c r="A35" s="50"/>
      <c r="B35" s="50"/>
      <c r="C35" s="59" t="str">
        <f aca="false">IF(B35="","",IFERROR(INDEX(INV_NAME,MATCH(B35,INV_ID,0)),"CHECK: Supplier ID not found"))</f>
        <v/>
      </c>
      <c r="D35" s="34"/>
      <c r="E35" s="34"/>
      <c r="F35" s="52" t="str">
        <f aca="false">IF(A35="","",IF(OR(E35="Supplier approval",E35="Conditional approval",E35="Approval deferred",E35="Supplier rejection"),"Yes","No"))</f>
        <v/>
      </c>
      <c r="G35" s="63" t="str">
        <f aca="false">IF(OR(A35="",D35=""),"",IFERROR(INDEX(RSK_RBAND,MATCH(D35,RSK_ID,0)),"CHECK: Risk ID not found"))</f>
        <v/>
      </c>
      <c r="H35" s="59" t="str">
        <f aca="false">IF(OR(A35="",D35=""),"",IFERROR(INDEX(RSK_APP,MATCH(D35,RSK_ID,0)),"CHECK: Risk ID not found"))</f>
        <v/>
      </c>
      <c r="I35" s="51"/>
      <c r="J35" s="34"/>
      <c r="K35" s="34"/>
      <c r="L35" s="34"/>
      <c r="M35" s="60"/>
      <c r="N35" s="34"/>
      <c r="O35" s="60"/>
      <c r="P35" s="34"/>
      <c r="Q35" s="64"/>
      <c r="R35" s="51"/>
      <c r="S35" s="60"/>
      <c r="T35" s="34"/>
      <c r="U35" s="50"/>
      <c r="V35" s="54" t="str">
        <f aca="false">IF(A35="","",IF(OR(O35="",O35="Not yet decided"),"Pending - no authorised decision",IF(OR(M35="",S35="",Q35=""),"Incomplete authorisation record - not treated as authorised",IF(OR(U35="Withdrawn",U35="Superseded"),"Not current ("&amp;U35&amp;")",IF(AND(ISNUMBER(R35),R35&lt;AsOf),"Expired - re-approval required",IF(AND(ISNUMBER(R35),R35&lt;=AsOf+WarnDecisionDays),"Review due soon","Authorised (user-entered record)"))))))</f>
        <v/>
      </c>
      <c r="W35" s="54" t="str">
        <f aca="false">IF(A35="","",IF(AND(OR(O35="Risk accepted",O35="Temporary exception granted"),LEFT(H35,5)="Above"),"Accepted exposure REMAINS above appetite - acceptance does not remove the breach",IF(AND(OR(O35="Risk accepted",O35="Temporary exception granted"),H35="Not configured"),"Appetite not configured - position cannot be confirmed","")))</f>
        <v/>
      </c>
      <c r="X35" s="52" t="str">
        <f aca="false">IF(AND(F35="Yes",ISNUMBER(I35),I35=_xlfn.MAXIFS(DEC_RECDATE,DEC_SUP,B35,DEC_LEVEL,"Yes")),B35&amp;"|Latest","")</f>
        <v/>
      </c>
      <c r="Y35" s="54" t="str">
        <f aca="false">IF(A35="","",IF(COUNTIF(DEC_ID,A35)&gt;1,"CHECK: duplicate ID",IF(B35="","CHECK: Supplier ID missing",IF(COUNTIF(INV_ID,B35)=0,"CHECK: Supplier ID not in inventory",IF(AND(D35&lt;&gt;"",COUNTIF(RSK_ID,D35)=0),"CHECK: Risk ID not found",IF(AND(D35&lt;&gt;"",COUNTIF(RSK_ID,D35)&gt;0,IFERROR(INDEX(RSK_SUP,MATCH(D35,RSK_ID,0)),"")&lt;&gt;B35),"CHECK: Risk belongs to a different supplier",IF(AND(F35="No",D35=""),"CHECK: risk ID required for risk-level decision","OK")))))))</f>
        <v/>
      </c>
      <c r="Z35" s="52" t="str">
        <f aca="false">IF(OR(A35="",B35=""),"",IF(B35=RptSup,B35&amp;"|"&amp;COUNTIF($B$7:B35,B35),""))</f>
        <v/>
      </c>
    </row>
    <row r="36" customFormat="false" ht="15" hidden="false" customHeight="false" outlineLevel="0" collapsed="false">
      <c r="A36" s="50"/>
      <c r="B36" s="50"/>
      <c r="C36" s="59" t="str">
        <f aca="false">IF(B36="","",IFERROR(INDEX(INV_NAME,MATCH(B36,INV_ID,0)),"CHECK: Supplier ID not found"))</f>
        <v/>
      </c>
      <c r="D36" s="34"/>
      <c r="E36" s="34"/>
      <c r="F36" s="52" t="str">
        <f aca="false">IF(A36="","",IF(OR(E36="Supplier approval",E36="Conditional approval",E36="Approval deferred",E36="Supplier rejection"),"Yes","No"))</f>
        <v/>
      </c>
      <c r="G36" s="63" t="str">
        <f aca="false">IF(OR(A36="",D36=""),"",IFERROR(INDEX(RSK_RBAND,MATCH(D36,RSK_ID,0)),"CHECK: Risk ID not found"))</f>
        <v/>
      </c>
      <c r="H36" s="59" t="str">
        <f aca="false">IF(OR(A36="",D36=""),"",IFERROR(INDEX(RSK_APP,MATCH(D36,RSK_ID,0)),"CHECK: Risk ID not found"))</f>
        <v/>
      </c>
      <c r="I36" s="51"/>
      <c r="J36" s="34"/>
      <c r="K36" s="34"/>
      <c r="L36" s="34"/>
      <c r="M36" s="60"/>
      <c r="N36" s="34"/>
      <c r="O36" s="60"/>
      <c r="P36" s="34"/>
      <c r="Q36" s="64"/>
      <c r="R36" s="51"/>
      <c r="S36" s="60"/>
      <c r="T36" s="34"/>
      <c r="U36" s="50"/>
      <c r="V36" s="54" t="str">
        <f aca="false">IF(A36="","",IF(OR(O36="",O36="Not yet decided"),"Pending - no authorised decision",IF(OR(M36="",S36="",Q36=""),"Incomplete authorisation record - not treated as authorised",IF(OR(U36="Withdrawn",U36="Superseded"),"Not current ("&amp;U36&amp;")",IF(AND(ISNUMBER(R36),R36&lt;AsOf),"Expired - re-approval required",IF(AND(ISNUMBER(R36),R36&lt;=AsOf+WarnDecisionDays),"Review due soon","Authorised (user-entered record)"))))))</f>
        <v/>
      </c>
      <c r="W36" s="54" t="str">
        <f aca="false">IF(A36="","",IF(AND(OR(O36="Risk accepted",O36="Temporary exception granted"),LEFT(H36,5)="Above"),"Accepted exposure REMAINS above appetite - acceptance does not remove the breach",IF(AND(OR(O36="Risk accepted",O36="Temporary exception granted"),H36="Not configured"),"Appetite not configured - position cannot be confirmed","")))</f>
        <v/>
      </c>
      <c r="X36" s="52" t="str">
        <f aca="false">IF(AND(F36="Yes",ISNUMBER(I36),I36=_xlfn.MAXIFS(DEC_RECDATE,DEC_SUP,B36,DEC_LEVEL,"Yes")),B36&amp;"|Latest","")</f>
        <v/>
      </c>
      <c r="Y36" s="54" t="str">
        <f aca="false">IF(A36="","",IF(COUNTIF(DEC_ID,A36)&gt;1,"CHECK: duplicate ID",IF(B36="","CHECK: Supplier ID missing",IF(COUNTIF(INV_ID,B36)=0,"CHECK: Supplier ID not in inventory",IF(AND(D36&lt;&gt;"",COUNTIF(RSK_ID,D36)=0),"CHECK: Risk ID not found",IF(AND(D36&lt;&gt;"",COUNTIF(RSK_ID,D36)&gt;0,IFERROR(INDEX(RSK_SUP,MATCH(D36,RSK_ID,0)),"")&lt;&gt;B36),"CHECK: Risk belongs to a different supplier",IF(AND(F36="No",D36=""),"CHECK: risk ID required for risk-level decision","OK")))))))</f>
        <v/>
      </c>
      <c r="Z36" s="52" t="str">
        <f aca="false">IF(OR(A36="",B36=""),"",IF(B36=RptSup,B36&amp;"|"&amp;COUNTIF($B$7:B36,B36),""))</f>
        <v/>
      </c>
    </row>
    <row r="37" customFormat="false" ht="15" hidden="false" customHeight="false" outlineLevel="0" collapsed="false">
      <c r="A37" s="50"/>
      <c r="B37" s="50"/>
      <c r="C37" s="59" t="str">
        <f aca="false">IF(B37="","",IFERROR(INDEX(INV_NAME,MATCH(B37,INV_ID,0)),"CHECK: Supplier ID not found"))</f>
        <v/>
      </c>
      <c r="D37" s="34"/>
      <c r="E37" s="34"/>
      <c r="F37" s="52" t="str">
        <f aca="false">IF(A37="","",IF(OR(E37="Supplier approval",E37="Conditional approval",E37="Approval deferred",E37="Supplier rejection"),"Yes","No"))</f>
        <v/>
      </c>
      <c r="G37" s="63" t="str">
        <f aca="false">IF(OR(A37="",D37=""),"",IFERROR(INDEX(RSK_RBAND,MATCH(D37,RSK_ID,0)),"CHECK: Risk ID not found"))</f>
        <v/>
      </c>
      <c r="H37" s="59" t="str">
        <f aca="false">IF(OR(A37="",D37=""),"",IFERROR(INDEX(RSK_APP,MATCH(D37,RSK_ID,0)),"CHECK: Risk ID not found"))</f>
        <v/>
      </c>
      <c r="I37" s="51"/>
      <c r="J37" s="34"/>
      <c r="K37" s="34"/>
      <c r="L37" s="34"/>
      <c r="M37" s="60"/>
      <c r="N37" s="34"/>
      <c r="O37" s="60"/>
      <c r="P37" s="34"/>
      <c r="Q37" s="64"/>
      <c r="R37" s="51"/>
      <c r="S37" s="60"/>
      <c r="T37" s="34"/>
      <c r="U37" s="50"/>
      <c r="V37" s="54" t="str">
        <f aca="false">IF(A37="","",IF(OR(O37="",O37="Not yet decided"),"Pending - no authorised decision",IF(OR(M37="",S37="",Q37=""),"Incomplete authorisation record - not treated as authorised",IF(OR(U37="Withdrawn",U37="Superseded"),"Not current ("&amp;U37&amp;")",IF(AND(ISNUMBER(R37),R37&lt;AsOf),"Expired - re-approval required",IF(AND(ISNUMBER(R37),R37&lt;=AsOf+WarnDecisionDays),"Review due soon","Authorised (user-entered record)"))))))</f>
        <v/>
      </c>
      <c r="W37" s="54" t="str">
        <f aca="false">IF(A37="","",IF(AND(OR(O37="Risk accepted",O37="Temporary exception granted"),LEFT(H37,5)="Above"),"Accepted exposure REMAINS above appetite - acceptance does not remove the breach",IF(AND(OR(O37="Risk accepted",O37="Temporary exception granted"),H37="Not configured"),"Appetite not configured - position cannot be confirmed","")))</f>
        <v/>
      </c>
      <c r="X37" s="52" t="str">
        <f aca="false">IF(AND(F37="Yes",ISNUMBER(I37),I37=_xlfn.MAXIFS(DEC_RECDATE,DEC_SUP,B37,DEC_LEVEL,"Yes")),B37&amp;"|Latest","")</f>
        <v/>
      </c>
      <c r="Y37" s="54" t="str">
        <f aca="false">IF(A37="","",IF(COUNTIF(DEC_ID,A37)&gt;1,"CHECK: duplicate ID",IF(B37="","CHECK: Supplier ID missing",IF(COUNTIF(INV_ID,B37)=0,"CHECK: Supplier ID not in inventory",IF(AND(D37&lt;&gt;"",COUNTIF(RSK_ID,D37)=0),"CHECK: Risk ID not found",IF(AND(D37&lt;&gt;"",COUNTIF(RSK_ID,D37)&gt;0,IFERROR(INDEX(RSK_SUP,MATCH(D37,RSK_ID,0)),"")&lt;&gt;B37),"CHECK: Risk belongs to a different supplier",IF(AND(F37="No",D37=""),"CHECK: risk ID required for risk-level decision","OK")))))))</f>
        <v/>
      </c>
      <c r="Z37" s="52" t="str">
        <f aca="false">IF(OR(A37="",B37=""),"",IF(B37=RptSup,B37&amp;"|"&amp;COUNTIF($B$7:B37,B37),""))</f>
        <v/>
      </c>
    </row>
    <row r="38" customFormat="false" ht="15" hidden="false" customHeight="false" outlineLevel="0" collapsed="false">
      <c r="A38" s="50"/>
      <c r="B38" s="50"/>
      <c r="C38" s="59" t="str">
        <f aca="false">IF(B38="","",IFERROR(INDEX(INV_NAME,MATCH(B38,INV_ID,0)),"CHECK: Supplier ID not found"))</f>
        <v/>
      </c>
      <c r="D38" s="34"/>
      <c r="E38" s="34"/>
      <c r="F38" s="52" t="str">
        <f aca="false">IF(A38="","",IF(OR(E38="Supplier approval",E38="Conditional approval",E38="Approval deferred",E38="Supplier rejection"),"Yes","No"))</f>
        <v/>
      </c>
      <c r="G38" s="63" t="str">
        <f aca="false">IF(OR(A38="",D38=""),"",IFERROR(INDEX(RSK_RBAND,MATCH(D38,RSK_ID,0)),"CHECK: Risk ID not found"))</f>
        <v/>
      </c>
      <c r="H38" s="59" t="str">
        <f aca="false">IF(OR(A38="",D38=""),"",IFERROR(INDEX(RSK_APP,MATCH(D38,RSK_ID,0)),"CHECK: Risk ID not found"))</f>
        <v/>
      </c>
      <c r="I38" s="51"/>
      <c r="J38" s="34"/>
      <c r="K38" s="34"/>
      <c r="L38" s="34"/>
      <c r="M38" s="60"/>
      <c r="N38" s="34"/>
      <c r="O38" s="60"/>
      <c r="P38" s="34"/>
      <c r="Q38" s="64"/>
      <c r="R38" s="51"/>
      <c r="S38" s="60"/>
      <c r="T38" s="34"/>
      <c r="U38" s="50"/>
      <c r="V38" s="54" t="str">
        <f aca="false">IF(A38="","",IF(OR(O38="",O38="Not yet decided"),"Pending - no authorised decision",IF(OR(M38="",S38="",Q38=""),"Incomplete authorisation record - not treated as authorised",IF(OR(U38="Withdrawn",U38="Superseded"),"Not current ("&amp;U38&amp;")",IF(AND(ISNUMBER(R38),R38&lt;AsOf),"Expired - re-approval required",IF(AND(ISNUMBER(R38),R38&lt;=AsOf+WarnDecisionDays),"Review due soon","Authorised (user-entered record)"))))))</f>
        <v/>
      </c>
      <c r="W38" s="54" t="str">
        <f aca="false">IF(A38="","",IF(AND(OR(O38="Risk accepted",O38="Temporary exception granted"),LEFT(H38,5)="Above"),"Accepted exposure REMAINS above appetite - acceptance does not remove the breach",IF(AND(OR(O38="Risk accepted",O38="Temporary exception granted"),H38="Not configured"),"Appetite not configured - position cannot be confirmed","")))</f>
        <v/>
      </c>
      <c r="X38" s="52" t="str">
        <f aca="false">IF(AND(F38="Yes",ISNUMBER(I38),I38=_xlfn.MAXIFS(DEC_RECDATE,DEC_SUP,B38,DEC_LEVEL,"Yes")),B38&amp;"|Latest","")</f>
        <v/>
      </c>
      <c r="Y38" s="54" t="str">
        <f aca="false">IF(A38="","",IF(COUNTIF(DEC_ID,A38)&gt;1,"CHECK: duplicate ID",IF(B38="","CHECK: Supplier ID missing",IF(COUNTIF(INV_ID,B38)=0,"CHECK: Supplier ID not in inventory",IF(AND(D38&lt;&gt;"",COUNTIF(RSK_ID,D38)=0),"CHECK: Risk ID not found",IF(AND(D38&lt;&gt;"",COUNTIF(RSK_ID,D38)&gt;0,IFERROR(INDEX(RSK_SUP,MATCH(D38,RSK_ID,0)),"")&lt;&gt;B38),"CHECK: Risk belongs to a different supplier",IF(AND(F38="No",D38=""),"CHECK: risk ID required for risk-level decision","OK")))))))</f>
        <v/>
      </c>
      <c r="Z38" s="52" t="str">
        <f aca="false">IF(OR(A38="",B38=""),"",IF(B38=RptSup,B38&amp;"|"&amp;COUNTIF($B$7:B38,B38),""))</f>
        <v/>
      </c>
    </row>
    <row r="39" customFormat="false" ht="15" hidden="false" customHeight="false" outlineLevel="0" collapsed="false">
      <c r="A39" s="50"/>
      <c r="B39" s="50"/>
      <c r="C39" s="59" t="str">
        <f aca="false">IF(B39="","",IFERROR(INDEX(INV_NAME,MATCH(B39,INV_ID,0)),"CHECK: Supplier ID not found"))</f>
        <v/>
      </c>
      <c r="D39" s="34"/>
      <c r="E39" s="34"/>
      <c r="F39" s="52" t="str">
        <f aca="false">IF(A39="","",IF(OR(E39="Supplier approval",E39="Conditional approval",E39="Approval deferred",E39="Supplier rejection"),"Yes","No"))</f>
        <v/>
      </c>
      <c r="G39" s="63" t="str">
        <f aca="false">IF(OR(A39="",D39=""),"",IFERROR(INDEX(RSK_RBAND,MATCH(D39,RSK_ID,0)),"CHECK: Risk ID not found"))</f>
        <v/>
      </c>
      <c r="H39" s="59" t="str">
        <f aca="false">IF(OR(A39="",D39=""),"",IFERROR(INDEX(RSK_APP,MATCH(D39,RSK_ID,0)),"CHECK: Risk ID not found"))</f>
        <v/>
      </c>
      <c r="I39" s="51"/>
      <c r="J39" s="34"/>
      <c r="K39" s="34"/>
      <c r="L39" s="34"/>
      <c r="M39" s="60"/>
      <c r="N39" s="34"/>
      <c r="O39" s="60"/>
      <c r="P39" s="34"/>
      <c r="Q39" s="64"/>
      <c r="R39" s="51"/>
      <c r="S39" s="60"/>
      <c r="T39" s="34"/>
      <c r="U39" s="50"/>
      <c r="V39" s="54" t="str">
        <f aca="false">IF(A39="","",IF(OR(O39="",O39="Not yet decided"),"Pending - no authorised decision",IF(OR(M39="",S39="",Q39=""),"Incomplete authorisation record - not treated as authorised",IF(OR(U39="Withdrawn",U39="Superseded"),"Not current ("&amp;U39&amp;")",IF(AND(ISNUMBER(R39),R39&lt;AsOf),"Expired - re-approval required",IF(AND(ISNUMBER(R39),R39&lt;=AsOf+WarnDecisionDays),"Review due soon","Authorised (user-entered record)"))))))</f>
        <v/>
      </c>
      <c r="W39" s="54" t="str">
        <f aca="false">IF(A39="","",IF(AND(OR(O39="Risk accepted",O39="Temporary exception granted"),LEFT(H39,5)="Above"),"Accepted exposure REMAINS above appetite - acceptance does not remove the breach",IF(AND(OR(O39="Risk accepted",O39="Temporary exception granted"),H39="Not configured"),"Appetite not configured - position cannot be confirmed","")))</f>
        <v/>
      </c>
      <c r="X39" s="52" t="str">
        <f aca="false">IF(AND(F39="Yes",ISNUMBER(I39),I39=_xlfn.MAXIFS(DEC_RECDATE,DEC_SUP,B39,DEC_LEVEL,"Yes")),B39&amp;"|Latest","")</f>
        <v/>
      </c>
      <c r="Y39" s="54" t="str">
        <f aca="false">IF(A39="","",IF(COUNTIF(DEC_ID,A39)&gt;1,"CHECK: duplicate ID",IF(B39="","CHECK: Supplier ID missing",IF(COUNTIF(INV_ID,B39)=0,"CHECK: Supplier ID not in inventory",IF(AND(D39&lt;&gt;"",COUNTIF(RSK_ID,D39)=0),"CHECK: Risk ID not found",IF(AND(D39&lt;&gt;"",COUNTIF(RSK_ID,D39)&gt;0,IFERROR(INDEX(RSK_SUP,MATCH(D39,RSK_ID,0)),"")&lt;&gt;B39),"CHECK: Risk belongs to a different supplier",IF(AND(F39="No",D39=""),"CHECK: risk ID required for risk-level decision","OK")))))))</f>
        <v/>
      </c>
      <c r="Z39" s="52" t="str">
        <f aca="false">IF(OR(A39="",B39=""),"",IF(B39=RptSup,B39&amp;"|"&amp;COUNTIF($B$7:B39,B39),""))</f>
        <v/>
      </c>
    </row>
    <row r="40" customFormat="false" ht="15" hidden="false" customHeight="false" outlineLevel="0" collapsed="false">
      <c r="A40" s="50"/>
      <c r="B40" s="50"/>
      <c r="C40" s="59" t="str">
        <f aca="false">IF(B40="","",IFERROR(INDEX(INV_NAME,MATCH(B40,INV_ID,0)),"CHECK: Supplier ID not found"))</f>
        <v/>
      </c>
      <c r="D40" s="34"/>
      <c r="E40" s="34"/>
      <c r="F40" s="52" t="str">
        <f aca="false">IF(A40="","",IF(OR(E40="Supplier approval",E40="Conditional approval",E40="Approval deferred",E40="Supplier rejection"),"Yes","No"))</f>
        <v/>
      </c>
      <c r="G40" s="63" t="str">
        <f aca="false">IF(OR(A40="",D40=""),"",IFERROR(INDEX(RSK_RBAND,MATCH(D40,RSK_ID,0)),"CHECK: Risk ID not found"))</f>
        <v/>
      </c>
      <c r="H40" s="59" t="str">
        <f aca="false">IF(OR(A40="",D40=""),"",IFERROR(INDEX(RSK_APP,MATCH(D40,RSK_ID,0)),"CHECK: Risk ID not found"))</f>
        <v/>
      </c>
      <c r="I40" s="51"/>
      <c r="J40" s="34"/>
      <c r="K40" s="34"/>
      <c r="L40" s="34"/>
      <c r="M40" s="60"/>
      <c r="N40" s="34"/>
      <c r="O40" s="60"/>
      <c r="P40" s="34"/>
      <c r="Q40" s="64"/>
      <c r="R40" s="51"/>
      <c r="S40" s="60"/>
      <c r="T40" s="34"/>
      <c r="U40" s="50"/>
      <c r="V40" s="54" t="str">
        <f aca="false">IF(A40="","",IF(OR(O40="",O40="Not yet decided"),"Pending - no authorised decision",IF(OR(M40="",S40="",Q40=""),"Incomplete authorisation record - not treated as authorised",IF(OR(U40="Withdrawn",U40="Superseded"),"Not current ("&amp;U40&amp;")",IF(AND(ISNUMBER(R40),R40&lt;AsOf),"Expired - re-approval required",IF(AND(ISNUMBER(R40),R40&lt;=AsOf+WarnDecisionDays),"Review due soon","Authorised (user-entered record)"))))))</f>
        <v/>
      </c>
      <c r="W40" s="54" t="str">
        <f aca="false">IF(A40="","",IF(AND(OR(O40="Risk accepted",O40="Temporary exception granted"),LEFT(H40,5)="Above"),"Accepted exposure REMAINS above appetite - acceptance does not remove the breach",IF(AND(OR(O40="Risk accepted",O40="Temporary exception granted"),H40="Not configured"),"Appetite not configured - position cannot be confirmed","")))</f>
        <v/>
      </c>
      <c r="X40" s="52" t="str">
        <f aca="false">IF(AND(F40="Yes",ISNUMBER(I40),I40=_xlfn.MAXIFS(DEC_RECDATE,DEC_SUP,B40,DEC_LEVEL,"Yes")),B40&amp;"|Latest","")</f>
        <v/>
      </c>
      <c r="Y40" s="54" t="str">
        <f aca="false">IF(A40="","",IF(COUNTIF(DEC_ID,A40)&gt;1,"CHECK: duplicate ID",IF(B40="","CHECK: Supplier ID missing",IF(COUNTIF(INV_ID,B40)=0,"CHECK: Supplier ID not in inventory",IF(AND(D40&lt;&gt;"",COUNTIF(RSK_ID,D40)=0),"CHECK: Risk ID not found",IF(AND(D40&lt;&gt;"",COUNTIF(RSK_ID,D40)&gt;0,IFERROR(INDEX(RSK_SUP,MATCH(D40,RSK_ID,0)),"")&lt;&gt;B40),"CHECK: Risk belongs to a different supplier",IF(AND(F40="No",D40=""),"CHECK: risk ID required for risk-level decision","OK")))))))</f>
        <v/>
      </c>
      <c r="Z40" s="52" t="str">
        <f aca="false">IF(OR(A40="",B40=""),"",IF(B40=RptSup,B40&amp;"|"&amp;COUNTIF($B$7:B40,B40),""))</f>
        <v/>
      </c>
    </row>
    <row r="41" customFormat="false" ht="15" hidden="false" customHeight="false" outlineLevel="0" collapsed="false">
      <c r="A41" s="50"/>
      <c r="B41" s="50"/>
      <c r="C41" s="59" t="str">
        <f aca="false">IF(B41="","",IFERROR(INDEX(INV_NAME,MATCH(B41,INV_ID,0)),"CHECK: Supplier ID not found"))</f>
        <v/>
      </c>
      <c r="D41" s="34"/>
      <c r="E41" s="34"/>
      <c r="F41" s="52" t="str">
        <f aca="false">IF(A41="","",IF(OR(E41="Supplier approval",E41="Conditional approval",E41="Approval deferred",E41="Supplier rejection"),"Yes","No"))</f>
        <v/>
      </c>
      <c r="G41" s="63" t="str">
        <f aca="false">IF(OR(A41="",D41=""),"",IFERROR(INDEX(RSK_RBAND,MATCH(D41,RSK_ID,0)),"CHECK: Risk ID not found"))</f>
        <v/>
      </c>
      <c r="H41" s="59" t="str">
        <f aca="false">IF(OR(A41="",D41=""),"",IFERROR(INDEX(RSK_APP,MATCH(D41,RSK_ID,0)),"CHECK: Risk ID not found"))</f>
        <v/>
      </c>
      <c r="I41" s="51"/>
      <c r="J41" s="34"/>
      <c r="K41" s="34"/>
      <c r="L41" s="34"/>
      <c r="M41" s="60"/>
      <c r="N41" s="34"/>
      <c r="O41" s="60"/>
      <c r="P41" s="34"/>
      <c r="Q41" s="64"/>
      <c r="R41" s="51"/>
      <c r="S41" s="60"/>
      <c r="T41" s="34"/>
      <c r="U41" s="50"/>
      <c r="V41" s="54" t="str">
        <f aca="false">IF(A41="","",IF(OR(O41="",O41="Not yet decided"),"Pending - no authorised decision",IF(OR(M41="",S41="",Q41=""),"Incomplete authorisation record - not treated as authorised",IF(OR(U41="Withdrawn",U41="Superseded"),"Not current ("&amp;U41&amp;")",IF(AND(ISNUMBER(R41),R41&lt;AsOf),"Expired - re-approval required",IF(AND(ISNUMBER(R41),R41&lt;=AsOf+WarnDecisionDays),"Review due soon","Authorised (user-entered record)"))))))</f>
        <v/>
      </c>
      <c r="W41" s="54" t="str">
        <f aca="false">IF(A41="","",IF(AND(OR(O41="Risk accepted",O41="Temporary exception granted"),LEFT(H41,5)="Above"),"Accepted exposure REMAINS above appetite - acceptance does not remove the breach",IF(AND(OR(O41="Risk accepted",O41="Temporary exception granted"),H41="Not configured"),"Appetite not configured - position cannot be confirmed","")))</f>
        <v/>
      </c>
      <c r="X41" s="52" t="str">
        <f aca="false">IF(AND(F41="Yes",ISNUMBER(I41),I41=_xlfn.MAXIFS(DEC_RECDATE,DEC_SUP,B41,DEC_LEVEL,"Yes")),B41&amp;"|Latest","")</f>
        <v/>
      </c>
      <c r="Y41" s="54" t="str">
        <f aca="false">IF(A41="","",IF(COUNTIF(DEC_ID,A41)&gt;1,"CHECK: duplicate ID",IF(B41="","CHECK: Supplier ID missing",IF(COUNTIF(INV_ID,B41)=0,"CHECK: Supplier ID not in inventory",IF(AND(D41&lt;&gt;"",COUNTIF(RSK_ID,D41)=0),"CHECK: Risk ID not found",IF(AND(D41&lt;&gt;"",COUNTIF(RSK_ID,D41)&gt;0,IFERROR(INDEX(RSK_SUP,MATCH(D41,RSK_ID,0)),"")&lt;&gt;B41),"CHECK: Risk belongs to a different supplier",IF(AND(F41="No",D41=""),"CHECK: risk ID required for risk-level decision","OK")))))))</f>
        <v/>
      </c>
      <c r="Z41" s="52" t="str">
        <f aca="false">IF(OR(A41="",B41=""),"",IF(B41=RptSup,B41&amp;"|"&amp;COUNTIF($B$7:B41,B41),""))</f>
        <v/>
      </c>
    </row>
    <row r="42" customFormat="false" ht="15" hidden="false" customHeight="false" outlineLevel="0" collapsed="false">
      <c r="A42" s="50"/>
      <c r="B42" s="50"/>
      <c r="C42" s="59" t="str">
        <f aca="false">IF(B42="","",IFERROR(INDEX(INV_NAME,MATCH(B42,INV_ID,0)),"CHECK: Supplier ID not found"))</f>
        <v/>
      </c>
      <c r="D42" s="34"/>
      <c r="E42" s="34"/>
      <c r="F42" s="52" t="str">
        <f aca="false">IF(A42="","",IF(OR(E42="Supplier approval",E42="Conditional approval",E42="Approval deferred",E42="Supplier rejection"),"Yes","No"))</f>
        <v/>
      </c>
      <c r="G42" s="63" t="str">
        <f aca="false">IF(OR(A42="",D42=""),"",IFERROR(INDEX(RSK_RBAND,MATCH(D42,RSK_ID,0)),"CHECK: Risk ID not found"))</f>
        <v/>
      </c>
      <c r="H42" s="59" t="str">
        <f aca="false">IF(OR(A42="",D42=""),"",IFERROR(INDEX(RSK_APP,MATCH(D42,RSK_ID,0)),"CHECK: Risk ID not found"))</f>
        <v/>
      </c>
      <c r="I42" s="51"/>
      <c r="J42" s="34"/>
      <c r="K42" s="34"/>
      <c r="L42" s="34"/>
      <c r="M42" s="60"/>
      <c r="N42" s="34"/>
      <c r="O42" s="60"/>
      <c r="P42" s="34"/>
      <c r="Q42" s="64"/>
      <c r="R42" s="51"/>
      <c r="S42" s="60"/>
      <c r="T42" s="34"/>
      <c r="U42" s="50"/>
      <c r="V42" s="54" t="str">
        <f aca="false">IF(A42="","",IF(OR(O42="",O42="Not yet decided"),"Pending - no authorised decision",IF(OR(M42="",S42="",Q42=""),"Incomplete authorisation record - not treated as authorised",IF(OR(U42="Withdrawn",U42="Superseded"),"Not current ("&amp;U42&amp;")",IF(AND(ISNUMBER(R42),R42&lt;AsOf),"Expired - re-approval required",IF(AND(ISNUMBER(R42),R42&lt;=AsOf+WarnDecisionDays),"Review due soon","Authorised (user-entered record)"))))))</f>
        <v/>
      </c>
      <c r="W42" s="54" t="str">
        <f aca="false">IF(A42="","",IF(AND(OR(O42="Risk accepted",O42="Temporary exception granted"),LEFT(H42,5)="Above"),"Accepted exposure REMAINS above appetite - acceptance does not remove the breach",IF(AND(OR(O42="Risk accepted",O42="Temporary exception granted"),H42="Not configured"),"Appetite not configured - position cannot be confirmed","")))</f>
        <v/>
      </c>
      <c r="X42" s="52" t="str">
        <f aca="false">IF(AND(F42="Yes",ISNUMBER(I42),I42=_xlfn.MAXIFS(DEC_RECDATE,DEC_SUP,B42,DEC_LEVEL,"Yes")),B42&amp;"|Latest","")</f>
        <v/>
      </c>
      <c r="Y42" s="54" t="str">
        <f aca="false">IF(A42="","",IF(COUNTIF(DEC_ID,A42)&gt;1,"CHECK: duplicate ID",IF(B42="","CHECK: Supplier ID missing",IF(COUNTIF(INV_ID,B42)=0,"CHECK: Supplier ID not in inventory",IF(AND(D42&lt;&gt;"",COUNTIF(RSK_ID,D42)=0),"CHECK: Risk ID not found",IF(AND(D42&lt;&gt;"",COUNTIF(RSK_ID,D42)&gt;0,IFERROR(INDEX(RSK_SUP,MATCH(D42,RSK_ID,0)),"")&lt;&gt;B42),"CHECK: Risk belongs to a different supplier",IF(AND(F42="No",D42=""),"CHECK: risk ID required for risk-level decision","OK")))))))</f>
        <v/>
      </c>
      <c r="Z42" s="52" t="str">
        <f aca="false">IF(OR(A42="",B42=""),"",IF(B42=RptSup,B42&amp;"|"&amp;COUNTIF($B$7:B42,B42),""))</f>
        <v/>
      </c>
    </row>
    <row r="43" customFormat="false" ht="15" hidden="false" customHeight="false" outlineLevel="0" collapsed="false">
      <c r="A43" s="50"/>
      <c r="B43" s="50"/>
      <c r="C43" s="59" t="str">
        <f aca="false">IF(B43="","",IFERROR(INDEX(INV_NAME,MATCH(B43,INV_ID,0)),"CHECK: Supplier ID not found"))</f>
        <v/>
      </c>
      <c r="D43" s="34"/>
      <c r="E43" s="34"/>
      <c r="F43" s="52" t="str">
        <f aca="false">IF(A43="","",IF(OR(E43="Supplier approval",E43="Conditional approval",E43="Approval deferred",E43="Supplier rejection"),"Yes","No"))</f>
        <v/>
      </c>
      <c r="G43" s="63" t="str">
        <f aca="false">IF(OR(A43="",D43=""),"",IFERROR(INDEX(RSK_RBAND,MATCH(D43,RSK_ID,0)),"CHECK: Risk ID not found"))</f>
        <v/>
      </c>
      <c r="H43" s="59" t="str">
        <f aca="false">IF(OR(A43="",D43=""),"",IFERROR(INDEX(RSK_APP,MATCH(D43,RSK_ID,0)),"CHECK: Risk ID not found"))</f>
        <v/>
      </c>
      <c r="I43" s="51"/>
      <c r="J43" s="34"/>
      <c r="K43" s="34"/>
      <c r="L43" s="34"/>
      <c r="M43" s="60"/>
      <c r="N43" s="34"/>
      <c r="O43" s="60"/>
      <c r="P43" s="34"/>
      <c r="Q43" s="64"/>
      <c r="R43" s="51"/>
      <c r="S43" s="60"/>
      <c r="T43" s="34"/>
      <c r="U43" s="50"/>
      <c r="V43" s="54" t="str">
        <f aca="false">IF(A43="","",IF(OR(O43="",O43="Not yet decided"),"Pending - no authorised decision",IF(OR(M43="",S43="",Q43=""),"Incomplete authorisation record - not treated as authorised",IF(OR(U43="Withdrawn",U43="Superseded"),"Not current ("&amp;U43&amp;")",IF(AND(ISNUMBER(R43),R43&lt;AsOf),"Expired - re-approval required",IF(AND(ISNUMBER(R43),R43&lt;=AsOf+WarnDecisionDays),"Review due soon","Authorised (user-entered record)"))))))</f>
        <v/>
      </c>
      <c r="W43" s="54" t="str">
        <f aca="false">IF(A43="","",IF(AND(OR(O43="Risk accepted",O43="Temporary exception granted"),LEFT(H43,5)="Above"),"Accepted exposure REMAINS above appetite - acceptance does not remove the breach",IF(AND(OR(O43="Risk accepted",O43="Temporary exception granted"),H43="Not configured"),"Appetite not configured - position cannot be confirmed","")))</f>
        <v/>
      </c>
      <c r="X43" s="52" t="str">
        <f aca="false">IF(AND(F43="Yes",ISNUMBER(I43),I43=_xlfn.MAXIFS(DEC_RECDATE,DEC_SUP,B43,DEC_LEVEL,"Yes")),B43&amp;"|Latest","")</f>
        <v/>
      </c>
      <c r="Y43" s="54" t="str">
        <f aca="false">IF(A43="","",IF(COUNTIF(DEC_ID,A43)&gt;1,"CHECK: duplicate ID",IF(B43="","CHECK: Supplier ID missing",IF(COUNTIF(INV_ID,B43)=0,"CHECK: Supplier ID not in inventory",IF(AND(D43&lt;&gt;"",COUNTIF(RSK_ID,D43)=0),"CHECK: Risk ID not found",IF(AND(D43&lt;&gt;"",COUNTIF(RSK_ID,D43)&gt;0,IFERROR(INDEX(RSK_SUP,MATCH(D43,RSK_ID,0)),"")&lt;&gt;B43),"CHECK: Risk belongs to a different supplier",IF(AND(F43="No",D43=""),"CHECK: risk ID required for risk-level decision","OK")))))))</f>
        <v/>
      </c>
      <c r="Z43" s="52" t="str">
        <f aca="false">IF(OR(A43="",B43=""),"",IF(B43=RptSup,B43&amp;"|"&amp;COUNTIF($B$7:B43,B43),""))</f>
        <v/>
      </c>
    </row>
    <row r="44" customFormat="false" ht="15" hidden="false" customHeight="false" outlineLevel="0" collapsed="false">
      <c r="A44" s="50"/>
      <c r="B44" s="50"/>
      <c r="C44" s="59" t="str">
        <f aca="false">IF(B44="","",IFERROR(INDEX(INV_NAME,MATCH(B44,INV_ID,0)),"CHECK: Supplier ID not found"))</f>
        <v/>
      </c>
      <c r="D44" s="34"/>
      <c r="E44" s="34"/>
      <c r="F44" s="52" t="str">
        <f aca="false">IF(A44="","",IF(OR(E44="Supplier approval",E44="Conditional approval",E44="Approval deferred",E44="Supplier rejection"),"Yes","No"))</f>
        <v/>
      </c>
      <c r="G44" s="63" t="str">
        <f aca="false">IF(OR(A44="",D44=""),"",IFERROR(INDEX(RSK_RBAND,MATCH(D44,RSK_ID,0)),"CHECK: Risk ID not found"))</f>
        <v/>
      </c>
      <c r="H44" s="59" t="str">
        <f aca="false">IF(OR(A44="",D44=""),"",IFERROR(INDEX(RSK_APP,MATCH(D44,RSK_ID,0)),"CHECK: Risk ID not found"))</f>
        <v/>
      </c>
      <c r="I44" s="51"/>
      <c r="J44" s="34"/>
      <c r="K44" s="34"/>
      <c r="L44" s="34"/>
      <c r="M44" s="60"/>
      <c r="N44" s="34"/>
      <c r="O44" s="60"/>
      <c r="P44" s="34"/>
      <c r="Q44" s="64"/>
      <c r="R44" s="51"/>
      <c r="S44" s="60"/>
      <c r="T44" s="34"/>
      <c r="U44" s="50"/>
      <c r="V44" s="54" t="str">
        <f aca="false">IF(A44="","",IF(OR(O44="",O44="Not yet decided"),"Pending - no authorised decision",IF(OR(M44="",S44="",Q44=""),"Incomplete authorisation record - not treated as authorised",IF(OR(U44="Withdrawn",U44="Superseded"),"Not current ("&amp;U44&amp;")",IF(AND(ISNUMBER(R44),R44&lt;AsOf),"Expired - re-approval required",IF(AND(ISNUMBER(R44),R44&lt;=AsOf+WarnDecisionDays),"Review due soon","Authorised (user-entered record)"))))))</f>
        <v/>
      </c>
      <c r="W44" s="54" t="str">
        <f aca="false">IF(A44="","",IF(AND(OR(O44="Risk accepted",O44="Temporary exception granted"),LEFT(H44,5)="Above"),"Accepted exposure REMAINS above appetite - acceptance does not remove the breach",IF(AND(OR(O44="Risk accepted",O44="Temporary exception granted"),H44="Not configured"),"Appetite not configured - position cannot be confirmed","")))</f>
        <v/>
      </c>
      <c r="X44" s="52" t="str">
        <f aca="false">IF(AND(F44="Yes",ISNUMBER(I44),I44=_xlfn.MAXIFS(DEC_RECDATE,DEC_SUP,B44,DEC_LEVEL,"Yes")),B44&amp;"|Latest","")</f>
        <v/>
      </c>
      <c r="Y44" s="54" t="str">
        <f aca="false">IF(A44="","",IF(COUNTIF(DEC_ID,A44)&gt;1,"CHECK: duplicate ID",IF(B44="","CHECK: Supplier ID missing",IF(COUNTIF(INV_ID,B44)=0,"CHECK: Supplier ID not in inventory",IF(AND(D44&lt;&gt;"",COUNTIF(RSK_ID,D44)=0),"CHECK: Risk ID not found",IF(AND(D44&lt;&gt;"",COUNTIF(RSK_ID,D44)&gt;0,IFERROR(INDEX(RSK_SUP,MATCH(D44,RSK_ID,0)),"")&lt;&gt;B44),"CHECK: Risk belongs to a different supplier",IF(AND(F44="No",D44=""),"CHECK: risk ID required for risk-level decision","OK")))))))</f>
        <v/>
      </c>
      <c r="Z44" s="52" t="str">
        <f aca="false">IF(OR(A44="",B44=""),"",IF(B44=RptSup,B44&amp;"|"&amp;COUNTIF($B$7:B44,B44),""))</f>
        <v/>
      </c>
    </row>
    <row r="45" customFormat="false" ht="15" hidden="false" customHeight="false" outlineLevel="0" collapsed="false">
      <c r="A45" s="50"/>
      <c r="B45" s="50"/>
      <c r="C45" s="59" t="str">
        <f aca="false">IF(B45="","",IFERROR(INDEX(INV_NAME,MATCH(B45,INV_ID,0)),"CHECK: Supplier ID not found"))</f>
        <v/>
      </c>
      <c r="D45" s="34"/>
      <c r="E45" s="34"/>
      <c r="F45" s="52" t="str">
        <f aca="false">IF(A45="","",IF(OR(E45="Supplier approval",E45="Conditional approval",E45="Approval deferred",E45="Supplier rejection"),"Yes","No"))</f>
        <v/>
      </c>
      <c r="G45" s="63" t="str">
        <f aca="false">IF(OR(A45="",D45=""),"",IFERROR(INDEX(RSK_RBAND,MATCH(D45,RSK_ID,0)),"CHECK: Risk ID not found"))</f>
        <v/>
      </c>
      <c r="H45" s="59" t="str">
        <f aca="false">IF(OR(A45="",D45=""),"",IFERROR(INDEX(RSK_APP,MATCH(D45,RSK_ID,0)),"CHECK: Risk ID not found"))</f>
        <v/>
      </c>
      <c r="I45" s="51"/>
      <c r="J45" s="34"/>
      <c r="K45" s="34"/>
      <c r="L45" s="34"/>
      <c r="M45" s="60"/>
      <c r="N45" s="34"/>
      <c r="O45" s="60"/>
      <c r="P45" s="34"/>
      <c r="Q45" s="64"/>
      <c r="R45" s="51"/>
      <c r="S45" s="60"/>
      <c r="T45" s="34"/>
      <c r="U45" s="50"/>
      <c r="V45" s="54" t="str">
        <f aca="false">IF(A45="","",IF(OR(O45="",O45="Not yet decided"),"Pending - no authorised decision",IF(OR(M45="",S45="",Q45=""),"Incomplete authorisation record - not treated as authorised",IF(OR(U45="Withdrawn",U45="Superseded"),"Not current ("&amp;U45&amp;")",IF(AND(ISNUMBER(R45),R45&lt;AsOf),"Expired - re-approval required",IF(AND(ISNUMBER(R45),R45&lt;=AsOf+WarnDecisionDays),"Review due soon","Authorised (user-entered record)"))))))</f>
        <v/>
      </c>
      <c r="W45" s="54" t="str">
        <f aca="false">IF(A45="","",IF(AND(OR(O45="Risk accepted",O45="Temporary exception granted"),LEFT(H45,5)="Above"),"Accepted exposure REMAINS above appetite - acceptance does not remove the breach",IF(AND(OR(O45="Risk accepted",O45="Temporary exception granted"),H45="Not configured"),"Appetite not configured - position cannot be confirmed","")))</f>
        <v/>
      </c>
      <c r="X45" s="52" t="str">
        <f aca="false">IF(AND(F45="Yes",ISNUMBER(I45),I45=_xlfn.MAXIFS(DEC_RECDATE,DEC_SUP,B45,DEC_LEVEL,"Yes")),B45&amp;"|Latest","")</f>
        <v/>
      </c>
      <c r="Y45" s="54" t="str">
        <f aca="false">IF(A45="","",IF(COUNTIF(DEC_ID,A45)&gt;1,"CHECK: duplicate ID",IF(B45="","CHECK: Supplier ID missing",IF(COUNTIF(INV_ID,B45)=0,"CHECK: Supplier ID not in inventory",IF(AND(D45&lt;&gt;"",COUNTIF(RSK_ID,D45)=0),"CHECK: Risk ID not found",IF(AND(D45&lt;&gt;"",COUNTIF(RSK_ID,D45)&gt;0,IFERROR(INDEX(RSK_SUP,MATCH(D45,RSK_ID,0)),"")&lt;&gt;B45),"CHECK: Risk belongs to a different supplier",IF(AND(F45="No",D45=""),"CHECK: risk ID required for risk-level decision","OK")))))))</f>
        <v/>
      </c>
      <c r="Z45" s="52" t="str">
        <f aca="false">IF(OR(A45="",B45=""),"",IF(B45=RptSup,B45&amp;"|"&amp;COUNTIF($B$7:B45,B45),""))</f>
        <v/>
      </c>
    </row>
    <row r="46" customFormat="false" ht="15" hidden="false" customHeight="false" outlineLevel="0" collapsed="false">
      <c r="A46" s="50"/>
      <c r="B46" s="50"/>
      <c r="C46" s="59" t="str">
        <f aca="false">IF(B46="","",IFERROR(INDEX(INV_NAME,MATCH(B46,INV_ID,0)),"CHECK: Supplier ID not found"))</f>
        <v/>
      </c>
      <c r="D46" s="34"/>
      <c r="E46" s="34"/>
      <c r="F46" s="52" t="str">
        <f aca="false">IF(A46="","",IF(OR(E46="Supplier approval",E46="Conditional approval",E46="Approval deferred",E46="Supplier rejection"),"Yes","No"))</f>
        <v/>
      </c>
      <c r="G46" s="63" t="str">
        <f aca="false">IF(OR(A46="",D46=""),"",IFERROR(INDEX(RSK_RBAND,MATCH(D46,RSK_ID,0)),"CHECK: Risk ID not found"))</f>
        <v/>
      </c>
      <c r="H46" s="59" t="str">
        <f aca="false">IF(OR(A46="",D46=""),"",IFERROR(INDEX(RSK_APP,MATCH(D46,RSK_ID,0)),"CHECK: Risk ID not found"))</f>
        <v/>
      </c>
      <c r="I46" s="51"/>
      <c r="J46" s="34"/>
      <c r="K46" s="34"/>
      <c r="L46" s="34"/>
      <c r="M46" s="60"/>
      <c r="N46" s="34"/>
      <c r="O46" s="60"/>
      <c r="P46" s="34"/>
      <c r="Q46" s="64"/>
      <c r="R46" s="51"/>
      <c r="S46" s="60"/>
      <c r="T46" s="34"/>
      <c r="U46" s="50"/>
      <c r="V46" s="54" t="str">
        <f aca="false">IF(A46="","",IF(OR(O46="",O46="Not yet decided"),"Pending - no authorised decision",IF(OR(M46="",S46="",Q46=""),"Incomplete authorisation record - not treated as authorised",IF(OR(U46="Withdrawn",U46="Superseded"),"Not current ("&amp;U46&amp;")",IF(AND(ISNUMBER(R46),R46&lt;AsOf),"Expired - re-approval required",IF(AND(ISNUMBER(R46),R46&lt;=AsOf+WarnDecisionDays),"Review due soon","Authorised (user-entered record)"))))))</f>
        <v/>
      </c>
      <c r="W46" s="54" t="str">
        <f aca="false">IF(A46="","",IF(AND(OR(O46="Risk accepted",O46="Temporary exception granted"),LEFT(H46,5)="Above"),"Accepted exposure REMAINS above appetite - acceptance does not remove the breach",IF(AND(OR(O46="Risk accepted",O46="Temporary exception granted"),H46="Not configured"),"Appetite not configured - position cannot be confirmed","")))</f>
        <v/>
      </c>
      <c r="X46" s="52" t="str">
        <f aca="false">IF(AND(F46="Yes",ISNUMBER(I46),I46=_xlfn.MAXIFS(DEC_RECDATE,DEC_SUP,B46,DEC_LEVEL,"Yes")),B46&amp;"|Latest","")</f>
        <v/>
      </c>
      <c r="Y46" s="54" t="str">
        <f aca="false">IF(A46="","",IF(COUNTIF(DEC_ID,A46)&gt;1,"CHECK: duplicate ID",IF(B46="","CHECK: Supplier ID missing",IF(COUNTIF(INV_ID,B46)=0,"CHECK: Supplier ID not in inventory",IF(AND(D46&lt;&gt;"",COUNTIF(RSK_ID,D46)=0),"CHECK: Risk ID not found",IF(AND(D46&lt;&gt;"",COUNTIF(RSK_ID,D46)&gt;0,IFERROR(INDEX(RSK_SUP,MATCH(D46,RSK_ID,0)),"")&lt;&gt;B46),"CHECK: Risk belongs to a different supplier",IF(AND(F46="No",D46=""),"CHECK: risk ID required for risk-level decision","OK")))))))</f>
        <v/>
      </c>
      <c r="Z46" s="52" t="str">
        <f aca="false">IF(OR(A46="",B46=""),"",IF(B46=RptSup,B46&amp;"|"&amp;COUNTIF($B$7:B46,B46),""))</f>
        <v/>
      </c>
    </row>
    <row r="47" customFormat="false" ht="15" hidden="false" customHeight="false" outlineLevel="0" collapsed="false">
      <c r="A47" s="50"/>
      <c r="B47" s="50"/>
      <c r="C47" s="59" t="str">
        <f aca="false">IF(B47="","",IFERROR(INDEX(INV_NAME,MATCH(B47,INV_ID,0)),"CHECK: Supplier ID not found"))</f>
        <v/>
      </c>
      <c r="D47" s="34"/>
      <c r="E47" s="34"/>
      <c r="F47" s="52" t="str">
        <f aca="false">IF(A47="","",IF(OR(E47="Supplier approval",E47="Conditional approval",E47="Approval deferred",E47="Supplier rejection"),"Yes","No"))</f>
        <v/>
      </c>
      <c r="G47" s="63" t="str">
        <f aca="false">IF(OR(A47="",D47=""),"",IFERROR(INDEX(RSK_RBAND,MATCH(D47,RSK_ID,0)),"CHECK: Risk ID not found"))</f>
        <v/>
      </c>
      <c r="H47" s="59" t="str">
        <f aca="false">IF(OR(A47="",D47=""),"",IFERROR(INDEX(RSK_APP,MATCH(D47,RSK_ID,0)),"CHECK: Risk ID not found"))</f>
        <v/>
      </c>
      <c r="I47" s="51"/>
      <c r="J47" s="34"/>
      <c r="K47" s="34"/>
      <c r="L47" s="34"/>
      <c r="M47" s="60"/>
      <c r="N47" s="34"/>
      <c r="O47" s="60"/>
      <c r="P47" s="34"/>
      <c r="Q47" s="64"/>
      <c r="R47" s="51"/>
      <c r="S47" s="60"/>
      <c r="T47" s="34"/>
      <c r="U47" s="50"/>
      <c r="V47" s="54" t="str">
        <f aca="false">IF(A47="","",IF(OR(O47="",O47="Not yet decided"),"Pending - no authorised decision",IF(OR(M47="",S47="",Q47=""),"Incomplete authorisation record - not treated as authorised",IF(OR(U47="Withdrawn",U47="Superseded"),"Not current ("&amp;U47&amp;")",IF(AND(ISNUMBER(R47),R47&lt;AsOf),"Expired - re-approval required",IF(AND(ISNUMBER(R47),R47&lt;=AsOf+WarnDecisionDays),"Review due soon","Authorised (user-entered record)"))))))</f>
        <v/>
      </c>
      <c r="W47" s="54" t="str">
        <f aca="false">IF(A47="","",IF(AND(OR(O47="Risk accepted",O47="Temporary exception granted"),LEFT(H47,5)="Above"),"Accepted exposure REMAINS above appetite - acceptance does not remove the breach",IF(AND(OR(O47="Risk accepted",O47="Temporary exception granted"),H47="Not configured"),"Appetite not configured - position cannot be confirmed","")))</f>
        <v/>
      </c>
      <c r="X47" s="52" t="str">
        <f aca="false">IF(AND(F47="Yes",ISNUMBER(I47),I47=_xlfn.MAXIFS(DEC_RECDATE,DEC_SUP,B47,DEC_LEVEL,"Yes")),B47&amp;"|Latest","")</f>
        <v/>
      </c>
      <c r="Y47" s="54" t="str">
        <f aca="false">IF(A47="","",IF(COUNTIF(DEC_ID,A47)&gt;1,"CHECK: duplicate ID",IF(B47="","CHECK: Supplier ID missing",IF(COUNTIF(INV_ID,B47)=0,"CHECK: Supplier ID not in inventory",IF(AND(D47&lt;&gt;"",COUNTIF(RSK_ID,D47)=0),"CHECK: Risk ID not found",IF(AND(D47&lt;&gt;"",COUNTIF(RSK_ID,D47)&gt;0,IFERROR(INDEX(RSK_SUP,MATCH(D47,RSK_ID,0)),"")&lt;&gt;B47),"CHECK: Risk belongs to a different supplier",IF(AND(F47="No",D47=""),"CHECK: risk ID required for risk-level decision","OK")))))))</f>
        <v/>
      </c>
      <c r="Z47" s="52" t="str">
        <f aca="false">IF(OR(A47="",B47=""),"",IF(B47=RptSup,B47&amp;"|"&amp;COUNTIF($B$7:B47,B47),""))</f>
        <v/>
      </c>
    </row>
    <row r="48" customFormat="false" ht="15" hidden="false" customHeight="false" outlineLevel="0" collapsed="false">
      <c r="A48" s="50"/>
      <c r="B48" s="50"/>
      <c r="C48" s="59" t="str">
        <f aca="false">IF(B48="","",IFERROR(INDEX(INV_NAME,MATCH(B48,INV_ID,0)),"CHECK: Supplier ID not found"))</f>
        <v/>
      </c>
      <c r="D48" s="34"/>
      <c r="E48" s="34"/>
      <c r="F48" s="52" t="str">
        <f aca="false">IF(A48="","",IF(OR(E48="Supplier approval",E48="Conditional approval",E48="Approval deferred",E48="Supplier rejection"),"Yes","No"))</f>
        <v/>
      </c>
      <c r="G48" s="63" t="str">
        <f aca="false">IF(OR(A48="",D48=""),"",IFERROR(INDEX(RSK_RBAND,MATCH(D48,RSK_ID,0)),"CHECK: Risk ID not found"))</f>
        <v/>
      </c>
      <c r="H48" s="59" t="str">
        <f aca="false">IF(OR(A48="",D48=""),"",IFERROR(INDEX(RSK_APP,MATCH(D48,RSK_ID,0)),"CHECK: Risk ID not found"))</f>
        <v/>
      </c>
      <c r="I48" s="51"/>
      <c r="J48" s="34"/>
      <c r="K48" s="34"/>
      <c r="L48" s="34"/>
      <c r="M48" s="60"/>
      <c r="N48" s="34"/>
      <c r="O48" s="60"/>
      <c r="P48" s="34"/>
      <c r="Q48" s="64"/>
      <c r="R48" s="51"/>
      <c r="S48" s="60"/>
      <c r="T48" s="34"/>
      <c r="U48" s="50"/>
      <c r="V48" s="54" t="str">
        <f aca="false">IF(A48="","",IF(OR(O48="",O48="Not yet decided"),"Pending - no authorised decision",IF(OR(M48="",S48="",Q48=""),"Incomplete authorisation record - not treated as authorised",IF(OR(U48="Withdrawn",U48="Superseded"),"Not current ("&amp;U48&amp;")",IF(AND(ISNUMBER(R48),R48&lt;AsOf),"Expired - re-approval required",IF(AND(ISNUMBER(R48),R48&lt;=AsOf+WarnDecisionDays),"Review due soon","Authorised (user-entered record)"))))))</f>
        <v/>
      </c>
      <c r="W48" s="54" t="str">
        <f aca="false">IF(A48="","",IF(AND(OR(O48="Risk accepted",O48="Temporary exception granted"),LEFT(H48,5)="Above"),"Accepted exposure REMAINS above appetite - acceptance does not remove the breach",IF(AND(OR(O48="Risk accepted",O48="Temporary exception granted"),H48="Not configured"),"Appetite not configured - position cannot be confirmed","")))</f>
        <v/>
      </c>
      <c r="X48" s="52" t="str">
        <f aca="false">IF(AND(F48="Yes",ISNUMBER(I48),I48=_xlfn.MAXIFS(DEC_RECDATE,DEC_SUP,B48,DEC_LEVEL,"Yes")),B48&amp;"|Latest","")</f>
        <v/>
      </c>
      <c r="Y48" s="54" t="str">
        <f aca="false">IF(A48="","",IF(COUNTIF(DEC_ID,A48)&gt;1,"CHECK: duplicate ID",IF(B48="","CHECK: Supplier ID missing",IF(COUNTIF(INV_ID,B48)=0,"CHECK: Supplier ID not in inventory",IF(AND(D48&lt;&gt;"",COUNTIF(RSK_ID,D48)=0),"CHECK: Risk ID not found",IF(AND(D48&lt;&gt;"",COUNTIF(RSK_ID,D48)&gt;0,IFERROR(INDEX(RSK_SUP,MATCH(D48,RSK_ID,0)),"")&lt;&gt;B48),"CHECK: Risk belongs to a different supplier",IF(AND(F48="No",D48=""),"CHECK: risk ID required for risk-level decision","OK")))))))</f>
        <v/>
      </c>
      <c r="Z48" s="52" t="str">
        <f aca="false">IF(OR(A48="",B48=""),"",IF(B48=RptSup,B48&amp;"|"&amp;COUNTIF($B$7:B48,B48),""))</f>
        <v/>
      </c>
    </row>
    <row r="49" customFormat="false" ht="15" hidden="false" customHeight="false" outlineLevel="0" collapsed="false">
      <c r="A49" s="50"/>
      <c r="B49" s="50"/>
      <c r="C49" s="59" t="str">
        <f aca="false">IF(B49="","",IFERROR(INDEX(INV_NAME,MATCH(B49,INV_ID,0)),"CHECK: Supplier ID not found"))</f>
        <v/>
      </c>
      <c r="D49" s="34"/>
      <c r="E49" s="34"/>
      <c r="F49" s="52" t="str">
        <f aca="false">IF(A49="","",IF(OR(E49="Supplier approval",E49="Conditional approval",E49="Approval deferred",E49="Supplier rejection"),"Yes","No"))</f>
        <v/>
      </c>
      <c r="G49" s="63" t="str">
        <f aca="false">IF(OR(A49="",D49=""),"",IFERROR(INDEX(RSK_RBAND,MATCH(D49,RSK_ID,0)),"CHECK: Risk ID not found"))</f>
        <v/>
      </c>
      <c r="H49" s="59" t="str">
        <f aca="false">IF(OR(A49="",D49=""),"",IFERROR(INDEX(RSK_APP,MATCH(D49,RSK_ID,0)),"CHECK: Risk ID not found"))</f>
        <v/>
      </c>
      <c r="I49" s="51"/>
      <c r="J49" s="34"/>
      <c r="K49" s="34"/>
      <c r="L49" s="34"/>
      <c r="M49" s="60"/>
      <c r="N49" s="34"/>
      <c r="O49" s="60"/>
      <c r="P49" s="34"/>
      <c r="Q49" s="64"/>
      <c r="R49" s="51"/>
      <c r="S49" s="60"/>
      <c r="T49" s="34"/>
      <c r="U49" s="50"/>
      <c r="V49" s="54" t="str">
        <f aca="false">IF(A49="","",IF(OR(O49="",O49="Not yet decided"),"Pending - no authorised decision",IF(OR(M49="",S49="",Q49=""),"Incomplete authorisation record - not treated as authorised",IF(OR(U49="Withdrawn",U49="Superseded"),"Not current ("&amp;U49&amp;")",IF(AND(ISNUMBER(R49),R49&lt;AsOf),"Expired - re-approval required",IF(AND(ISNUMBER(R49),R49&lt;=AsOf+WarnDecisionDays),"Review due soon","Authorised (user-entered record)"))))))</f>
        <v/>
      </c>
      <c r="W49" s="54" t="str">
        <f aca="false">IF(A49="","",IF(AND(OR(O49="Risk accepted",O49="Temporary exception granted"),LEFT(H49,5)="Above"),"Accepted exposure REMAINS above appetite - acceptance does not remove the breach",IF(AND(OR(O49="Risk accepted",O49="Temporary exception granted"),H49="Not configured"),"Appetite not configured - position cannot be confirmed","")))</f>
        <v/>
      </c>
      <c r="X49" s="52" t="str">
        <f aca="false">IF(AND(F49="Yes",ISNUMBER(I49),I49=_xlfn.MAXIFS(DEC_RECDATE,DEC_SUP,B49,DEC_LEVEL,"Yes")),B49&amp;"|Latest","")</f>
        <v/>
      </c>
      <c r="Y49" s="54" t="str">
        <f aca="false">IF(A49="","",IF(COUNTIF(DEC_ID,A49)&gt;1,"CHECK: duplicate ID",IF(B49="","CHECK: Supplier ID missing",IF(COUNTIF(INV_ID,B49)=0,"CHECK: Supplier ID not in inventory",IF(AND(D49&lt;&gt;"",COUNTIF(RSK_ID,D49)=0),"CHECK: Risk ID not found",IF(AND(D49&lt;&gt;"",COUNTIF(RSK_ID,D49)&gt;0,IFERROR(INDEX(RSK_SUP,MATCH(D49,RSK_ID,0)),"")&lt;&gt;B49),"CHECK: Risk belongs to a different supplier",IF(AND(F49="No",D49=""),"CHECK: risk ID required for risk-level decision","OK")))))))</f>
        <v/>
      </c>
      <c r="Z49" s="52" t="str">
        <f aca="false">IF(OR(A49="",B49=""),"",IF(B49=RptSup,B49&amp;"|"&amp;COUNTIF($B$7:B49,B49),""))</f>
        <v/>
      </c>
    </row>
    <row r="50" customFormat="false" ht="15" hidden="false" customHeight="false" outlineLevel="0" collapsed="false">
      <c r="A50" s="50"/>
      <c r="B50" s="50"/>
      <c r="C50" s="59" t="str">
        <f aca="false">IF(B50="","",IFERROR(INDEX(INV_NAME,MATCH(B50,INV_ID,0)),"CHECK: Supplier ID not found"))</f>
        <v/>
      </c>
      <c r="D50" s="34"/>
      <c r="E50" s="34"/>
      <c r="F50" s="52" t="str">
        <f aca="false">IF(A50="","",IF(OR(E50="Supplier approval",E50="Conditional approval",E50="Approval deferred",E50="Supplier rejection"),"Yes","No"))</f>
        <v/>
      </c>
      <c r="G50" s="63" t="str">
        <f aca="false">IF(OR(A50="",D50=""),"",IFERROR(INDEX(RSK_RBAND,MATCH(D50,RSK_ID,0)),"CHECK: Risk ID not found"))</f>
        <v/>
      </c>
      <c r="H50" s="59" t="str">
        <f aca="false">IF(OR(A50="",D50=""),"",IFERROR(INDEX(RSK_APP,MATCH(D50,RSK_ID,0)),"CHECK: Risk ID not found"))</f>
        <v/>
      </c>
      <c r="I50" s="51"/>
      <c r="J50" s="34"/>
      <c r="K50" s="34"/>
      <c r="L50" s="34"/>
      <c r="M50" s="60"/>
      <c r="N50" s="34"/>
      <c r="O50" s="60"/>
      <c r="P50" s="34"/>
      <c r="Q50" s="64"/>
      <c r="R50" s="51"/>
      <c r="S50" s="60"/>
      <c r="T50" s="34"/>
      <c r="U50" s="50"/>
      <c r="V50" s="54" t="str">
        <f aca="false">IF(A50="","",IF(OR(O50="",O50="Not yet decided"),"Pending - no authorised decision",IF(OR(M50="",S50="",Q50=""),"Incomplete authorisation record - not treated as authorised",IF(OR(U50="Withdrawn",U50="Superseded"),"Not current ("&amp;U50&amp;")",IF(AND(ISNUMBER(R50),R50&lt;AsOf),"Expired - re-approval required",IF(AND(ISNUMBER(R50),R50&lt;=AsOf+WarnDecisionDays),"Review due soon","Authorised (user-entered record)"))))))</f>
        <v/>
      </c>
      <c r="W50" s="54" t="str">
        <f aca="false">IF(A50="","",IF(AND(OR(O50="Risk accepted",O50="Temporary exception granted"),LEFT(H50,5)="Above"),"Accepted exposure REMAINS above appetite - acceptance does not remove the breach",IF(AND(OR(O50="Risk accepted",O50="Temporary exception granted"),H50="Not configured"),"Appetite not configured - position cannot be confirmed","")))</f>
        <v/>
      </c>
      <c r="X50" s="52" t="str">
        <f aca="false">IF(AND(F50="Yes",ISNUMBER(I50),I50=_xlfn.MAXIFS(DEC_RECDATE,DEC_SUP,B50,DEC_LEVEL,"Yes")),B50&amp;"|Latest","")</f>
        <v/>
      </c>
      <c r="Y50" s="54" t="str">
        <f aca="false">IF(A50="","",IF(COUNTIF(DEC_ID,A50)&gt;1,"CHECK: duplicate ID",IF(B50="","CHECK: Supplier ID missing",IF(COUNTIF(INV_ID,B50)=0,"CHECK: Supplier ID not in inventory",IF(AND(D50&lt;&gt;"",COUNTIF(RSK_ID,D50)=0),"CHECK: Risk ID not found",IF(AND(D50&lt;&gt;"",COUNTIF(RSK_ID,D50)&gt;0,IFERROR(INDEX(RSK_SUP,MATCH(D50,RSK_ID,0)),"")&lt;&gt;B50),"CHECK: Risk belongs to a different supplier",IF(AND(F50="No",D50=""),"CHECK: risk ID required for risk-level decision","OK")))))))</f>
        <v/>
      </c>
      <c r="Z50" s="52" t="str">
        <f aca="false">IF(OR(A50="",B50=""),"",IF(B50=RptSup,B50&amp;"|"&amp;COUNTIF($B$7:B50,B50),""))</f>
        <v/>
      </c>
    </row>
    <row r="51" customFormat="false" ht="15" hidden="false" customHeight="false" outlineLevel="0" collapsed="false">
      <c r="A51" s="50"/>
      <c r="B51" s="50"/>
      <c r="C51" s="59" t="str">
        <f aca="false">IF(B51="","",IFERROR(INDEX(INV_NAME,MATCH(B51,INV_ID,0)),"CHECK: Supplier ID not found"))</f>
        <v/>
      </c>
      <c r="D51" s="34"/>
      <c r="E51" s="34"/>
      <c r="F51" s="52" t="str">
        <f aca="false">IF(A51="","",IF(OR(E51="Supplier approval",E51="Conditional approval",E51="Approval deferred",E51="Supplier rejection"),"Yes","No"))</f>
        <v/>
      </c>
      <c r="G51" s="63" t="str">
        <f aca="false">IF(OR(A51="",D51=""),"",IFERROR(INDEX(RSK_RBAND,MATCH(D51,RSK_ID,0)),"CHECK: Risk ID not found"))</f>
        <v/>
      </c>
      <c r="H51" s="59" t="str">
        <f aca="false">IF(OR(A51="",D51=""),"",IFERROR(INDEX(RSK_APP,MATCH(D51,RSK_ID,0)),"CHECK: Risk ID not found"))</f>
        <v/>
      </c>
      <c r="I51" s="51"/>
      <c r="J51" s="34"/>
      <c r="K51" s="34"/>
      <c r="L51" s="34"/>
      <c r="M51" s="60"/>
      <c r="N51" s="34"/>
      <c r="O51" s="60"/>
      <c r="P51" s="34"/>
      <c r="Q51" s="64"/>
      <c r="R51" s="51"/>
      <c r="S51" s="60"/>
      <c r="T51" s="34"/>
      <c r="U51" s="50"/>
      <c r="V51" s="54" t="str">
        <f aca="false">IF(A51="","",IF(OR(O51="",O51="Not yet decided"),"Pending - no authorised decision",IF(OR(M51="",S51="",Q51=""),"Incomplete authorisation record - not treated as authorised",IF(OR(U51="Withdrawn",U51="Superseded"),"Not current ("&amp;U51&amp;")",IF(AND(ISNUMBER(R51),R51&lt;AsOf),"Expired - re-approval required",IF(AND(ISNUMBER(R51),R51&lt;=AsOf+WarnDecisionDays),"Review due soon","Authorised (user-entered record)"))))))</f>
        <v/>
      </c>
      <c r="W51" s="54" t="str">
        <f aca="false">IF(A51="","",IF(AND(OR(O51="Risk accepted",O51="Temporary exception granted"),LEFT(H51,5)="Above"),"Accepted exposure REMAINS above appetite - acceptance does not remove the breach",IF(AND(OR(O51="Risk accepted",O51="Temporary exception granted"),H51="Not configured"),"Appetite not configured - position cannot be confirmed","")))</f>
        <v/>
      </c>
      <c r="X51" s="52" t="str">
        <f aca="false">IF(AND(F51="Yes",ISNUMBER(I51),I51=_xlfn.MAXIFS(DEC_RECDATE,DEC_SUP,B51,DEC_LEVEL,"Yes")),B51&amp;"|Latest","")</f>
        <v/>
      </c>
      <c r="Y51" s="54" t="str">
        <f aca="false">IF(A51="","",IF(COUNTIF(DEC_ID,A51)&gt;1,"CHECK: duplicate ID",IF(B51="","CHECK: Supplier ID missing",IF(COUNTIF(INV_ID,B51)=0,"CHECK: Supplier ID not in inventory",IF(AND(D51&lt;&gt;"",COUNTIF(RSK_ID,D51)=0),"CHECK: Risk ID not found",IF(AND(D51&lt;&gt;"",COUNTIF(RSK_ID,D51)&gt;0,IFERROR(INDEX(RSK_SUP,MATCH(D51,RSK_ID,0)),"")&lt;&gt;B51),"CHECK: Risk belongs to a different supplier",IF(AND(F51="No",D51=""),"CHECK: risk ID required for risk-level decision","OK")))))))</f>
        <v/>
      </c>
      <c r="Z51" s="52" t="str">
        <f aca="false">IF(OR(A51="",B51=""),"",IF(B51=RptSup,B51&amp;"|"&amp;COUNTIF($B$7:B51,B51),""))</f>
        <v/>
      </c>
    </row>
    <row r="52" customFormat="false" ht="15" hidden="false" customHeight="false" outlineLevel="0" collapsed="false">
      <c r="A52" s="50"/>
      <c r="B52" s="50"/>
      <c r="C52" s="59" t="str">
        <f aca="false">IF(B52="","",IFERROR(INDEX(INV_NAME,MATCH(B52,INV_ID,0)),"CHECK: Supplier ID not found"))</f>
        <v/>
      </c>
      <c r="D52" s="34"/>
      <c r="E52" s="34"/>
      <c r="F52" s="52" t="str">
        <f aca="false">IF(A52="","",IF(OR(E52="Supplier approval",E52="Conditional approval",E52="Approval deferred",E52="Supplier rejection"),"Yes","No"))</f>
        <v/>
      </c>
      <c r="G52" s="63" t="str">
        <f aca="false">IF(OR(A52="",D52=""),"",IFERROR(INDEX(RSK_RBAND,MATCH(D52,RSK_ID,0)),"CHECK: Risk ID not found"))</f>
        <v/>
      </c>
      <c r="H52" s="59" t="str">
        <f aca="false">IF(OR(A52="",D52=""),"",IFERROR(INDEX(RSK_APP,MATCH(D52,RSK_ID,0)),"CHECK: Risk ID not found"))</f>
        <v/>
      </c>
      <c r="I52" s="51"/>
      <c r="J52" s="34"/>
      <c r="K52" s="34"/>
      <c r="L52" s="34"/>
      <c r="M52" s="60"/>
      <c r="N52" s="34"/>
      <c r="O52" s="60"/>
      <c r="P52" s="34"/>
      <c r="Q52" s="64"/>
      <c r="R52" s="51"/>
      <c r="S52" s="60"/>
      <c r="T52" s="34"/>
      <c r="U52" s="50"/>
      <c r="V52" s="54" t="str">
        <f aca="false">IF(A52="","",IF(OR(O52="",O52="Not yet decided"),"Pending - no authorised decision",IF(OR(M52="",S52="",Q52=""),"Incomplete authorisation record - not treated as authorised",IF(OR(U52="Withdrawn",U52="Superseded"),"Not current ("&amp;U52&amp;")",IF(AND(ISNUMBER(R52),R52&lt;AsOf),"Expired - re-approval required",IF(AND(ISNUMBER(R52),R52&lt;=AsOf+WarnDecisionDays),"Review due soon","Authorised (user-entered record)"))))))</f>
        <v/>
      </c>
      <c r="W52" s="54" t="str">
        <f aca="false">IF(A52="","",IF(AND(OR(O52="Risk accepted",O52="Temporary exception granted"),LEFT(H52,5)="Above"),"Accepted exposure REMAINS above appetite - acceptance does not remove the breach",IF(AND(OR(O52="Risk accepted",O52="Temporary exception granted"),H52="Not configured"),"Appetite not configured - position cannot be confirmed","")))</f>
        <v/>
      </c>
      <c r="X52" s="52" t="str">
        <f aca="false">IF(AND(F52="Yes",ISNUMBER(I52),I52=_xlfn.MAXIFS(DEC_RECDATE,DEC_SUP,B52,DEC_LEVEL,"Yes")),B52&amp;"|Latest","")</f>
        <v/>
      </c>
      <c r="Y52" s="54" t="str">
        <f aca="false">IF(A52="","",IF(COUNTIF(DEC_ID,A52)&gt;1,"CHECK: duplicate ID",IF(B52="","CHECK: Supplier ID missing",IF(COUNTIF(INV_ID,B52)=0,"CHECK: Supplier ID not in inventory",IF(AND(D52&lt;&gt;"",COUNTIF(RSK_ID,D52)=0),"CHECK: Risk ID not found",IF(AND(D52&lt;&gt;"",COUNTIF(RSK_ID,D52)&gt;0,IFERROR(INDEX(RSK_SUP,MATCH(D52,RSK_ID,0)),"")&lt;&gt;B52),"CHECK: Risk belongs to a different supplier",IF(AND(F52="No",D52=""),"CHECK: risk ID required for risk-level decision","OK")))))))</f>
        <v/>
      </c>
      <c r="Z52" s="52" t="str">
        <f aca="false">IF(OR(A52="",B52=""),"",IF(B52=RptSup,B52&amp;"|"&amp;COUNTIF($B$7:B52,B52),""))</f>
        <v/>
      </c>
    </row>
    <row r="53" customFormat="false" ht="15" hidden="false" customHeight="false" outlineLevel="0" collapsed="false">
      <c r="A53" s="50"/>
      <c r="B53" s="50"/>
      <c r="C53" s="59" t="str">
        <f aca="false">IF(B53="","",IFERROR(INDEX(INV_NAME,MATCH(B53,INV_ID,0)),"CHECK: Supplier ID not found"))</f>
        <v/>
      </c>
      <c r="D53" s="34"/>
      <c r="E53" s="34"/>
      <c r="F53" s="52" t="str">
        <f aca="false">IF(A53="","",IF(OR(E53="Supplier approval",E53="Conditional approval",E53="Approval deferred",E53="Supplier rejection"),"Yes","No"))</f>
        <v/>
      </c>
      <c r="G53" s="63" t="str">
        <f aca="false">IF(OR(A53="",D53=""),"",IFERROR(INDEX(RSK_RBAND,MATCH(D53,RSK_ID,0)),"CHECK: Risk ID not found"))</f>
        <v/>
      </c>
      <c r="H53" s="59" t="str">
        <f aca="false">IF(OR(A53="",D53=""),"",IFERROR(INDEX(RSK_APP,MATCH(D53,RSK_ID,0)),"CHECK: Risk ID not found"))</f>
        <v/>
      </c>
      <c r="I53" s="51"/>
      <c r="J53" s="34"/>
      <c r="K53" s="34"/>
      <c r="L53" s="34"/>
      <c r="M53" s="60"/>
      <c r="N53" s="34"/>
      <c r="O53" s="60"/>
      <c r="P53" s="34"/>
      <c r="Q53" s="64"/>
      <c r="R53" s="51"/>
      <c r="S53" s="60"/>
      <c r="T53" s="34"/>
      <c r="U53" s="50"/>
      <c r="V53" s="54" t="str">
        <f aca="false">IF(A53="","",IF(OR(O53="",O53="Not yet decided"),"Pending - no authorised decision",IF(OR(M53="",S53="",Q53=""),"Incomplete authorisation record - not treated as authorised",IF(OR(U53="Withdrawn",U53="Superseded"),"Not current ("&amp;U53&amp;")",IF(AND(ISNUMBER(R53),R53&lt;AsOf),"Expired - re-approval required",IF(AND(ISNUMBER(R53),R53&lt;=AsOf+WarnDecisionDays),"Review due soon","Authorised (user-entered record)"))))))</f>
        <v/>
      </c>
      <c r="W53" s="54" t="str">
        <f aca="false">IF(A53="","",IF(AND(OR(O53="Risk accepted",O53="Temporary exception granted"),LEFT(H53,5)="Above"),"Accepted exposure REMAINS above appetite - acceptance does not remove the breach",IF(AND(OR(O53="Risk accepted",O53="Temporary exception granted"),H53="Not configured"),"Appetite not configured - position cannot be confirmed","")))</f>
        <v/>
      </c>
      <c r="X53" s="52" t="str">
        <f aca="false">IF(AND(F53="Yes",ISNUMBER(I53),I53=_xlfn.MAXIFS(DEC_RECDATE,DEC_SUP,B53,DEC_LEVEL,"Yes")),B53&amp;"|Latest","")</f>
        <v/>
      </c>
      <c r="Y53" s="54" t="str">
        <f aca="false">IF(A53="","",IF(COUNTIF(DEC_ID,A53)&gt;1,"CHECK: duplicate ID",IF(B53="","CHECK: Supplier ID missing",IF(COUNTIF(INV_ID,B53)=0,"CHECK: Supplier ID not in inventory",IF(AND(D53&lt;&gt;"",COUNTIF(RSK_ID,D53)=0),"CHECK: Risk ID not found",IF(AND(D53&lt;&gt;"",COUNTIF(RSK_ID,D53)&gt;0,IFERROR(INDEX(RSK_SUP,MATCH(D53,RSK_ID,0)),"")&lt;&gt;B53),"CHECK: Risk belongs to a different supplier",IF(AND(F53="No",D53=""),"CHECK: risk ID required for risk-level decision","OK")))))))</f>
        <v/>
      </c>
      <c r="Z53" s="52" t="str">
        <f aca="false">IF(OR(A53="",B53=""),"",IF(B53=RptSup,B53&amp;"|"&amp;COUNTIF($B$7:B53,B53),""))</f>
        <v/>
      </c>
    </row>
    <row r="54" customFormat="false" ht="15" hidden="false" customHeight="false" outlineLevel="0" collapsed="false">
      <c r="A54" s="50"/>
      <c r="B54" s="50"/>
      <c r="C54" s="59" t="str">
        <f aca="false">IF(B54="","",IFERROR(INDEX(INV_NAME,MATCH(B54,INV_ID,0)),"CHECK: Supplier ID not found"))</f>
        <v/>
      </c>
      <c r="D54" s="34"/>
      <c r="E54" s="34"/>
      <c r="F54" s="52" t="str">
        <f aca="false">IF(A54="","",IF(OR(E54="Supplier approval",E54="Conditional approval",E54="Approval deferred",E54="Supplier rejection"),"Yes","No"))</f>
        <v/>
      </c>
      <c r="G54" s="63" t="str">
        <f aca="false">IF(OR(A54="",D54=""),"",IFERROR(INDEX(RSK_RBAND,MATCH(D54,RSK_ID,0)),"CHECK: Risk ID not found"))</f>
        <v/>
      </c>
      <c r="H54" s="59" t="str">
        <f aca="false">IF(OR(A54="",D54=""),"",IFERROR(INDEX(RSK_APP,MATCH(D54,RSK_ID,0)),"CHECK: Risk ID not found"))</f>
        <v/>
      </c>
      <c r="I54" s="51"/>
      <c r="J54" s="34"/>
      <c r="K54" s="34"/>
      <c r="L54" s="34"/>
      <c r="M54" s="60"/>
      <c r="N54" s="34"/>
      <c r="O54" s="60"/>
      <c r="P54" s="34"/>
      <c r="Q54" s="64"/>
      <c r="R54" s="51"/>
      <c r="S54" s="60"/>
      <c r="T54" s="34"/>
      <c r="U54" s="50"/>
      <c r="V54" s="54" t="str">
        <f aca="false">IF(A54="","",IF(OR(O54="",O54="Not yet decided"),"Pending - no authorised decision",IF(OR(M54="",S54="",Q54=""),"Incomplete authorisation record - not treated as authorised",IF(OR(U54="Withdrawn",U54="Superseded"),"Not current ("&amp;U54&amp;")",IF(AND(ISNUMBER(R54),R54&lt;AsOf),"Expired - re-approval required",IF(AND(ISNUMBER(R54),R54&lt;=AsOf+WarnDecisionDays),"Review due soon","Authorised (user-entered record)"))))))</f>
        <v/>
      </c>
      <c r="W54" s="54" t="str">
        <f aca="false">IF(A54="","",IF(AND(OR(O54="Risk accepted",O54="Temporary exception granted"),LEFT(H54,5)="Above"),"Accepted exposure REMAINS above appetite - acceptance does not remove the breach",IF(AND(OR(O54="Risk accepted",O54="Temporary exception granted"),H54="Not configured"),"Appetite not configured - position cannot be confirmed","")))</f>
        <v/>
      </c>
      <c r="X54" s="52" t="str">
        <f aca="false">IF(AND(F54="Yes",ISNUMBER(I54),I54=_xlfn.MAXIFS(DEC_RECDATE,DEC_SUP,B54,DEC_LEVEL,"Yes")),B54&amp;"|Latest","")</f>
        <v/>
      </c>
      <c r="Y54" s="54" t="str">
        <f aca="false">IF(A54="","",IF(COUNTIF(DEC_ID,A54)&gt;1,"CHECK: duplicate ID",IF(B54="","CHECK: Supplier ID missing",IF(COUNTIF(INV_ID,B54)=0,"CHECK: Supplier ID not in inventory",IF(AND(D54&lt;&gt;"",COUNTIF(RSK_ID,D54)=0),"CHECK: Risk ID not found",IF(AND(D54&lt;&gt;"",COUNTIF(RSK_ID,D54)&gt;0,IFERROR(INDEX(RSK_SUP,MATCH(D54,RSK_ID,0)),"")&lt;&gt;B54),"CHECK: Risk belongs to a different supplier",IF(AND(F54="No",D54=""),"CHECK: risk ID required for risk-level decision","OK")))))))</f>
        <v/>
      </c>
      <c r="Z54" s="52" t="str">
        <f aca="false">IF(OR(A54="",B54=""),"",IF(B54=RptSup,B54&amp;"|"&amp;COUNTIF($B$7:B54,B54),""))</f>
        <v/>
      </c>
    </row>
    <row r="55" customFormat="false" ht="15" hidden="false" customHeight="false" outlineLevel="0" collapsed="false">
      <c r="A55" s="50"/>
      <c r="B55" s="50"/>
      <c r="C55" s="59" t="str">
        <f aca="false">IF(B55="","",IFERROR(INDEX(INV_NAME,MATCH(B55,INV_ID,0)),"CHECK: Supplier ID not found"))</f>
        <v/>
      </c>
      <c r="D55" s="34"/>
      <c r="E55" s="34"/>
      <c r="F55" s="52" t="str">
        <f aca="false">IF(A55="","",IF(OR(E55="Supplier approval",E55="Conditional approval",E55="Approval deferred",E55="Supplier rejection"),"Yes","No"))</f>
        <v/>
      </c>
      <c r="G55" s="63" t="str">
        <f aca="false">IF(OR(A55="",D55=""),"",IFERROR(INDEX(RSK_RBAND,MATCH(D55,RSK_ID,0)),"CHECK: Risk ID not found"))</f>
        <v/>
      </c>
      <c r="H55" s="59" t="str">
        <f aca="false">IF(OR(A55="",D55=""),"",IFERROR(INDEX(RSK_APP,MATCH(D55,RSK_ID,0)),"CHECK: Risk ID not found"))</f>
        <v/>
      </c>
      <c r="I55" s="51"/>
      <c r="J55" s="34"/>
      <c r="K55" s="34"/>
      <c r="L55" s="34"/>
      <c r="M55" s="60"/>
      <c r="N55" s="34"/>
      <c r="O55" s="60"/>
      <c r="P55" s="34"/>
      <c r="Q55" s="64"/>
      <c r="R55" s="51"/>
      <c r="S55" s="60"/>
      <c r="T55" s="34"/>
      <c r="U55" s="50"/>
      <c r="V55" s="54" t="str">
        <f aca="false">IF(A55="","",IF(OR(O55="",O55="Not yet decided"),"Pending - no authorised decision",IF(OR(M55="",S55="",Q55=""),"Incomplete authorisation record - not treated as authorised",IF(OR(U55="Withdrawn",U55="Superseded"),"Not current ("&amp;U55&amp;")",IF(AND(ISNUMBER(R55),R55&lt;AsOf),"Expired - re-approval required",IF(AND(ISNUMBER(R55),R55&lt;=AsOf+WarnDecisionDays),"Review due soon","Authorised (user-entered record)"))))))</f>
        <v/>
      </c>
      <c r="W55" s="54" t="str">
        <f aca="false">IF(A55="","",IF(AND(OR(O55="Risk accepted",O55="Temporary exception granted"),LEFT(H55,5)="Above"),"Accepted exposure REMAINS above appetite - acceptance does not remove the breach",IF(AND(OR(O55="Risk accepted",O55="Temporary exception granted"),H55="Not configured"),"Appetite not configured - position cannot be confirmed","")))</f>
        <v/>
      </c>
      <c r="X55" s="52" t="str">
        <f aca="false">IF(AND(F55="Yes",ISNUMBER(I55),I55=_xlfn.MAXIFS(DEC_RECDATE,DEC_SUP,B55,DEC_LEVEL,"Yes")),B55&amp;"|Latest","")</f>
        <v/>
      </c>
      <c r="Y55" s="54" t="str">
        <f aca="false">IF(A55="","",IF(COUNTIF(DEC_ID,A55)&gt;1,"CHECK: duplicate ID",IF(B55="","CHECK: Supplier ID missing",IF(COUNTIF(INV_ID,B55)=0,"CHECK: Supplier ID not in inventory",IF(AND(D55&lt;&gt;"",COUNTIF(RSK_ID,D55)=0),"CHECK: Risk ID not found",IF(AND(D55&lt;&gt;"",COUNTIF(RSK_ID,D55)&gt;0,IFERROR(INDEX(RSK_SUP,MATCH(D55,RSK_ID,0)),"")&lt;&gt;B55),"CHECK: Risk belongs to a different supplier",IF(AND(F55="No",D55=""),"CHECK: risk ID required for risk-level decision","OK")))))))</f>
        <v/>
      </c>
      <c r="Z55" s="52" t="str">
        <f aca="false">IF(OR(A55="",B55=""),"",IF(B55=RptSup,B55&amp;"|"&amp;COUNTIF($B$7:B55,B55),""))</f>
        <v/>
      </c>
    </row>
    <row r="56" customFormat="false" ht="15" hidden="false" customHeight="false" outlineLevel="0" collapsed="false">
      <c r="A56" s="50"/>
      <c r="B56" s="50"/>
      <c r="C56" s="59" t="str">
        <f aca="false">IF(B56="","",IFERROR(INDEX(INV_NAME,MATCH(B56,INV_ID,0)),"CHECK: Supplier ID not found"))</f>
        <v/>
      </c>
      <c r="D56" s="34"/>
      <c r="E56" s="34"/>
      <c r="F56" s="52" t="str">
        <f aca="false">IF(A56="","",IF(OR(E56="Supplier approval",E56="Conditional approval",E56="Approval deferred",E56="Supplier rejection"),"Yes","No"))</f>
        <v/>
      </c>
      <c r="G56" s="63" t="str">
        <f aca="false">IF(OR(A56="",D56=""),"",IFERROR(INDEX(RSK_RBAND,MATCH(D56,RSK_ID,0)),"CHECK: Risk ID not found"))</f>
        <v/>
      </c>
      <c r="H56" s="59" t="str">
        <f aca="false">IF(OR(A56="",D56=""),"",IFERROR(INDEX(RSK_APP,MATCH(D56,RSK_ID,0)),"CHECK: Risk ID not found"))</f>
        <v/>
      </c>
      <c r="I56" s="51"/>
      <c r="J56" s="34"/>
      <c r="K56" s="34"/>
      <c r="L56" s="34"/>
      <c r="M56" s="60"/>
      <c r="N56" s="34"/>
      <c r="O56" s="60"/>
      <c r="P56" s="34"/>
      <c r="Q56" s="64"/>
      <c r="R56" s="51"/>
      <c r="S56" s="60"/>
      <c r="T56" s="34"/>
      <c r="U56" s="50"/>
      <c r="V56" s="54" t="str">
        <f aca="false">IF(A56="","",IF(OR(O56="",O56="Not yet decided"),"Pending - no authorised decision",IF(OR(M56="",S56="",Q56=""),"Incomplete authorisation record - not treated as authorised",IF(OR(U56="Withdrawn",U56="Superseded"),"Not current ("&amp;U56&amp;")",IF(AND(ISNUMBER(R56),R56&lt;AsOf),"Expired - re-approval required",IF(AND(ISNUMBER(R56),R56&lt;=AsOf+WarnDecisionDays),"Review due soon","Authorised (user-entered record)"))))))</f>
        <v/>
      </c>
      <c r="W56" s="54" t="str">
        <f aca="false">IF(A56="","",IF(AND(OR(O56="Risk accepted",O56="Temporary exception granted"),LEFT(H56,5)="Above"),"Accepted exposure REMAINS above appetite - acceptance does not remove the breach",IF(AND(OR(O56="Risk accepted",O56="Temporary exception granted"),H56="Not configured"),"Appetite not configured - position cannot be confirmed","")))</f>
        <v/>
      </c>
      <c r="X56" s="52" t="str">
        <f aca="false">IF(AND(F56="Yes",ISNUMBER(I56),I56=_xlfn.MAXIFS(DEC_RECDATE,DEC_SUP,B56,DEC_LEVEL,"Yes")),B56&amp;"|Latest","")</f>
        <v/>
      </c>
      <c r="Y56" s="54" t="str">
        <f aca="false">IF(A56="","",IF(COUNTIF(DEC_ID,A56)&gt;1,"CHECK: duplicate ID",IF(B56="","CHECK: Supplier ID missing",IF(COUNTIF(INV_ID,B56)=0,"CHECK: Supplier ID not in inventory",IF(AND(D56&lt;&gt;"",COUNTIF(RSK_ID,D56)=0),"CHECK: Risk ID not found",IF(AND(D56&lt;&gt;"",COUNTIF(RSK_ID,D56)&gt;0,IFERROR(INDEX(RSK_SUP,MATCH(D56,RSK_ID,0)),"")&lt;&gt;B56),"CHECK: Risk belongs to a different supplier",IF(AND(F56="No",D56=""),"CHECK: risk ID required for risk-level decision","OK")))))))</f>
        <v/>
      </c>
      <c r="Z56" s="52" t="str">
        <f aca="false">IF(OR(A56="",B56=""),"",IF(B56=RptSup,B56&amp;"|"&amp;COUNTIF($B$7:B56,B56),""))</f>
        <v/>
      </c>
    </row>
    <row r="57" customFormat="false" ht="15" hidden="false" customHeight="false" outlineLevel="0" collapsed="false">
      <c r="A57" s="50"/>
      <c r="B57" s="50"/>
      <c r="C57" s="59" t="str">
        <f aca="false">IF(B57="","",IFERROR(INDEX(INV_NAME,MATCH(B57,INV_ID,0)),"CHECK: Supplier ID not found"))</f>
        <v/>
      </c>
      <c r="D57" s="34"/>
      <c r="E57" s="34"/>
      <c r="F57" s="52" t="str">
        <f aca="false">IF(A57="","",IF(OR(E57="Supplier approval",E57="Conditional approval",E57="Approval deferred",E57="Supplier rejection"),"Yes","No"))</f>
        <v/>
      </c>
      <c r="G57" s="63" t="str">
        <f aca="false">IF(OR(A57="",D57=""),"",IFERROR(INDEX(RSK_RBAND,MATCH(D57,RSK_ID,0)),"CHECK: Risk ID not found"))</f>
        <v/>
      </c>
      <c r="H57" s="59" t="str">
        <f aca="false">IF(OR(A57="",D57=""),"",IFERROR(INDEX(RSK_APP,MATCH(D57,RSK_ID,0)),"CHECK: Risk ID not found"))</f>
        <v/>
      </c>
      <c r="I57" s="51"/>
      <c r="J57" s="34"/>
      <c r="K57" s="34"/>
      <c r="L57" s="34"/>
      <c r="M57" s="60"/>
      <c r="N57" s="34"/>
      <c r="O57" s="60"/>
      <c r="P57" s="34"/>
      <c r="Q57" s="64"/>
      <c r="R57" s="51"/>
      <c r="S57" s="60"/>
      <c r="T57" s="34"/>
      <c r="U57" s="50"/>
      <c r="V57" s="54" t="str">
        <f aca="false">IF(A57="","",IF(OR(O57="",O57="Not yet decided"),"Pending - no authorised decision",IF(OR(M57="",S57="",Q57=""),"Incomplete authorisation record - not treated as authorised",IF(OR(U57="Withdrawn",U57="Superseded"),"Not current ("&amp;U57&amp;")",IF(AND(ISNUMBER(R57),R57&lt;AsOf),"Expired - re-approval required",IF(AND(ISNUMBER(R57),R57&lt;=AsOf+WarnDecisionDays),"Review due soon","Authorised (user-entered record)"))))))</f>
        <v/>
      </c>
      <c r="W57" s="54" t="str">
        <f aca="false">IF(A57="","",IF(AND(OR(O57="Risk accepted",O57="Temporary exception granted"),LEFT(H57,5)="Above"),"Accepted exposure REMAINS above appetite - acceptance does not remove the breach",IF(AND(OR(O57="Risk accepted",O57="Temporary exception granted"),H57="Not configured"),"Appetite not configured - position cannot be confirmed","")))</f>
        <v/>
      </c>
      <c r="X57" s="52" t="str">
        <f aca="false">IF(AND(F57="Yes",ISNUMBER(I57),I57=_xlfn.MAXIFS(DEC_RECDATE,DEC_SUP,B57,DEC_LEVEL,"Yes")),B57&amp;"|Latest","")</f>
        <v/>
      </c>
      <c r="Y57" s="54" t="str">
        <f aca="false">IF(A57="","",IF(COUNTIF(DEC_ID,A57)&gt;1,"CHECK: duplicate ID",IF(B57="","CHECK: Supplier ID missing",IF(COUNTIF(INV_ID,B57)=0,"CHECK: Supplier ID not in inventory",IF(AND(D57&lt;&gt;"",COUNTIF(RSK_ID,D57)=0),"CHECK: Risk ID not found",IF(AND(D57&lt;&gt;"",COUNTIF(RSK_ID,D57)&gt;0,IFERROR(INDEX(RSK_SUP,MATCH(D57,RSK_ID,0)),"")&lt;&gt;B57),"CHECK: Risk belongs to a different supplier",IF(AND(F57="No",D57=""),"CHECK: risk ID required for risk-level decision","OK")))))))</f>
        <v/>
      </c>
      <c r="Z57" s="52" t="str">
        <f aca="false">IF(OR(A57="",B57=""),"",IF(B57=RptSup,B57&amp;"|"&amp;COUNTIF($B$7:B57,B57),""))</f>
        <v/>
      </c>
    </row>
    <row r="58" customFormat="false" ht="15" hidden="false" customHeight="false" outlineLevel="0" collapsed="false">
      <c r="A58" s="50"/>
      <c r="B58" s="50"/>
      <c r="C58" s="59" t="str">
        <f aca="false">IF(B58="","",IFERROR(INDEX(INV_NAME,MATCH(B58,INV_ID,0)),"CHECK: Supplier ID not found"))</f>
        <v/>
      </c>
      <c r="D58" s="34"/>
      <c r="E58" s="34"/>
      <c r="F58" s="52" t="str">
        <f aca="false">IF(A58="","",IF(OR(E58="Supplier approval",E58="Conditional approval",E58="Approval deferred",E58="Supplier rejection"),"Yes","No"))</f>
        <v/>
      </c>
      <c r="G58" s="63" t="str">
        <f aca="false">IF(OR(A58="",D58=""),"",IFERROR(INDEX(RSK_RBAND,MATCH(D58,RSK_ID,0)),"CHECK: Risk ID not found"))</f>
        <v/>
      </c>
      <c r="H58" s="59" t="str">
        <f aca="false">IF(OR(A58="",D58=""),"",IFERROR(INDEX(RSK_APP,MATCH(D58,RSK_ID,0)),"CHECK: Risk ID not found"))</f>
        <v/>
      </c>
      <c r="I58" s="51"/>
      <c r="J58" s="34"/>
      <c r="K58" s="34"/>
      <c r="L58" s="34"/>
      <c r="M58" s="60"/>
      <c r="N58" s="34"/>
      <c r="O58" s="60"/>
      <c r="P58" s="34"/>
      <c r="Q58" s="64"/>
      <c r="R58" s="51"/>
      <c r="S58" s="60"/>
      <c r="T58" s="34"/>
      <c r="U58" s="50"/>
      <c r="V58" s="54" t="str">
        <f aca="false">IF(A58="","",IF(OR(O58="",O58="Not yet decided"),"Pending - no authorised decision",IF(OR(M58="",S58="",Q58=""),"Incomplete authorisation record - not treated as authorised",IF(OR(U58="Withdrawn",U58="Superseded"),"Not current ("&amp;U58&amp;")",IF(AND(ISNUMBER(R58),R58&lt;AsOf),"Expired - re-approval required",IF(AND(ISNUMBER(R58),R58&lt;=AsOf+WarnDecisionDays),"Review due soon","Authorised (user-entered record)"))))))</f>
        <v/>
      </c>
      <c r="W58" s="54" t="str">
        <f aca="false">IF(A58="","",IF(AND(OR(O58="Risk accepted",O58="Temporary exception granted"),LEFT(H58,5)="Above"),"Accepted exposure REMAINS above appetite - acceptance does not remove the breach",IF(AND(OR(O58="Risk accepted",O58="Temporary exception granted"),H58="Not configured"),"Appetite not configured - position cannot be confirmed","")))</f>
        <v/>
      </c>
      <c r="X58" s="52" t="str">
        <f aca="false">IF(AND(F58="Yes",ISNUMBER(I58),I58=_xlfn.MAXIFS(DEC_RECDATE,DEC_SUP,B58,DEC_LEVEL,"Yes")),B58&amp;"|Latest","")</f>
        <v/>
      </c>
      <c r="Y58" s="54" t="str">
        <f aca="false">IF(A58="","",IF(COUNTIF(DEC_ID,A58)&gt;1,"CHECK: duplicate ID",IF(B58="","CHECK: Supplier ID missing",IF(COUNTIF(INV_ID,B58)=0,"CHECK: Supplier ID not in inventory",IF(AND(D58&lt;&gt;"",COUNTIF(RSK_ID,D58)=0),"CHECK: Risk ID not found",IF(AND(D58&lt;&gt;"",COUNTIF(RSK_ID,D58)&gt;0,IFERROR(INDEX(RSK_SUP,MATCH(D58,RSK_ID,0)),"")&lt;&gt;B58),"CHECK: Risk belongs to a different supplier",IF(AND(F58="No",D58=""),"CHECK: risk ID required for risk-level decision","OK")))))))</f>
        <v/>
      </c>
      <c r="Z58" s="52" t="str">
        <f aca="false">IF(OR(A58="",B58=""),"",IF(B58=RptSup,B58&amp;"|"&amp;COUNTIF($B$7:B58,B58),""))</f>
        <v/>
      </c>
    </row>
    <row r="59" customFormat="false" ht="15" hidden="false" customHeight="false" outlineLevel="0" collapsed="false">
      <c r="A59" s="50"/>
      <c r="B59" s="50"/>
      <c r="C59" s="59" t="str">
        <f aca="false">IF(B59="","",IFERROR(INDEX(INV_NAME,MATCH(B59,INV_ID,0)),"CHECK: Supplier ID not found"))</f>
        <v/>
      </c>
      <c r="D59" s="34"/>
      <c r="E59" s="34"/>
      <c r="F59" s="52" t="str">
        <f aca="false">IF(A59="","",IF(OR(E59="Supplier approval",E59="Conditional approval",E59="Approval deferred",E59="Supplier rejection"),"Yes","No"))</f>
        <v/>
      </c>
      <c r="G59" s="63" t="str">
        <f aca="false">IF(OR(A59="",D59=""),"",IFERROR(INDEX(RSK_RBAND,MATCH(D59,RSK_ID,0)),"CHECK: Risk ID not found"))</f>
        <v/>
      </c>
      <c r="H59" s="59" t="str">
        <f aca="false">IF(OR(A59="",D59=""),"",IFERROR(INDEX(RSK_APP,MATCH(D59,RSK_ID,0)),"CHECK: Risk ID not found"))</f>
        <v/>
      </c>
      <c r="I59" s="51"/>
      <c r="J59" s="34"/>
      <c r="K59" s="34"/>
      <c r="L59" s="34"/>
      <c r="M59" s="60"/>
      <c r="N59" s="34"/>
      <c r="O59" s="60"/>
      <c r="P59" s="34"/>
      <c r="Q59" s="64"/>
      <c r="R59" s="51"/>
      <c r="S59" s="60"/>
      <c r="T59" s="34"/>
      <c r="U59" s="50"/>
      <c r="V59" s="54" t="str">
        <f aca="false">IF(A59="","",IF(OR(O59="",O59="Not yet decided"),"Pending - no authorised decision",IF(OR(M59="",S59="",Q59=""),"Incomplete authorisation record - not treated as authorised",IF(OR(U59="Withdrawn",U59="Superseded"),"Not current ("&amp;U59&amp;")",IF(AND(ISNUMBER(R59),R59&lt;AsOf),"Expired - re-approval required",IF(AND(ISNUMBER(R59),R59&lt;=AsOf+WarnDecisionDays),"Review due soon","Authorised (user-entered record)"))))))</f>
        <v/>
      </c>
      <c r="W59" s="54" t="str">
        <f aca="false">IF(A59="","",IF(AND(OR(O59="Risk accepted",O59="Temporary exception granted"),LEFT(H59,5)="Above"),"Accepted exposure REMAINS above appetite - acceptance does not remove the breach",IF(AND(OR(O59="Risk accepted",O59="Temporary exception granted"),H59="Not configured"),"Appetite not configured - position cannot be confirmed","")))</f>
        <v/>
      </c>
      <c r="X59" s="52" t="str">
        <f aca="false">IF(AND(F59="Yes",ISNUMBER(I59),I59=_xlfn.MAXIFS(DEC_RECDATE,DEC_SUP,B59,DEC_LEVEL,"Yes")),B59&amp;"|Latest","")</f>
        <v/>
      </c>
      <c r="Y59" s="54" t="str">
        <f aca="false">IF(A59="","",IF(COUNTIF(DEC_ID,A59)&gt;1,"CHECK: duplicate ID",IF(B59="","CHECK: Supplier ID missing",IF(COUNTIF(INV_ID,B59)=0,"CHECK: Supplier ID not in inventory",IF(AND(D59&lt;&gt;"",COUNTIF(RSK_ID,D59)=0),"CHECK: Risk ID not found",IF(AND(D59&lt;&gt;"",COUNTIF(RSK_ID,D59)&gt;0,IFERROR(INDEX(RSK_SUP,MATCH(D59,RSK_ID,0)),"")&lt;&gt;B59),"CHECK: Risk belongs to a different supplier",IF(AND(F59="No",D59=""),"CHECK: risk ID required for risk-level decision","OK")))))))</f>
        <v/>
      </c>
      <c r="Z59" s="52" t="str">
        <f aca="false">IF(OR(A59="",B59=""),"",IF(B59=RptSup,B59&amp;"|"&amp;COUNTIF($B$7:B59,B59),""))</f>
        <v/>
      </c>
    </row>
    <row r="60" customFormat="false" ht="15" hidden="false" customHeight="false" outlineLevel="0" collapsed="false">
      <c r="A60" s="50"/>
      <c r="B60" s="50"/>
      <c r="C60" s="59" t="str">
        <f aca="false">IF(B60="","",IFERROR(INDEX(INV_NAME,MATCH(B60,INV_ID,0)),"CHECK: Supplier ID not found"))</f>
        <v/>
      </c>
      <c r="D60" s="34"/>
      <c r="E60" s="34"/>
      <c r="F60" s="52" t="str">
        <f aca="false">IF(A60="","",IF(OR(E60="Supplier approval",E60="Conditional approval",E60="Approval deferred",E60="Supplier rejection"),"Yes","No"))</f>
        <v/>
      </c>
      <c r="G60" s="63" t="str">
        <f aca="false">IF(OR(A60="",D60=""),"",IFERROR(INDEX(RSK_RBAND,MATCH(D60,RSK_ID,0)),"CHECK: Risk ID not found"))</f>
        <v/>
      </c>
      <c r="H60" s="59" t="str">
        <f aca="false">IF(OR(A60="",D60=""),"",IFERROR(INDEX(RSK_APP,MATCH(D60,RSK_ID,0)),"CHECK: Risk ID not found"))</f>
        <v/>
      </c>
      <c r="I60" s="51"/>
      <c r="J60" s="34"/>
      <c r="K60" s="34"/>
      <c r="L60" s="34"/>
      <c r="M60" s="60"/>
      <c r="N60" s="34"/>
      <c r="O60" s="60"/>
      <c r="P60" s="34"/>
      <c r="Q60" s="64"/>
      <c r="R60" s="51"/>
      <c r="S60" s="60"/>
      <c r="T60" s="34"/>
      <c r="U60" s="50"/>
      <c r="V60" s="54" t="str">
        <f aca="false">IF(A60="","",IF(OR(O60="",O60="Not yet decided"),"Pending - no authorised decision",IF(OR(M60="",S60="",Q60=""),"Incomplete authorisation record - not treated as authorised",IF(OR(U60="Withdrawn",U60="Superseded"),"Not current ("&amp;U60&amp;")",IF(AND(ISNUMBER(R60),R60&lt;AsOf),"Expired - re-approval required",IF(AND(ISNUMBER(R60),R60&lt;=AsOf+WarnDecisionDays),"Review due soon","Authorised (user-entered record)"))))))</f>
        <v/>
      </c>
      <c r="W60" s="54" t="str">
        <f aca="false">IF(A60="","",IF(AND(OR(O60="Risk accepted",O60="Temporary exception granted"),LEFT(H60,5)="Above"),"Accepted exposure REMAINS above appetite - acceptance does not remove the breach",IF(AND(OR(O60="Risk accepted",O60="Temporary exception granted"),H60="Not configured"),"Appetite not configured - position cannot be confirmed","")))</f>
        <v/>
      </c>
      <c r="X60" s="52" t="str">
        <f aca="false">IF(AND(F60="Yes",ISNUMBER(I60),I60=_xlfn.MAXIFS(DEC_RECDATE,DEC_SUP,B60,DEC_LEVEL,"Yes")),B60&amp;"|Latest","")</f>
        <v/>
      </c>
      <c r="Y60" s="54" t="str">
        <f aca="false">IF(A60="","",IF(COUNTIF(DEC_ID,A60)&gt;1,"CHECK: duplicate ID",IF(B60="","CHECK: Supplier ID missing",IF(COUNTIF(INV_ID,B60)=0,"CHECK: Supplier ID not in inventory",IF(AND(D60&lt;&gt;"",COUNTIF(RSK_ID,D60)=0),"CHECK: Risk ID not found",IF(AND(D60&lt;&gt;"",COUNTIF(RSK_ID,D60)&gt;0,IFERROR(INDEX(RSK_SUP,MATCH(D60,RSK_ID,0)),"")&lt;&gt;B60),"CHECK: Risk belongs to a different supplier",IF(AND(F60="No",D60=""),"CHECK: risk ID required for risk-level decision","OK")))))))</f>
        <v/>
      </c>
      <c r="Z60" s="52" t="str">
        <f aca="false">IF(OR(A60="",B60=""),"",IF(B60=RptSup,B60&amp;"|"&amp;COUNTIF($B$7:B60,B60),""))</f>
        <v/>
      </c>
    </row>
    <row r="61" customFormat="false" ht="15" hidden="false" customHeight="false" outlineLevel="0" collapsed="false">
      <c r="A61" s="50"/>
      <c r="B61" s="50"/>
      <c r="C61" s="59" t="str">
        <f aca="false">IF(B61="","",IFERROR(INDEX(INV_NAME,MATCH(B61,INV_ID,0)),"CHECK: Supplier ID not found"))</f>
        <v/>
      </c>
      <c r="D61" s="34"/>
      <c r="E61" s="34"/>
      <c r="F61" s="52" t="str">
        <f aca="false">IF(A61="","",IF(OR(E61="Supplier approval",E61="Conditional approval",E61="Approval deferred",E61="Supplier rejection"),"Yes","No"))</f>
        <v/>
      </c>
      <c r="G61" s="63" t="str">
        <f aca="false">IF(OR(A61="",D61=""),"",IFERROR(INDEX(RSK_RBAND,MATCH(D61,RSK_ID,0)),"CHECK: Risk ID not found"))</f>
        <v/>
      </c>
      <c r="H61" s="59" t="str">
        <f aca="false">IF(OR(A61="",D61=""),"",IFERROR(INDEX(RSK_APP,MATCH(D61,RSK_ID,0)),"CHECK: Risk ID not found"))</f>
        <v/>
      </c>
      <c r="I61" s="51"/>
      <c r="J61" s="34"/>
      <c r="K61" s="34"/>
      <c r="L61" s="34"/>
      <c r="M61" s="60"/>
      <c r="N61" s="34"/>
      <c r="O61" s="60"/>
      <c r="P61" s="34"/>
      <c r="Q61" s="64"/>
      <c r="R61" s="51"/>
      <c r="S61" s="60"/>
      <c r="T61" s="34"/>
      <c r="U61" s="50"/>
      <c r="V61" s="54" t="str">
        <f aca="false">IF(A61="","",IF(OR(O61="",O61="Not yet decided"),"Pending - no authorised decision",IF(OR(M61="",S61="",Q61=""),"Incomplete authorisation record - not treated as authorised",IF(OR(U61="Withdrawn",U61="Superseded"),"Not current ("&amp;U61&amp;")",IF(AND(ISNUMBER(R61),R61&lt;AsOf),"Expired - re-approval required",IF(AND(ISNUMBER(R61),R61&lt;=AsOf+WarnDecisionDays),"Review due soon","Authorised (user-entered record)"))))))</f>
        <v/>
      </c>
      <c r="W61" s="54" t="str">
        <f aca="false">IF(A61="","",IF(AND(OR(O61="Risk accepted",O61="Temporary exception granted"),LEFT(H61,5)="Above"),"Accepted exposure REMAINS above appetite - acceptance does not remove the breach",IF(AND(OR(O61="Risk accepted",O61="Temporary exception granted"),H61="Not configured"),"Appetite not configured - position cannot be confirmed","")))</f>
        <v/>
      </c>
      <c r="X61" s="52" t="str">
        <f aca="false">IF(AND(F61="Yes",ISNUMBER(I61),I61=_xlfn.MAXIFS(DEC_RECDATE,DEC_SUP,B61,DEC_LEVEL,"Yes")),B61&amp;"|Latest","")</f>
        <v/>
      </c>
      <c r="Y61" s="54" t="str">
        <f aca="false">IF(A61="","",IF(COUNTIF(DEC_ID,A61)&gt;1,"CHECK: duplicate ID",IF(B61="","CHECK: Supplier ID missing",IF(COUNTIF(INV_ID,B61)=0,"CHECK: Supplier ID not in inventory",IF(AND(D61&lt;&gt;"",COUNTIF(RSK_ID,D61)=0),"CHECK: Risk ID not found",IF(AND(D61&lt;&gt;"",COUNTIF(RSK_ID,D61)&gt;0,IFERROR(INDEX(RSK_SUP,MATCH(D61,RSK_ID,0)),"")&lt;&gt;B61),"CHECK: Risk belongs to a different supplier",IF(AND(F61="No",D61=""),"CHECK: risk ID required for risk-level decision","OK")))))))</f>
        <v/>
      </c>
      <c r="Z61" s="52" t="str">
        <f aca="false">IF(OR(A61="",B61=""),"",IF(B61=RptSup,B61&amp;"|"&amp;COUNTIF($B$7:B61,B61),""))</f>
        <v/>
      </c>
    </row>
    <row r="62" customFormat="false" ht="15" hidden="false" customHeight="false" outlineLevel="0" collapsed="false">
      <c r="A62" s="50"/>
      <c r="B62" s="50"/>
      <c r="C62" s="59" t="str">
        <f aca="false">IF(B62="","",IFERROR(INDEX(INV_NAME,MATCH(B62,INV_ID,0)),"CHECK: Supplier ID not found"))</f>
        <v/>
      </c>
      <c r="D62" s="34"/>
      <c r="E62" s="34"/>
      <c r="F62" s="52" t="str">
        <f aca="false">IF(A62="","",IF(OR(E62="Supplier approval",E62="Conditional approval",E62="Approval deferred",E62="Supplier rejection"),"Yes","No"))</f>
        <v/>
      </c>
      <c r="G62" s="63" t="str">
        <f aca="false">IF(OR(A62="",D62=""),"",IFERROR(INDEX(RSK_RBAND,MATCH(D62,RSK_ID,0)),"CHECK: Risk ID not found"))</f>
        <v/>
      </c>
      <c r="H62" s="59" t="str">
        <f aca="false">IF(OR(A62="",D62=""),"",IFERROR(INDEX(RSK_APP,MATCH(D62,RSK_ID,0)),"CHECK: Risk ID not found"))</f>
        <v/>
      </c>
      <c r="I62" s="51"/>
      <c r="J62" s="34"/>
      <c r="K62" s="34"/>
      <c r="L62" s="34"/>
      <c r="M62" s="60"/>
      <c r="N62" s="34"/>
      <c r="O62" s="60"/>
      <c r="P62" s="34"/>
      <c r="Q62" s="64"/>
      <c r="R62" s="51"/>
      <c r="S62" s="60"/>
      <c r="T62" s="34"/>
      <c r="U62" s="50"/>
      <c r="V62" s="54" t="str">
        <f aca="false">IF(A62="","",IF(OR(O62="",O62="Not yet decided"),"Pending - no authorised decision",IF(OR(M62="",S62="",Q62=""),"Incomplete authorisation record - not treated as authorised",IF(OR(U62="Withdrawn",U62="Superseded"),"Not current ("&amp;U62&amp;")",IF(AND(ISNUMBER(R62),R62&lt;AsOf),"Expired - re-approval required",IF(AND(ISNUMBER(R62),R62&lt;=AsOf+WarnDecisionDays),"Review due soon","Authorised (user-entered record)"))))))</f>
        <v/>
      </c>
      <c r="W62" s="54" t="str">
        <f aca="false">IF(A62="","",IF(AND(OR(O62="Risk accepted",O62="Temporary exception granted"),LEFT(H62,5)="Above"),"Accepted exposure REMAINS above appetite - acceptance does not remove the breach",IF(AND(OR(O62="Risk accepted",O62="Temporary exception granted"),H62="Not configured"),"Appetite not configured - position cannot be confirmed","")))</f>
        <v/>
      </c>
      <c r="X62" s="52" t="str">
        <f aca="false">IF(AND(F62="Yes",ISNUMBER(I62),I62=_xlfn.MAXIFS(DEC_RECDATE,DEC_SUP,B62,DEC_LEVEL,"Yes")),B62&amp;"|Latest","")</f>
        <v/>
      </c>
      <c r="Y62" s="54" t="str">
        <f aca="false">IF(A62="","",IF(COUNTIF(DEC_ID,A62)&gt;1,"CHECK: duplicate ID",IF(B62="","CHECK: Supplier ID missing",IF(COUNTIF(INV_ID,B62)=0,"CHECK: Supplier ID not in inventory",IF(AND(D62&lt;&gt;"",COUNTIF(RSK_ID,D62)=0),"CHECK: Risk ID not found",IF(AND(D62&lt;&gt;"",COUNTIF(RSK_ID,D62)&gt;0,IFERROR(INDEX(RSK_SUP,MATCH(D62,RSK_ID,0)),"")&lt;&gt;B62),"CHECK: Risk belongs to a different supplier",IF(AND(F62="No",D62=""),"CHECK: risk ID required for risk-level decision","OK")))))))</f>
        <v/>
      </c>
      <c r="Z62" s="52" t="str">
        <f aca="false">IF(OR(A62="",B62=""),"",IF(B62=RptSup,B62&amp;"|"&amp;COUNTIF($B$7:B62,B62),""))</f>
        <v/>
      </c>
    </row>
    <row r="63" customFormat="false" ht="15" hidden="false" customHeight="false" outlineLevel="0" collapsed="false">
      <c r="A63" s="50"/>
      <c r="B63" s="50"/>
      <c r="C63" s="59" t="str">
        <f aca="false">IF(B63="","",IFERROR(INDEX(INV_NAME,MATCH(B63,INV_ID,0)),"CHECK: Supplier ID not found"))</f>
        <v/>
      </c>
      <c r="D63" s="34"/>
      <c r="E63" s="34"/>
      <c r="F63" s="52" t="str">
        <f aca="false">IF(A63="","",IF(OR(E63="Supplier approval",E63="Conditional approval",E63="Approval deferred",E63="Supplier rejection"),"Yes","No"))</f>
        <v/>
      </c>
      <c r="G63" s="63" t="str">
        <f aca="false">IF(OR(A63="",D63=""),"",IFERROR(INDEX(RSK_RBAND,MATCH(D63,RSK_ID,0)),"CHECK: Risk ID not found"))</f>
        <v/>
      </c>
      <c r="H63" s="59" t="str">
        <f aca="false">IF(OR(A63="",D63=""),"",IFERROR(INDEX(RSK_APP,MATCH(D63,RSK_ID,0)),"CHECK: Risk ID not found"))</f>
        <v/>
      </c>
      <c r="I63" s="51"/>
      <c r="J63" s="34"/>
      <c r="K63" s="34"/>
      <c r="L63" s="34"/>
      <c r="M63" s="60"/>
      <c r="N63" s="34"/>
      <c r="O63" s="60"/>
      <c r="P63" s="34"/>
      <c r="Q63" s="64"/>
      <c r="R63" s="51"/>
      <c r="S63" s="60"/>
      <c r="T63" s="34"/>
      <c r="U63" s="50"/>
      <c r="V63" s="54" t="str">
        <f aca="false">IF(A63="","",IF(OR(O63="",O63="Not yet decided"),"Pending - no authorised decision",IF(OR(M63="",S63="",Q63=""),"Incomplete authorisation record - not treated as authorised",IF(OR(U63="Withdrawn",U63="Superseded"),"Not current ("&amp;U63&amp;")",IF(AND(ISNUMBER(R63),R63&lt;AsOf),"Expired - re-approval required",IF(AND(ISNUMBER(R63),R63&lt;=AsOf+WarnDecisionDays),"Review due soon","Authorised (user-entered record)"))))))</f>
        <v/>
      </c>
      <c r="W63" s="54" t="str">
        <f aca="false">IF(A63="","",IF(AND(OR(O63="Risk accepted",O63="Temporary exception granted"),LEFT(H63,5)="Above"),"Accepted exposure REMAINS above appetite - acceptance does not remove the breach",IF(AND(OR(O63="Risk accepted",O63="Temporary exception granted"),H63="Not configured"),"Appetite not configured - position cannot be confirmed","")))</f>
        <v/>
      </c>
      <c r="X63" s="52" t="str">
        <f aca="false">IF(AND(F63="Yes",ISNUMBER(I63),I63=_xlfn.MAXIFS(DEC_RECDATE,DEC_SUP,B63,DEC_LEVEL,"Yes")),B63&amp;"|Latest","")</f>
        <v/>
      </c>
      <c r="Y63" s="54" t="str">
        <f aca="false">IF(A63="","",IF(COUNTIF(DEC_ID,A63)&gt;1,"CHECK: duplicate ID",IF(B63="","CHECK: Supplier ID missing",IF(COUNTIF(INV_ID,B63)=0,"CHECK: Supplier ID not in inventory",IF(AND(D63&lt;&gt;"",COUNTIF(RSK_ID,D63)=0),"CHECK: Risk ID not found",IF(AND(D63&lt;&gt;"",COUNTIF(RSK_ID,D63)&gt;0,IFERROR(INDEX(RSK_SUP,MATCH(D63,RSK_ID,0)),"")&lt;&gt;B63),"CHECK: Risk belongs to a different supplier",IF(AND(F63="No",D63=""),"CHECK: risk ID required for risk-level decision","OK")))))))</f>
        <v/>
      </c>
      <c r="Z63" s="52" t="str">
        <f aca="false">IF(OR(A63="",B63=""),"",IF(B63=RptSup,B63&amp;"|"&amp;COUNTIF($B$7:B63,B63),""))</f>
        <v/>
      </c>
    </row>
    <row r="64" customFormat="false" ht="15" hidden="false" customHeight="false" outlineLevel="0" collapsed="false">
      <c r="A64" s="50"/>
      <c r="B64" s="50"/>
      <c r="C64" s="59" t="str">
        <f aca="false">IF(B64="","",IFERROR(INDEX(INV_NAME,MATCH(B64,INV_ID,0)),"CHECK: Supplier ID not found"))</f>
        <v/>
      </c>
      <c r="D64" s="34"/>
      <c r="E64" s="34"/>
      <c r="F64" s="52" t="str">
        <f aca="false">IF(A64="","",IF(OR(E64="Supplier approval",E64="Conditional approval",E64="Approval deferred",E64="Supplier rejection"),"Yes","No"))</f>
        <v/>
      </c>
      <c r="G64" s="63" t="str">
        <f aca="false">IF(OR(A64="",D64=""),"",IFERROR(INDEX(RSK_RBAND,MATCH(D64,RSK_ID,0)),"CHECK: Risk ID not found"))</f>
        <v/>
      </c>
      <c r="H64" s="59" t="str">
        <f aca="false">IF(OR(A64="",D64=""),"",IFERROR(INDEX(RSK_APP,MATCH(D64,RSK_ID,0)),"CHECK: Risk ID not found"))</f>
        <v/>
      </c>
      <c r="I64" s="51"/>
      <c r="J64" s="34"/>
      <c r="K64" s="34"/>
      <c r="L64" s="34"/>
      <c r="M64" s="60"/>
      <c r="N64" s="34"/>
      <c r="O64" s="60"/>
      <c r="P64" s="34"/>
      <c r="Q64" s="64"/>
      <c r="R64" s="51"/>
      <c r="S64" s="60"/>
      <c r="T64" s="34"/>
      <c r="U64" s="50"/>
      <c r="V64" s="54" t="str">
        <f aca="false">IF(A64="","",IF(OR(O64="",O64="Not yet decided"),"Pending - no authorised decision",IF(OR(M64="",S64="",Q64=""),"Incomplete authorisation record - not treated as authorised",IF(OR(U64="Withdrawn",U64="Superseded"),"Not current ("&amp;U64&amp;")",IF(AND(ISNUMBER(R64),R64&lt;AsOf),"Expired - re-approval required",IF(AND(ISNUMBER(R64),R64&lt;=AsOf+WarnDecisionDays),"Review due soon","Authorised (user-entered record)"))))))</f>
        <v/>
      </c>
      <c r="W64" s="54" t="str">
        <f aca="false">IF(A64="","",IF(AND(OR(O64="Risk accepted",O64="Temporary exception granted"),LEFT(H64,5)="Above"),"Accepted exposure REMAINS above appetite - acceptance does not remove the breach",IF(AND(OR(O64="Risk accepted",O64="Temporary exception granted"),H64="Not configured"),"Appetite not configured - position cannot be confirmed","")))</f>
        <v/>
      </c>
      <c r="X64" s="52" t="str">
        <f aca="false">IF(AND(F64="Yes",ISNUMBER(I64),I64=_xlfn.MAXIFS(DEC_RECDATE,DEC_SUP,B64,DEC_LEVEL,"Yes")),B64&amp;"|Latest","")</f>
        <v/>
      </c>
      <c r="Y64" s="54" t="str">
        <f aca="false">IF(A64="","",IF(COUNTIF(DEC_ID,A64)&gt;1,"CHECK: duplicate ID",IF(B64="","CHECK: Supplier ID missing",IF(COUNTIF(INV_ID,B64)=0,"CHECK: Supplier ID not in inventory",IF(AND(D64&lt;&gt;"",COUNTIF(RSK_ID,D64)=0),"CHECK: Risk ID not found",IF(AND(D64&lt;&gt;"",COUNTIF(RSK_ID,D64)&gt;0,IFERROR(INDEX(RSK_SUP,MATCH(D64,RSK_ID,0)),"")&lt;&gt;B64),"CHECK: Risk belongs to a different supplier",IF(AND(F64="No",D64=""),"CHECK: risk ID required for risk-level decision","OK")))))))</f>
        <v/>
      </c>
      <c r="Z64" s="52" t="str">
        <f aca="false">IF(OR(A64="",B64=""),"",IF(B64=RptSup,B64&amp;"|"&amp;COUNTIF($B$7:B64,B64),""))</f>
        <v/>
      </c>
    </row>
    <row r="65" customFormat="false" ht="15" hidden="false" customHeight="false" outlineLevel="0" collapsed="false">
      <c r="A65" s="50"/>
      <c r="B65" s="50"/>
      <c r="C65" s="59" t="str">
        <f aca="false">IF(B65="","",IFERROR(INDEX(INV_NAME,MATCH(B65,INV_ID,0)),"CHECK: Supplier ID not found"))</f>
        <v/>
      </c>
      <c r="D65" s="34"/>
      <c r="E65" s="34"/>
      <c r="F65" s="52" t="str">
        <f aca="false">IF(A65="","",IF(OR(E65="Supplier approval",E65="Conditional approval",E65="Approval deferred",E65="Supplier rejection"),"Yes","No"))</f>
        <v/>
      </c>
      <c r="G65" s="63" t="str">
        <f aca="false">IF(OR(A65="",D65=""),"",IFERROR(INDEX(RSK_RBAND,MATCH(D65,RSK_ID,0)),"CHECK: Risk ID not found"))</f>
        <v/>
      </c>
      <c r="H65" s="59" t="str">
        <f aca="false">IF(OR(A65="",D65=""),"",IFERROR(INDEX(RSK_APP,MATCH(D65,RSK_ID,0)),"CHECK: Risk ID not found"))</f>
        <v/>
      </c>
      <c r="I65" s="51"/>
      <c r="J65" s="34"/>
      <c r="K65" s="34"/>
      <c r="L65" s="34"/>
      <c r="M65" s="60"/>
      <c r="N65" s="34"/>
      <c r="O65" s="60"/>
      <c r="P65" s="34"/>
      <c r="Q65" s="64"/>
      <c r="R65" s="51"/>
      <c r="S65" s="60"/>
      <c r="T65" s="34"/>
      <c r="U65" s="50"/>
      <c r="V65" s="54" t="str">
        <f aca="false">IF(A65="","",IF(OR(O65="",O65="Not yet decided"),"Pending - no authorised decision",IF(OR(M65="",S65="",Q65=""),"Incomplete authorisation record - not treated as authorised",IF(OR(U65="Withdrawn",U65="Superseded"),"Not current ("&amp;U65&amp;")",IF(AND(ISNUMBER(R65),R65&lt;AsOf),"Expired - re-approval required",IF(AND(ISNUMBER(R65),R65&lt;=AsOf+WarnDecisionDays),"Review due soon","Authorised (user-entered record)"))))))</f>
        <v/>
      </c>
      <c r="W65" s="54" t="str">
        <f aca="false">IF(A65="","",IF(AND(OR(O65="Risk accepted",O65="Temporary exception granted"),LEFT(H65,5)="Above"),"Accepted exposure REMAINS above appetite - acceptance does not remove the breach",IF(AND(OR(O65="Risk accepted",O65="Temporary exception granted"),H65="Not configured"),"Appetite not configured - position cannot be confirmed","")))</f>
        <v/>
      </c>
      <c r="X65" s="52" t="str">
        <f aca="false">IF(AND(F65="Yes",ISNUMBER(I65),I65=_xlfn.MAXIFS(DEC_RECDATE,DEC_SUP,B65,DEC_LEVEL,"Yes")),B65&amp;"|Latest","")</f>
        <v/>
      </c>
      <c r="Y65" s="54" t="str">
        <f aca="false">IF(A65="","",IF(COUNTIF(DEC_ID,A65)&gt;1,"CHECK: duplicate ID",IF(B65="","CHECK: Supplier ID missing",IF(COUNTIF(INV_ID,B65)=0,"CHECK: Supplier ID not in inventory",IF(AND(D65&lt;&gt;"",COUNTIF(RSK_ID,D65)=0),"CHECK: Risk ID not found",IF(AND(D65&lt;&gt;"",COUNTIF(RSK_ID,D65)&gt;0,IFERROR(INDEX(RSK_SUP,MATCH(D65,RSK_ID,0)),"")&lt;&gt;B65),"CHECK: Risk belongs to a different supplier",IF(AND(F65="No",D65=""),"CHECK: risk ID required for risk-level decision","OK")))))))</f>
        <v/>
      </c>
      <c r="Z65" s="52" t="str">
        <f aca="false">IF(OR(A65="",B65=""),"",IF(B65=RptSup,B65&amp;"|"&amp;COUNTIF($B$7:B65,B65),""))</f>
        <v/>
      </c>
    </row>
    <row r="66" customFormat="false" ht="15" hidden="false" customHeight="false" outlineLevel="0" collapsed="false">
      <c r="A66" s="50"/>
      <c r="B66" s="50"/>
      <c r="C66" s="59" t="str">
        <f aca="false">IF(B66="","",IFERROR(INDEX(INV_NAME,MATCH(B66,INV_ID,0)),"CHECK: Supplier ID not found"))</f>
        <v/>
      </c>
      <c r="D66" s="34"/>
      <c r="E66" s="34"/>
      <c r="F66" s="52" t="str">
        <f aca="false">IF(A66="","",IF(OR(E66="Supplier approval",E66="Conditional approval",E66="Approval deferred",E66="Supplier rejection"),"Yes","No"))</f>
        <v/>
      </c>
      <c r="G66" s="63" t="str">
        <f aca="false">IF(OR(A66="",D66=""),"",IFERROR(INDEX(RSK_RBAND,MATCH(D66,RSK_ID,0)),"CHECK: Risk ID not found"))</f>
        <v/>
      </c>
      <c r="H66" s="59" t="str">
        <f aca="false">IF(OR(A66="",D66=""),"",IFERROR(INDEX(RSK_APP,MATCH(D66,RSK_ID,0)),"CHECK: Risk ID not found"))</f>
        <v/>
      </c>
      <c r="I66" s="51"/>
      <c r="J66" s="34"/>
      <c r="K66" s="34"/>
      <c r="L66" s="34"/>
      <c r="M66" s="60"/>
      <c r="N66" s="34"/>
      <c r="O66" s="60"/>
      <c r="P66" s="34"/>
      <c r="Q66" s="64"/>
      <c r="R66" s="51"/>
      <c r="S66" s="60"/>
      <c r="T66" s="34"/>
      <c r="U66" s="50"/>
      <c r="V66" s="54" t="str">
        <f aca="false">IF(A66="","",IF(OR(O66="",O66="Not yet decided"),"Pending - no authorised decision",IF(OR(M66="",S66="",Q66=""),"Incomplete authorisation record - not treated as authorised",IF(OR(U66="Withdrawn",U66="Superseded"),"Not current ("&amp;U66&amp;")",IF(AND(ISNUMBER(R66),R66&lt;AsOf),"Expired - re-approval required",IF(AND(ISNUMBER(R66),R66&lt;=AsOf+WarnDecisionDays),"Review due soon","Authorised (user-entered record)"))))))</f>
        <v/>
      </c>
      <c r="W66" s="54" t="str">
        <f aca="false">IF(A66="","",IF(AND(OR(O66="Risk accepted",O66="Temporary exception granted"),LEFT(H66,5)="Above"),"Accepted exposure REMAINS above appetite - acceptance does not remove the breach",IF(AND(OR(O66="Risk accepted",O66="Temporary exception granted"),H66="Not configured"),"Appetite not configured - position cannot be confirmed","")))</f>
        <v/>
      </c>
      <c r="X66" s="52" t="str">
        <f aca="false">IF(AND(F66="Yes",ISNUMBER(I66),I66=_xlfn.MAXIFS(DEC_RECDATE,DEC_SUP,B66,DEC_LEVEL,"Yes")),B66&amp;"|Latest","")</f>
        <v/>
      </c>
      <c r="Y66" s="54" t="str">
        <f aca="false">IF(A66="","",IF(COUNTIF(DEC_ID,A66)&gt;1,"CHECK: duplicate ID",IF(B66="","CHECK: Supplier ID missing",IF(COUNTIF(INV_ID,B66)=0,"CHECK: Supplier ID not in inventory",IF(AND(D66&lt;&gt;"",COUNTIF(RSK_ID,D66)=0),"CHECK: Risk ID not found",IF(AND(D66&lt;&gt;"",COUNTIF(RSK_ID,D66)&gt;0,IFERROR(INDEX(RSK_SUP,MATCH(D66,RSK_ID,0)),"")&lt;&gt;B66),"CHECK: Risk belongs to a different supplier",IF(AND(F66="No",D66=""),"CHECK: risk ID required for risk-level decision","OK")))))))</f>
        <v/>
      </c>
      <c r="Z66" s="52" t="str">
        <f aca="false">IF(OR(A66="",B66=""),"",IF(B66=RptSup,B66&amp;"|"&amp;COUNTIF($B$7:B66,B66),""))</f>
        <v/>
      </c>
    </row>
    <row r="67" customFormat="false" ht="15" hidden="false" customHeight="false" outlineLevel="0" collapsed="false">
      <c r="A67" s="50"/>
      <c r="B67" s="50"/>
      <c r="C67" s="59" t="str">
        <f aca="false">IF(B67="","",IFERROR(INDEX(INV_NAME,MATCH(B67,INV_ID,0)),"CHECK: Supplier ID not found"))</f>
        <v/>
      </c>
      <c r="D67" s="34"/>
      <c r="E67" s="34"/>
      <c r="F67" s="52" t="str">
        <f aca="false">IF(A67="","",IF(OR(E67="Supplier approval",E67="Conditional approval",E67="Approval deferred",E67="Supplier rejection"),"Yes","No"))</f>
        <v/>
      </c>
      <c r="G67" s="63" t="str">
        <f aca="false">IF(OR(A67="",D67=""),"",IFERROR(INDEX(RSK_RBAND,MATCH(D67,RSK_ID,0)),"CHECK: Risk ID not found"))</f>
        <v/>
      </c>
      <c r="H67" s="59" t="str">
        <f aca="false">IF(OR(A67="",D67=""),"",IFERROR(INDEX(RSK_APP,MATCH(D67,RSK_ID,0)),"CHECK: Risk ID not found"))</f>
        <v/>
      </c>
      <c r="I67" s="51"/>
      <c r="J67" s="34"/>
      <c r="K67" s="34"/>
      <c r="L67" s="34"/>
      <c r="M67" s="60"/>
      <c r="N67" s="34"/>
      <c r="O67" s="60"/>
      <c r="P67" s="34"/>
      <c r="Q67" s="64"/>
      <c r="R67" s="51"/>
      <c r="S67" s="60"/>
      <c r="T67" s="34"/>
      <c r="U67" s="50"/>
      <c r="V67" s="54" t="str">
        <f aca="false">IF(A67="","",IF(OR(O67="",O67="Not yet decided"),"Pending - no authorised decision",IF(OR(M67="",S67="",Q67=""),"Incomplete authorisation record - not treated as authorised",IF(OR(U67="Withdrawn",U67="Superseded"),"Not current ("&amp;U67&amp;")",IF(AND(ISNUMBER(R67),R67&lt;AsOf),"Expired - re-approval required",IF(AND(ISNUMBER(R67),R67&lt;=AsOf+WarnDecisionDays),"Review due soon","Authorised (user-entered record)"))))))</f>
        <v/>
      </c>
      <c r="W67" s="54" t="str">
        <f aca="false">IF(A67="","",IF(AND(OR(O67="Risk accepted",O67="Temporary exception granted"),LEFT(H67,5)="Above"),"Accepted exposure REMAINS above appetite - acceptance does not remove the breach",IF(AND(OR(O67="Risk accepted",O67="Temporary exception granted"),H67="Not configured"),"Appetite not configured - position cannot be confirmed","")))</f>
        <v/>
      </c>
      <c r="X67" s="52" t="str">
        <f aca="false">IF(AND(F67="Yes",ISNUMBER(I67),I67=_xlfn.MAXIFS(DEC_RECDATE,DEC_SUP,B67,DEC_LEVEL,"Yes")),B67&amp;"|Latest","")</f>
        <v/>
      </c>
      <c r="Y67" s="54" t="str">
        <f aca="false">IF(A67="","",IF(COUNTIF(DEC_ID,A67)&gt;1,"CHECK: duplicate ID",IF(B67="","CHECK: Supplier ID missing",IF(COUNTIF(INV_ID,B67)=0,"CHECK: Supplier ID not in inventory",IF(AND(D67&lt;&gt;"",COUNTIF(RSK_ID,D67)=0),"CHECK: Risk ID not found",IF(AND(D67&lt;&gt;"",COUNTIF(RSK_ID,D67)&gt;0,IFERROR(INDEX(RSK_SUP,MATCH(D67,RSK_ID,0)),"")&lt;&gt;B67),"CHECK: Risk belongs to a different supplier",IF(AND(F67="No",D67=""),"CHECK: risk ID required for risk-level decision","OK")))))))</f>
        <v/>
      </c>
      <c r="Z67" s="52" t="str">
        <f aca="false">IF(OR(A67="",B67=""),"",IF(B67=RptSup,B67&amp;"|"&amp;COUNTIF($B$7:B67,B67),""))</f>
        <v/>
      </c>
    </row>
    <row r="68" customFormat="false" ht="15" hidden="false" customHeight="false" outlineLevel="0" collapsed="false">
      <c r="A68" s="50"/>
      <c r="B68" s="50"/>
      <c r="C68" s="59" t="str">
        <f aca="false">IF(B68="","",IFERROR(INDEX(INV_NAME,MATCH(B68,INV_ID,0)),"CHECK: Supplier ID not found"))</f>
        <v/>
      </c>
      <c r="D68" s="34"/>
      <c r="E68" s="34"/>
      <c r="F68" s="52" t="str">
        <f aca="false">IF(A68="","",IF(OR(E68="Supplier approval",E68="Conditional approval",E68="Approval deferred",E68="Supplier rejection"),"Yes","No"))</f>
        <v/>
      </c>
      <c r="G68" s="63" t="str">
        <f aca="false">IF(OR(A68="",D68=""),"",IFERROR(INDEX(RSK_RBAND,MATCH(D68,RSK_ID,0)),"CHECK: Risk ID not found"))</f>
        <v/>
      </c>
      <c r="H68" s="59" t="str">
        <f aca="false">IF(OR(A68="",D68=""),"",IFERROR(INDEX(RSK_APP,MATCH(D68,RSK_ID,0)),"CHECK: Risk ID not found"))</f>
        <v/>
      </c>
      <c r="I68" s="51"/>
      <c r="J68" s="34"/>
      <c r="K68" s="34"/>
      <c r="L68" s="34"/>
      <c r="M68" s="60"/>
      <c r="N68" s="34"/>
      <c r="O68" s="60"/>
      <c r="P68" s="34"/>
      <c r="Q68" s="64"/>
      <c r="R68" s="51"/>
      <c r="S68" s="60"/>
      <c r="T68" s="34"/>
      <c r="U68" s="50"/>
      <c r="V68" s="54" t="str">
        <f aca="false">IF(A68="","",IF(OR(O68="",O68="Not yet decided"),"Pending - no authorised decision",IF(OR(M68="",S68="",Q68=""),"Incomplete authorisation record - not treated as authorised",IF(OR(U68="Withdrawn",U68="Superseded"),"Not current ("&amp;U68&amp;")",IF(AND(ISNUMBER(R68),R68&lt;AsOf),"Expired - re-approval required",IF(AND(ISNUMBER(R68),R68&lt;=AsOf+WarnDecisionDays),"Review due soon","Authorised (user-entered record)"))))))</f>
        <v/>
      </c>
      <c r="W68" s="54" t="str">
        <f aca="false">IF(A68="","",IF(AND(OR(O68="Risk accepted",O68="Temporary exception granted"),LEFT(H68,5)="Above"),"Accepted exposure REMAINS above appetite - acceptance does not remove the breach",IF(AND(OR(O68="Risk accepted",O68="Temporary exception granted"),H68="Not configured"),"Appetite not configured - position cannot be confirmed","")))</f>
        <v/>
      </c>
      <c r="X68" s="52" t="str">
        <f aca="false">IF(AND(F68="Yes",ISNUMBER(I68),I68=_xlfn.MAXIFS(DEC_RECDATE,DEC_SUP,B68,DEC_LEVEL,"Yes")),B68&amp;"|Latest","")</f>
        <v/>
      </c>
      <c r="Y68" s="54" t="str">
        <f aca="false">IF(A68="","",IF(COUNTIF(DEC_ID,A68)&gt;1,"CHECK: duplicate ID",IF(B68="","CHECK: Supplier ID missing",IF(COUNTIF(INV_ID,B68)=0,"CHECK: Supplier ID not in inventory",IF(AND(D68&lt;&gt;"",COUNTIF(RSK_ID,D68)=0),"CHECK: Risk ID not found",IF(AND(D68&lt;&gt;"",COUNTIF(RSK_ID,D68)&gt;0,IFERROR(INDEX(RSK_SUP,MATCH(D68,RSK_ID,0)),"")&lt;&gt;B68),"CHECK: Risk belongs to a different supplier",IF(AND(F68="No",D68=""),"CHECK: risk ID required for risk-level decision","OK")))))))</f>
        <v/>
      </c>
      <c r="Z68" s="52" t="str">
        <f aca="false">IF(OR(A68="",B68=""),"",IF(B68=RptSup,B68&amp;"|"&amp;COUNTIF($B$7:B68,B68),""))</f>
        <v/>
      </c>
    </row>
    <row r="69" customFormat="false" ht="15" hidden="false" customHeight="false" outlineLevel="0" collapsed="false">
      <c r="A69" s="50"/>
      <c r="B69" s="50"/>
      <c r="C69" s="59" t="str">
        <f aca="false">IF(B69="","",IFERROR(INDEX(INV_NAME,MATCH(B69,INV_ID,0)),"CHECK: Supplier ID not found"))</f>
        <v/>
      </c>
      <c r="D69" s="34"/>
      <c r="E69" s="34"/>
      <c r="F69" s="52" t="str">
        <f aca="false">IF(A69="","",IF(OR(E69="Supplier approval",E69="Conditional approval",E69="Approval deferred",E69="Supplier rejection"),"Yes","No"))</f>
        <v/>
      </c>
      <c r="G69" s="63" t="str">
        <f aca="false">IF(OR(A69="",D69=""),"",IFERROR(INDEX(RSK_RBAND,MATCH(D69,RSK_ID,0)),"CHECK: Risk ID not found"))</f>
        <v/>
      </c>
      <c r="H69" s="59" t="str">
        <f aca="false">IF(OR(A69="",D69=""),"",IFERROR(INDEX(RSK_APP,MATCH(D69,RSK_ID,0)),"CHECK: Risk ID not found"))</f>
        <v/>
      </c>
      <c r="I69" s="51"/>
      <c r="J69" s="34"/>
      <c r="K69" s="34"/>
      <c r="L69" s="34"/>
      <c r="M69" s="60"/>
      <c r="N69" s="34"/>
      <c r="O69" s="60"/>
      <c r="P69" s="34"/>
      <c r="Q69" s="64"/>
      <c r="R69" s="51"/>
      <c r="S69" s="60"/>
      <c r="T69" s="34"/>
      <c r="U69" s="50"/>
      <c r="V69" s="54" t="str">
        <f aca="false">IF(A69="","",IF(OR(O69="",O69="Not yet decided"),"Pending - no authorised decision",IF(OR(M69="",S69="",Q69=""),"Incomplete authorisation record - not treated as authorised",IF(OR(U69="Withdrawn",U69="Superseded"),"Not current ("&amp;U69&amp;")",IF(AND(ISNUMBER(R69),R69&lt;AsOf),"Expired - re-approval required",IF(AND(ISNUMBER(R69),R69&lt;=AsOf+WarnDecisionDays),"Review due soon","Authorised (user-entered record)"))))))</f>
        <v/>
      </c>
      <c r="W69" s="54" t="str">
        <f aca="false">IF(A69="","",IF(AND(OR(O69="Risk accepted",O69="Temporary exception granted"),LEFT(H69,5)="Above"),"Accepted exposure REMAINS above appetite - acceptance does not remove the breach",IF(AND(OR(O69="Risk accepted",O69="Temporary exception granted"),H69="Not configured"),"Appetite not configured - position cannot be confirmed","")))</f>
        <v/>
      </c>
      <c r="X69" s="52" t="str">
        <f aca="false">IF(AND(F69="Yes",ISNUMBER(I69),I69=_xlfn.MAXIFS(DEC_RECDATE,DEC_SUP,B69,DEC_LEVEL,"Yes")),B69&amp;"|Latest","")</f>
        <v/>
      </c>
      <c r="Y69" s="54" t="str">
        <f aca="false">IF(A69="","",IF(COUNTIF(DEC_ID,A69)&gt;1,"CHECK: duplicate ID",IF(B69="","CHECK: Supplier ID missing",IF(COUNTIF(INV_ID,B69)=0,"CHECK: Supplier ID not in inventory",IF(AND(D69&lt;&gt;"",COUNTIF(RSK_ID,D69)=0),"CHECK: Risk ID not found",IF(AND(D69&lt;&gt;"",COUNTIF(RSK_ID,D69)&gt;0,IFERROR(INDEX(RSK_SUP,MATCH(D69,RSK_ID,0)),"")&lt;&gt;B69),"CHECK: Risk belongs to a different supplier",IF(AND(F69="No",D69=""),"CHECK: risk ID required for risk-level decision","OK")))))))</f>
        <v/>
      </c>
      <c r="Z69" s="52" t="str">
        <f aca="false">IF(OR(A69="",B69=""),"",IF(B69=RptSup,B69&amp;"|"&amp;COUNTIF($B$7:B69,B69),""))</f>
        <v/>
      </c>
    </row>
    <row r="70" customFormat="false" ht="15" hidden="false" customHeight="false" outlineLevel="0" collapsed="false">
      <c r="A70" s="50"/>
      <c r="B70" s="50"/>
      <c r="C70" s="59" t="str">
        <f aca="false">IF(B70="","",IFERROR(INDEX(INV_NAME,MATCH(B70,INV_ID,0)),"CHECK: Supplier ID not found"))</f>
        <v/>
      </c>
      <c r="D70" s="34"/>
      <c r="E70" s="34"/>
      <c r="F70" s="52" t="str">
        <f aca="false">IF(A70="","",IF(OR(E70="Supplier approval",E70="Conditional approval",E70="Approval deferred",E70="Supplier rejection"),"Yes","No"))</f>
        <v/>
      </c>
      <c r="G70" s="63" t="str">
        <f aca="false">IF(OR(A70="",D70=""),"",IFERROR(INDEX(RSK_RBAND,MATCH(D70,RSK_ID,0)),"CHECK: Risk ID not found"))</f>
        <v/>
      </c>
      <c r="H70" s="59" t="str">
        <f aca="false">IF(OR(A70="",D70=""),"",IFERROR(INDEX(RSK_APP,MATCH(D70,RSK_ID,0)),"CHECK: Risk ID not found"))</f>
        <v/>
      </c>
      <c r="I70" s="51"/>
      <c r="J70" s="34"/>
      <c r="K70" s="34"/>
      <c r="L70" s="34"/>
      <c r="M70" s="60"/>
      <c r="N70" s="34"/>
      <c r="O70" s="60"/>
      <c r="P70" s="34"/>
      <c r="Q70" s="64"/>
      <c r="R70" s="51"/>
      <c r="S70" s="60"/>
      <c r="T70" s="34"/>
      <c r="U70" s="50"/>
      <c r="V70" s="54" t="str">
        <f aca="false">IF(A70="","",IF(OR(O70="",O70="Not yet decided"),"Pending - no authorised decision",IF(OR(M70="",S70="",Q70=""),"Incomplete authorisation record - not treated as authorised",IF(OR(U70="Withdrawn",U70="Superseded"),"Not current ("&amp;U70&amp;")",IF(AND(ISNUMBER(R70),R70&lt;AsOf),"Expired - re-approval required",IF(AND(ISNUMBER(R70),R70&lt;=AsOf+WarnDecisionDays),"Review due soon","Authorised (user-entered record)"))))))</f>
        <v/>
      </c>
      <c r="W70" s="54" t="str">
        <f aca="false">IF(A70="","",IF(AND(OR(O70="Risk accepted",O70="Temporary exception granted"),LEFT(H70,5)="Above"),"Accepted exposure REMAINS above appetite - acceptance does not remove the breach",IF(AND(OR(O70="Risk accepted",O70="Temporary exception granted"),H70="Not configured"),"Appetite not configured - position cannot be confirmed","")))</f>
        <v/>
      </c>
      <c r="X70" s="52" t="str">
        <f aca="false">IF(AND(F70="Yes",ISNUMBER(I70),I70=_xlfn.MAXIFS(DEC_RECDATE,DEC_SUP,B70,DEC_LEVEL,"Yes")),B70&amp;"|Latest","")</f>
        <v/>
      </c>
      <c r="Y70" s="54" t="str">
        <f aca="false">IF(A70="","",IF(COUNTIF(DEC_ID,A70)&gt;1,"CHECK: duplicate ID",IF(B70="","CHECK: Supplier ID missing",IF(COUNTIF(INV_ID,B70)=0,"CHECK: Supplier ID not in inventory",IF(AND(D70&lt;&gt;"",COUNTIF(RSK_ID,D70)=0),"CHECK: Risk ID not found",IF(AND(D70&lt;&gt;"",COUNTIF(RSK_ID,D70)&gt;0,IFERROR(INDEX(RSK_SUP,MATCH(D70,RSK_ID,0)),"")&lt;&gt;B70),"CHECK: Risk belongs to a different supplier",IF(AND(F70="No",D70=""),"CHECK: risk ID required for risk-level decision","OK")))))))</f>
        <v/>
      </c>
      <c r="Z70" s="52" t="str">
        <f aca="false">IF(OR(A70="",B70=""),"",IF(B70=RptSup,B70&amp;"|"&amp;COUNTIF($B$7:B70,B70),""))</f>
        <v/>
      </c>
    </row>
    <row r="71" customFormat="false" ht="15" hidden="false" customHeight="false" outlineLevel="0" collapsed="false">
      <c r="A71" s="50"/>
      <c r="B71" s="50"/>
      <c r="C71" s="59" t="str">
        <f aca="false">IF(B71="","",IFERROR(INDEX(INV_NAME,MATCH(B71,INV_ID,0)),"CHECK: Supplier ID not found"))</f>
        <v/>
      </c>
      <c r="D71" s="34"/>
      <c r="E71" s="34"/>
      <c r="F71" s="52" t="str">
        <f aca="false">IF(A71="","",IF(OR(E71="Supplier approval",E71="Conditional approval",E71="Approval deferred",E71="Supplier rejection"),"Yes","No"))</f>
        <v/>
      </c>
      <c r="G71" s="63" t="str">
        <f aca="false">IF(OR(A71="",D71=""),"",IFERROR(INDEX(RSK_RBAND,MATCH(D71,RSK_ID,0)),"CHECK: Risk ID not found"))</f>
        <v/>
      </c>
      <c r="H71" s="59" t="str">
        <f aca="false">IF(OR(A71="",D71=""),"",IFERROR(INDEX(RSK_APP,MATCH(D71,RSK_ID,0)),"CHECK: Risk ID not found"))</f>
        <v/>
      </c>
      <c r="I71" s="51"/>
      <c r="J71" s="34"/>
      <c r="K71" s="34"/>
      <c r="L71" s="34"/>
      <c r="M71" s="60"/>
      <c r="N71" s="34"/>
      <c r="O71" s="60"/>
      <c r="P71" s="34"/>
      <c r="Q71" s="64"/>
      <c r="R71" s="51"/>
      <c r="S71" s="60"/>
      <c r="T71" s="34"/>
      <c r="U71" s="50"/>
      <c r="V71" s="54" t="str">
        <f aca="false">IF(A71="","",IF(OR(O71="",O71="Not yet decided"),"Pending - no authorised decision",IF(OR(M71="",S71="",Q71=""),"Incomplete authorisation record - not treated as authorised",IF(OR(U71="Withdrawn",U71="Superseded"),"Not current ("&amp;U71&amp;")",IF(AND(ISNUMBER(R71),R71&lt;AsOf),"Expired - re-approval required",IF(AND(ISNUMBER(R71),R71&lt;=AsOf+WarnDecisionDays),"Review due soon","Authorised (user-entered record)"))))))</f>
        <v/>
      </c>
      <c r="W71" s="54" t="str">
        <f aca="false">IF(A71="","",IF(AND(OR(O71="Risk accepted",O71="Temporary exception granted"),LEFT(H71,5)="Above"),"Accepted exposure REMAINS above appetite - acceptance does not remove the breach",IF(AND(OR(O71="Risk accepted",O71="Temporary exception granted"),H71="Not configured"),"Appetite not configured - position cannot be confirmed","")))</f>
        <v/>
      </c>
      <c r="X71" s="52" t="str">
        <f aca="false">IF(AND(F71="Yes",ISNUMBER(I71),I71=_xlfn.MAXIFS(DEC_RECDATE,DEC_SUP,B71,DEC_LEVEL,"Yes")),B71&amp;"|Latest","")</f>
        <v/>
      </c>
      <c r="Y71" s="54" t="str">
        <f aca="false">IF(A71="","",IF(COUNTIF(DEC_ID,A71)&gt;1,"CHECK: duplicate ID",IF(B71="","CHECK: Supplier ID missing",IF(COUNTIF(INV_ID,B71)=0,"CHECK: Supplier ID not in inventory",IF(AND(D71&lt;&gt;"",COUNTIF(RSK_ID,D71)=0),"CHECK: Risk ID not found",IF(AND(D71&lt;&gt;"",COUNTIF(RSK_ID,D71)&gt;0,IFERROR(INDEX(RSK_SUP,MATCH(D71,RSK_ID,0)),"")&lt;&gt;B71),"CHECK: Risk belongs to a different supplier",IF(AND(F71="No",D71=""),"CHECK: risk ID required for risk-level decision","OK")))))))</f>
        <v/>
      </c>
      <c r="Z71" s="52" t="str">
        <f aca="false">IF(OR(A71="",B71=""),"",IF(B71=RptSup,B71&amp;"|"&amp;COUNTIF($B$7:B71,B71),""))</f>
        <v/>
      </c>
    </row>
    <row r="72" customFormat="false" ht="15" hidden="false" customHeight="false" outlineLevel="0" collapsed="false">
      <c r="A72" s="50"/>
      <c r="B72" s="50"/>
      <c r="C72" s="59" t="str">
        <f aca="false">IF(B72="","",IFERROR(INDEX(INV_NAME,MATCH(B72,INV_ID,0)),"CHECK: Supplier ID not found"))</f>
        <v/>
      </c>
      <c r="D72" s="34"/>
      <c r="E72" s="34"/>
      <c r="F72" s="52" t="str">
        <f aca="false">IF(A72="","",IF(OR(E72="Supplier approval",E72="Conditional approval",E72="Approval deferred",E72="Supplier rejection"),"Yes","No"))</f>
        <v/>
      </c>
      <c r="G72" s="63" t="str">
        <f aca="false">IF(OR(A72="",D72=""),"",IFERROR(INDEX(RSK_RBAND,MATCH(D72,RSK_ID,0)),"CHECK: Risk ID not found"))</f>
        <v/>
      </c>
      <c r="H72" s="59" t="str">
        <f aca="false">IF(OR(A72="",D72=""),"",IFERROR(INDEX(RSK_APP,MATCH(D72,RSK_ID,0)),"CHECK: Risk ID not found"))</f>
        <v/>
      </c>
      <c r="I72" s="51"/>
      <c r="J72" s="34"/>
      <c r="K72" s="34"/>
      <c r="L72" s="34"/>
      <c r="M72" s="60"/>
      <c r="N72" s="34"/>
      <c r="O72" s="60"/>
      <c r="P72" s="34"/>
      <c r="Q72" s="64"/>
      <c r="R72" s="51"/>
      <c r="S72" s="60"/>
      <c r="T72" s="34"/>
      <c r="U72" s="50"/>
      <c r="V72" s="54" t="str">
        <f aca="false">IF(A72="","",IF(OR(O72="",O72="Not yet decided"),"Pending - no authorised decision",IF(OR(M72="",S72="",Q72=""),"Incomplete authorisation record - not treated as authorised",IF(OR(U72="Withdrawn",U72="Superseded"),"Not current ("&amp;U72&amp;")",IF(AND(ISNUMBER(R72),R72&lt;AsOf),"Expired - re-approval required",IF(AND(ISNUMBER(R72),R72&lt;=AsOf+WarnDecisionDays),"Review due soon","Authorised (user-entered record)"))))))</f>
        <v/>
      </c>
      <c r="W72" s="54" t="str">
        <f aca="false">IF(A72="","",IF(AND(OR(O72="Risk accepted",O72="Temporary exception granted"),LEFT(H72,5)="Above"),"Accepted exposure REMAINS above appetite - acceptance does not remove the breach",IF(AND(OR(O72="Risk accepted",O72="Temporary exception granted"),H72="Not configured"),"Appetite not configured - position cannot be confirmed","")))</f>
        <v/>
      </c>
      <c r="X72" s="52" t="str">
        <f aca="false">IF(AND(F72="Yes",ISNUMBER(I72),I72=_xlfn.MAXIFS(DEC_RECDATE,DEC_SUP,B72,DEC_LEVEL,"Yes")),B72&amp;"|Latest","")</f>
        <v/>
      </c>
      <c r="Y72" s="54" t="str">
        <f aca="false">IF(A72="","",IF(COUNTIF(DEC_ID,A72)&gt;1,"CHECK: duplicate ID",IF(B72="","CHECK: Supplier ID missing",IF(COUNTIF(INV_ID,B72)=0,"CHECK: Supplier ID not in inventory",IF(AND(D72&lt;&gt;"",COUNTIF(RSK_ID,D72)=0),"CHECK: Risk ID not found",IF(AND(D72&lt;&gt;"",COUNTIF(RSK_ID,D72)&gt;0,IFERROR(INDEX(RSK_SUP,MATCH(D72,RSK_ID,0)),"")&lt;&gt;B72),"CHECK: Risk belongs to a different supplier",IF(AND(F72="No",D72=""),"CHECK: risk ID required for risk-level decision","OK")))))))</f>
        <v/>
      </c>
      <c r="Z72" s="52" t="str">
        <f aca="false">IF(OR(A72="",B72=""),"",IF(B72=RptSup,B72&amp;"|"&amp;COUNTIF($B$7:B72,B72),""))</f>
        <v/>
      </c>
    </row>
    <row r="73" customFormat="false" ht="15" hidden="false" customHeight="false" outlineLevel="0" collapsed="false">
      <c r="A73" s="50"/>
      <c r="B73" s="50"/>
      <c r="C73" s="59" t="str">
        <f aca="false">IF(B73="","",IFERROR(INDEX(INV_NAME,MATCH(B73,INV_ID,0)),"CHECK: Supplier ID not found"))</f>
        <v/>
      </c>
      <c r="D73" s="34"/>
      <c r="E73" s="34"/>
      <c r="F73" s="52" t="str">
        <f aca="false">IF(A73="","",IF(OR(E73="Supplier approval",E73="Conditional approval",E73="Approval deferred",E73="Supplier rejection"),"Yes","No"))</f>
        <v/>
      </c>
      <c r="G73" s="63" t="str">
        <f aca="false">IF(OR(A73="",D73=""),"",IFERROR(INDEX(RSK_RBAND,MATCH(D73,RSK_ID,0)),"CHECK: Risk ID not found"))</f>
        <v/>
      </c>
      <c r="H73" s="59" t="str">
        <f aca="false">IF(OR(A73="",D73=""),"",IFERROR(INDEX(RSK_APP,MATCH(D73,RSK_ID,0)),"CHECK: Risk ID not found"))</f>
        <v/>
      </c>
      <c r="I73" s="51"/>
      <c r="J73" s="34"/>
      <c r="K73" s="34"/>
      <c r="L73" s="34"/>
      <c r="M73" s="60"/>
      <c r="N73" s="34"/>
      <c r="O73" s="60"/>
      <c r="P73" s="34"/>
      <c r="Q73" s="64"/>
      <c r="R73" s="51"/>
      <c r="S73" s="60"/>
      <c r="T73" s="34"/>
      <c r="U73" s="50"/>
      <c r="V73" s="54" t="str">
        <f aca="false">IF(A73="","",IF(OR(O73="",O73="Not yet decided"),"Pending - no authorised decision",IF(OR(M73="",S73="",Q73=""),"Incomplete authorisation record - not treated as authorised",IF(OR(U73="Withdrawn",U73="Superseded"),"Not current ("&amp;U73&amp;")",IF(AND(ISNUMBER(R73),R73&lt;AsOf),"Expired - re-approval required",IF(AND(ISNUMBER(R73),R73&lt;=AsOf+WarnDecisionDays),"Review due soon","Authorised (user-entered record)"))))))</f>
        <v/>
      </c>
      <c r="W73" s="54" t="str">
        <f aca="false">IF(A73="","",IF(AND(OR(O73="Risk accepted",O73="Temporary exception granted"),LEFT(H73,5)="Above"),"Accepted exposure REMAINS above appetite - acceptance does not remove the breach",IF(AND(OR(O73="Risk accepted",O73="Temporary exception granted"),H73="Not configured"),"Appetite not configured - position cannot be confirmed","")))</f>
        <v/>
      </c>
      <c r="X73" s="52" t="str">
        <f aca="false">IF(AND(F73="Yes",ISNUMBER(I73),I73=_xlfn.MAXIFS(DEC_RECDATE,DEC_SUP,B73,DEC_LEVEL,"Yes")),B73&amp;"|Latest","")</f>
        <v/>
      </c>
      <c r="Y73" s="54" t="str">
        <f aca="false">IF(A73="","",IF(COUNTIF(DEC_ID,A73)&gt;1,"CHECK: duplicate ID",IF(B73="","CHECK: Supplier ID missing",IF(COUNTIF(INV_ID,B73)=0,"CHECK: Supplier ID not in inventory",IF(AND(D73&lt;&gt;"",COUNTIF(RSK_ID,D73)=0),"CHECK: Risk ID not found",IF(AND(D73&lt;&gt;"",COUNTIF(RSK_ID,D73)&gt;0,IFERROR(INDEX(RSK_SUP,MATCH(D73,RSK_ID,0)),"")&lt;&gt;B73),"CHECK: Risk belongs to a different supplier",IF(AND(F73="No",D73=""),"CHECK: risk ID required for risk-level decision","OK")))))))</f>
        <v/>
      </c>
      <c r="Z73" s="52" t="str">
        <f aca="false">IF(OR(A73="",B73=""),"",IF(B73=RptSup,B73&amp;"|"&amp;COUNTIF($B$7:B73,B73),""))</f>
        <v/>
      </c>
    </row>
    <row r="74" customFormat="false" ht="15" hidden="false" customHeight="false" outlineLevel="0" collapsed="false">
      <c r="A74" s="50"/>
      <c r="B74" s="50"/>
      <c r="C74" s="59" t="str">
        <f aca="false">IF(B74="","",IFERROR(INDEX(INV_NAME,MATCH(B74,INV_ID,0)),"CHECK: Supplier ID not found"))</f>
        <v/>
      </c>
      <c r="D74" s="34"/>
      <c r="E74" s="34"/>
      <c r="F74" s="52" t="str">
        <f aca="false">IF(A74="","",IF(OR(E74="Supplier approval",E74="Conditional approval",E74="Approval deferred",E74="Supplier rejection"),"Yes","No"))</f>
        <v/>
      </c>
      <c r="G74" s="63" t="str">
        <f aca="false">IF(OR(A74="",D74=""),"",IFERROR(INDEX(RSK_RBAND,MATCH(D74,RSK_ID,0)),"CHECK: Risk ID not found"))</f>
        <v/>
      </c>
      <c r="H74" s="59" t="str">
        <f aca="false">IF(OR(A74="",D74=""),"",IFERROR(INDEX(RSK_APP,MATCH(D74,RSK_ID,0)),"CHECK: Risk ID not found"))</f>
        <v/>
      </c>
      <c r="I74" s="51"/>
      <c r="J74" s="34"/>
      <c r="K74" s="34"/>
      <c r="L74" s="34"/>
      <c r="M74" s="60"/>
      <c r="N74" s="34"/>
      <c r="O74" s="60"/>
      <c r="P74" s="34"/>
      <c r="Q74" s="64"/>
      <c r="R74" s="51"/>
      <c r="S74" s="60"/>
      <c r="T74" s="34"/>
      <c r="U74" s="50"/>
      <c r="V74" s="54" t="str">
        <f aca="false">IF(A74="","",IF(OR(O74="",O74="Not yet decided"),"Pending - no authorised decision",IF(OR(M74="",S74="",Q74=""),"Incomplete authorisation record - not treated as authorised",IF(OR(U74="Withdrawn",U74="Superseded"),"Not current ("&amp;U74&amp;")",IF(AND(ISNUMBER(R74),R74&lt;AsOf),"Expired - re-approval required",IF(AND(ISNUMBER(R74),R74&lt;=AsOf+WarnDecisionDays),"Review due soon","Authorised (user-entered record)"))))))</f>
        <v/>
      </c>
      <c r="W74" s="54" t="str">
        <f aca="false">IF(A74="","",IF(AND(OR(O74="Risk accepted",O74="Temporary exception granted"),LEFT(H74,5)="Above"),"Accepted exposure REMAINS above appetite - acceptance does not remove the breach",IF(AND(OR(O74="Risk accepted",O74="Temporary exception granted"),H74="Not configured"),"Appetite not configured - position cannot be confirmed","")))</f>
        <v/>
      </c>
      <c r="X74" s="52" t="str">
        <f aca="false">IF(AND(F74="Yes",ISNUMBER(I74),I74=_xlfn.MAXIFS(DEC_RECDATE,DEC_SUP,B74,DEC_LEVEL,"Yes")),B74&amp;"|Latest","")</f>
        <v/>
      </c>
      <c r="Y74" s="54" t="str">
        <f aca="false">IF(A74="","",IF(COUNTIF(DEC_ID,A74)&gt;1,"CHECK: duplicate ID",IF(B74="","CHECK: Supplier ID missing",IF(COUNTIF(INV_ID,B74)=0,"CHECK: Supplier ID not in inventory",IF(AND(D74&lt;&gt;"",COUNTIF(RSK_ID,D74)=0),"CHECK: Risk ID not found",IF(AND(D74&lt;&gt;"",COUNTIF(RSK_ID,D74)&gt;0,IFERROR(INDEX(RSK_SUP,MATCH(D74,RSK_ID,0)),"")&lt;&gt;B74),"CHECK: Risk belongs to a different supplier",IF(AND(F74="No",D74=""),"CHECK: risk ID required for risk-level decision","OK")))))))</f>
        <v/>
      </c>
      <c r="Z74" s="52" t="str">
        <f aca="false">IF(OR(A74="",B74=""),"",IF(B74=RptSup,B74&amp;"|"&amp;COUNTIF($B$7:B74,B74),""))</f>
        <v/>
      </c>
    </row>
    <row r="75" customFormat="false" ht="15" hidden="false" customHeight="false" outlineLevel="0" collapsed="false">
      <c r="A75" s="50"/>
      <c r="B75" s="50"/>
      <c r="C75" s="59" t="str">
        <f aca="false">IF(B75="","",IFERROR(INDEX(INV_NAME,MATCH(B75,INV_ID,0)),"CHECK: Supplier ID not found"))</f>
        <v/>
      </c>
      <c r="D75" s="34"/>
      <c r="E75" s="34"/>
      <c r="F75" s="52" t="str">
        <f aca="false">IF(A75="","",IF(OR(E75="Supplier approval",E75="Conditional approval",E75="Approval deferred",E75="Supplier rejection"),"Yes","No"))</f>
        <v/>
      </c>
      <c r="G75" s="63" t="str">
        <f aca="false">IF(OR(A75="",D75=""),"",IFERROR(INDEX(RSK_RBAND,MATCH(D75,RSK_ID,0)),"CHECK: Risk ID not found"))</f>
        <v/>
      </c>
      <c r="H75" s="59" t="str">
        <f aca="false">IF(OR(A75="",D75=""),"",IFERROR(INDEX(RSK_APP,MATCH(D75,RSK_ID,0)),"CHECK: Risk ID not found"))</f>
        <v/>
      </c>
      <c r="I75" s="51"/>
      <c r="J75" s="34"/>
      <c r="K75" s="34"/>
      <c r="L75" s="34"/>
      <c r="M75" s="60"/>
      <c r="N75" s="34"/>
      <c r="O75" s="60"/>
      <c r="P75" s="34"/>
      <c r="Q75" s="64"/>
      <c r="R75" s="51"/>
      <c r="S75" s="60"/>
      <c r="T75" s="34"/>
      <c r="U75" s="50"/>
      <c r="V75" s="54" t="str">
        <f aca="false">IF(A75="","",IF(OR(O75="",O75="Not yet decided"),"Pending - no authorised decision",IF(OR(M75="",S75="",Q75=""),"Incomplete authorisation record - not treated as authorised",IF(OR(U75="Withdrawn",U75="Superseded"),"Not current ("&amp;U75&amp;")",IF(AND(ISNUMBER(R75),R75&lt;AsOf),"Expired - re-approval required",IF(AND(ISNUMBER(R75),R75&lt;=AsOf+WarnDecisionDays),"Review due soon","Authorised (user-entered record)"))))))</f>
        <v/>
      </c>
      <c r="W75" s="54" t="str">
        <f aca="false">IF(A75="","",IF(AND(OR(O75="Risk accepted",O75="Temporary exception granted"),LEFT(H75,5)="Above"),"Accepted exposure REMAINS above appetite - acceptance does not remove the breach",IF(AND(OR(O75="Risk accepted",O75="Temporary exception granted"),H75="Not configured"),"Appetite not configured - position cannot be confirmed","")))</f>
        <v/>
      </c>
      <c r="X75" s="52" t="str">
        <f aca="false">IF(AND(F75="Yes",ISNUMBER(I75),I75=_xlfn.MAXIFS(DEC_RECDATE,DEC_SUP,B75,DEC_LEVEL,"Yes")),B75&amp;"|Latest","")</f>
        <v/>
      </c>
      <c r="Y75" s="54" t="str">
        <f aca="false">IF(A75="","",IF(COUNTIF(DEC_ID,A75)&gt;1,"CHECK: duplicate ID",IF(B75="","CHECK: Supplier ID missing",IF(COUNTIF(INV_ID,B75)=0,"CHECK: Supplier ID not in inventory",IF(AND(D75&lt;&gt;"",COUNTIF(RSK_ID,D75)=0),"CHECK: Risk ID not found",IF(AND(D75&lt;&gt;"",COUNTIF(RSK_ID,D75)&gt;0,IFERROR(INDEX(RSK_SUP,MATCH(D75,RSK_ID,0)),"")&lt;&gt;B75),"CHECK: Risk belongs to a different supplier",IF(AND(F75="No",D75=""),"CHECK: risk ID required for risk-level decision","OK")))))))</f>
        <v/>
      </c>
      <c r="Z75" s="52" t="str">
        <f aca="false">IF(OR(A75="",B75=""),"",IF(B75=RptSup,B75&amp;"|"&amp;COUNTIF($B$7:B75,B75),""))</f>
        <v/>
      </c>
    </row>
    <row r="76" customFormat="false" ht="15" hidden="false" customHeight="false" outlineLevel="0" collapsed="false">
      <c r="A76" s="50"/>
      <c r="B76" s="50"/>
      <c r="C76" s="59" t="str">
        <f aca="false">IF(B76="","",IFERROR(INDEX(INV_NAME,MATCH(B76,INV_ID,0)),"CHECK: Supplier ID not found"))</f>
        <v/>
      </c>
      <c r="D76" s="34"/>
      <c r="E76" s="34"/>
      <c r="F76" s="52" t="str">
        <f aca="false">IF(A76="","",IF(OR(E76="Supplier approval",E76="Conditional approval",E76="Approval deferred",E76="Supplier rejection"),"Yes","No"))</f>
        <v/>
      </c>
      <c r="G76" s="63" t="str">
        <f aca="false">IF(OR(A76="",D76=""),"",IFERROR(INDEX(RSK_RBAND,MATCH(D76,RSK_ID,0)),"CHECK: Risk ID not found"))</f>
        <v/>
      </c>
      <c r="H76" s="59" t="str">
        <f aca="false">IF(OR(A76="",D76=""),"",IFERROR(INDEX(RSK_APP,MATCH(D76,RSK_ID,0)),"CHECK: Risk ID not found"))</f>
        <v/>
      </c>
      <c r="I76" s="51"/>
      <c r="J76" s="34"/>
      <c r="K76" s="34"/>
      <c r="L76" s="34"/>
      <c r="M76" s="60"/>
      <c r="N76" s="34"/>
      <c r="O76" s="60"/>
      <c r="P76" s="34"/>
      <c r="Q76" s="64"/>
      <c r="R76" s="51"/>
      <c r="S76" s="60"/>
      <c r="T76" s="34"/>
      <c r="U76" s="50"/>
      <c r="V76" s="54" t="str">
        <f aca="false">IF(A76="","",IF(OR(O76="",O76="Not yet decided"),"Pending - no authorised decision",IF(OR(M76="",S76="",Q76=""),"Incomplete authorisation record - not treated as authorised",IF(OR(U76="Withdrawn",U76="Superseded"),"Not current ("&amp;U76&amp;")",IF(AND(ISNUMBER(R76),R76&lt;AsOf),"Expired - re-approval required",IF(AND(ISNUMBER(R76),R76&lt;=AsOf+WarnDecisionDays),"Review due soon","Authorised (user-entered record)"))))))</f>
        <v/>
      </c>
      <c r="W76" s="54" t="str">
        <f aca="false">IF(A76="","",IF(AND(OR(O76="Risk accepted",O76="Temporary exception granted"),LEFT(H76,5)="Above"),"Accepted exposure REMAINS above appetite - acceptance does not remove the breach",IF(AND(OR(O76="Risk accepted",O76="Temporary exception granted"),H76="Not configured"),"Appetite not configured - position cannot be confirmed","")))</f>
        <v/>
      </c>
      <c r="X76" s="52" t="str">
        <f aca="false">IF(AND(F76="Yes",ISNUMBER(I76),I76=_xlfn.MAXIFS(DEC_RECDATE,DEC_SUP,B76,DEC_LEVEL,"Yes")),B76&amp;"|Latest","")</f>
        <v/>
      </c>
      <c r="Y76" s="54" t="str">
        <f aca="false">IF(A76="","",IF(COUNTIF(DEC_ID,A76)&gt;1,"CHECK: duplicate ID",IF(B76="","CHECK: Supplier ID missing",IF(COUNTIF(INV_ID,B76)=0,"CHECK: Supplier ID not in inventory",IF(AND(D76&lt;&gt;"",COUNTIF(RSK_ID,D76)=0),"CHECK: Risk ID not found",IF(AND(D76&lt;&gt;"",COUNTIF(RSK_ID,D76)&gt;0,IFERROR(INDEX(RSK_SUP,MATCH(D76,RSK_ID,0)),"")&lt;&gt;B76),"CHECK: Risk belongs to a different supplier",IF(AND(F76="No",D76=""),"CHECK: risk ID required for risk-level decision","OK")))))))</f>
        <v/>
      </c>
      <c r="Z76" s="52" t="str">
        <f aca="false">IF(OR(A76="",B76=""),"",IF(B76=RptSup,B76&amp;"|"&amp;COUNTIF($B$7:B76,B76),""))</f>
        <v/>
      </c>
    </row>
    <row r="77" customFormat="false" ht="15" hidden="false" customHeight="false" outlineLevel="0" collapsed="false">
      <c r="A77" s="50"/>
      <c r="B77" s="50"/>
      <c r="C77" s="59" t="str">
        <f aca="false">IF(B77="","",IFERROR(INDEX(INV_NAME,MATCH(B77,INV_ID,0)),"CHECK: Supplier ID not found"))</f>
        <v/>
      </c>
      <c r="D77" s="34"/>
      <c r="E77" s="34"/>
      <c r="F77" s="52" t="str">
        <f aca="false">IF(A77="","",IF(OR(E77="Supplier approval",E77="Conditional approval",E77="Approval deferred",E77="Supplier rejection"),"Yes","No"))</f>
        <v/>
      </c>
      <c r="G77" s="63" t="str">
        <f aca="false">IF(OR(A77="",D77=""),"",IFERROR(INDEX(RSK_RBAND,MATCH(D77,RSK_ID,0)),"CHECK: Risk ID not found"))</f>
        <v/>
      </c>
      <c r="H77" s="59" t="str">
        <f aca="false">IF(OR(A77="",D77=""),"",IFERROR(INDEX(RSK_APP,MATCH(D77,RSK_ID,0)),"CHECK: Risk ID not found"))</f>
        <v/>
      </c>
      <c r="I77" s="51"/>
      <c r="J77" s="34"/>
      <c r="K77" s="34"/>
      <c r="L77" s="34"/>
      <c r="M77" s="60"/>
      <c r="N77" s="34"/>
      <c r="O77" s="60"/>
      <c r="P77" s="34"/>
      <c r="Q77" s="64"/>
      <c r="R77" s="51"/>
      <c r="S77" s="60"/>
      <c r="T77" s="34"/>
      <c r="U77" s="50"/>
      <c r="V77" s="54" t="str">
        <f aca="false">IF(A77="","",IF(OR(O77="",O77="Not yet decided"),"Pending - no authorised decision",IF(OR(M77="",S77="",Q77=""),"Incomplete authorisation record - not treated as authorised",IF(OR(U77="Withdrawn",U77="Superseded"),"Not current ("&amp;U77&amp;")",IF(AND(ISNUMBER(R77),R77&lt;AsOf),"Expired - re-approval required",IF(AND(ISNUMBER(R77),R77&lt;=AsOf+WarnDecisionDays),"Review due soon","Authorised (user-entered record)"))))))</f>
        <v/>
      </c>
      <c r="W77" s="54" t="str">
        <f aca="false">IF(A77="","",IF(AND(OR(O77="Risk accepted",O77="Temporary exception granted"),LEFT(H77,5)="Above"),"Accepted exposure REMAINS above appetite - acceptance does not remove the breach",IF(AND(OR(O77="Risk accepted",O77="Temporary exception granted"),H77="Not configured"),"Appetite not configured - position cannot be confirmed","")))</f>
        <v/>
      </c>
      <c r="X77" s="52" t="str">
        <f aca="false">IF(AND(F77="Yes",ISNUMBER(I77),I77=_xlfn.MAXIFS(DEC_RECDATE,DEC_SUP,B77,DEC_LEVEL,"Yes")),B77&amp;"|Latest","")</f>
        <v/>
      </c>
      <c r="Y77" s="54" t="str">
        <f aca="false">IF(A77="","",IF(COUNTIF(DEC_ID,A77)&gt;1,"CHECK: duplicate ID",IF(B77="","CHECK: Supplier ID missing",IF(COUNTIF(INV_ID,B77)=0,"CHECK: Supplier ID not in inventory",IF(AND(D77&lt;&gt;"",COUNTIF(RSK_ID,D77)=0),"CHECK: Risk ID not found",IF(AND(D77&lt;&gt;"",COUNTIF(RSK_ID,D77)&gt;0,IFERROR(INDEX(RSK_SUP,MATCH(D77,RSK_ID,0)),"")&lt;&gt;B77),"CHECK: Risk belongs to a different supplier",IF(AND(F77="No",D77=""),"CHECK: risk ID required for risk-level decision","OK")))))))</f>
        <v/>
      </c>
      <c r="Z77" s="52" t="str">
        <f aca="false">IF(OR(A77="",B77=""),"",IF(B77=RptSup,B77&amp;"|"&amp;COUNTIF($B$7:B77,B77),""))</f>
        <v/>
      </c>
    </row>
    <row r="78" customFormat="false" ht="15" hidden="false" customHeight="false" outlineLevel="0" collapsed="false">
      <c r="A78" s="50"/>
      <c r="B78" s="50"/>
      <c r="C78" s="59" t="str">
        <f aca="false">IF(B78="","",IFERROR(INDEX(INV_NAME,MATCH(B78,INV_ID,0)),"CHECK: Supplier ID not found"))</f>
        <v/>
      </c>
      <c r="D78" s="34"/>
      <c r="E78" s="34"/>
      <c r="F78" s="52" t="str">
        <f aca="false">IF(A78="","",IF(OR(E78="Supplier approval",E78="Conditional approval",E78="Approval deferred",E78="Supplier rejection"),"Yes","No"))</f>
        <v/>
      </c>
      <c r="G78" s="63" t="str">
        <f aca="false">IF(OR(A78="",D78=""),"",IFERROR(INDEX(RSK_RBAND,MATCH(D78,RSK_ID,0)),"CHECK: Risk ID not found"))</f>
        <v/>
      </c>
      <c r="H78" s="59" t="str">
        <f aca="false">IF(OR(A78="",D78=""),"",IFERROR(INDEX(RSK_APP,MATCH(D78,RSK_ID,0)),"CHECK: Risk ID not found"))</f>
        <v/>
      </c>
      <c r="I78" s="51"/>
      <c r="J78" s="34"/>
      <c r="K78" s="34"/>
      <c r="L78" s="34"/>
      <c r="M78" s="60"/>
      <c r="N78" s="34"/>
      <c r="O78" s="60"/>
      <c r="P78" s="34"/>
      <c r="Q78" s="64"/>
      <c r="R78" s="51"/>
      <c r="S78" s="60"/>
      <c r="T78" s="34"/>
      <c r="U78" s="50"/>
      <c r="V78" s="54" t="str">
        <f aca="false">IF(A78="","",IF(OR(O78="",O78="Not yet decided"),"Pending - no authorised decision",IF(OR(M78="",S78="",Q78=""),"Incomplete authorisation record - not treated as authorised",IF(OR(U78="Withdrawn",U78="Superseded"),"Not current ("&amp;U78&amp;")",IF(AND(ISNUMBER(R78),R78&lt;AsOf),"Expired - re-approval required",IF(AND(ISNUMBER(R78),R78&lt;=AsOf+WarnDecisionDays),"Review due soon","Authorised (user-entered record)"))))))</f>
        <v/>
      </c>
      <c r="W78" s="54" t="str">
        <f aca="false">IF(A78="","",IF(AND(OR(O78="Risk accepted",O78="Temporary exception granted"),LEFT(H78,5)="Above"),"Accepted exposure REMAINS above appetite - acceptance does not remove the breach",IF(AND(OR(O78="Risk accepted",O78="Temporary exception granted"),H78="Not configured"),"Appetite not configured - position cannot be confirmed","")))</f>
        <v/>
      </c>
      <c r="X78" s="52" t="str">
        <f aca="false">IF(AND(F78="Yes",ISNUMBER(I78),I78=_xlfn.MAXIFS(DEC_RECDATE,DEC_SUP,B78,DEC_LEVEL,"Yes")),B78&amp;"|Latest","")</f>
        <v/>
      </c>
      <c r="Y78" s="54" t="str">
        <f aca="false">IF(A78="","",IF(COUNTIF(DEC_ID,A78)&gt;1,"CHECK: duplicate ID",IF(B78="","CHECK: Supplier ID missing",IF(COUNTIF(INV_ID,B78)=0,"CHECK: Supplier ID not in inventory",IF(AND(D78&lt;&gt;"",COUNTIF(RSK_ID,D78)=0),"CHECK: Risk ID not found",IF(AND(D78&lt;&gt;"",COUNTIF(RSK_ID,D78)&gt;0,IFERROR(INDEX(RSK_SUP,MATCH(D78,RSK_ID,0)),"")&lt;&gt;B78),"CHECK: Risk belongs to a different supplier",IF(AND(F78="No",D78=""),"CHECK: risk ID required for risk-level decision","OK")))))))</f>
        <v/>
      </c>
      <c r="Z78" s="52" t="str">
        <f aca="false">IF(OR(A78="",B78=""),"",IF(B78=RptSup,B78&amp;"|"&amp;COUNTIF($B$7:B78,B78),""))</f>
        <v/>
      </c>
    </row>
    <row r="79" customFormat="false" ht="15" hidden="false" customHeight="false" outlineLevel="0" collapsed="false">
      <c r="A79" s="50"/>
      <c r="B79" s="50"/>
      <c r="C79" s="59" t="str">
        <f aca="false">IF(B79="","",IFERROR(INDEX(INV_NAME,MATCH(B79,INV_ID,0)),"CHECK: Supplier ID not found"))</f>
        <v/>
      </c>
      <c r="D79" s="34"/>
      <c r="E79" s="34"/>
      <c r="F79" s="52" t="str">
        <f aca="false">IF(A79="","",IF(OR(E79="Supplier approval",E79="Conditional approval",E79="Approval deferred",E79="Supplier rejection"),"Yes","No"))</f>
        <v/>
      </c>
      <c r="G79" s="63" t="str">
        <f aca="false">IF(OR(A79="",D79=""),"",IFERROR(INDEX(RSK_RBAND,MATCH(D79,RSK_ID,0)),"CHECK: Risk ID not found"))</f>
        <v/>
      </c>
      <c r="H79" s="59" t="str">
        <f aca="false">IF(OR(A79="",D79=""),"",IFERROR(INDEX(RSK_APP,MATCH(D79,RSK_ID,0)),"CHECK: Risk ID not found"))</f>
        <v/>
      </c>
      <c r="I79" s="51"/>
      <c r="J79" s="34"/>
      <c r="K79" s="34"/>
      <c r="L79" s="34"/>
      <c r="M79" s="60"/>
      <c r="N79" s="34"/>
      <c r="O79" s="60"/>
      <c r="P79" s="34"/>
      <c r="Q79" s="64"/>
      <c r="R79" s="51"/>
      <c r="S79" s="60"/>
      <c r="T79" s="34"/>
      <c r="U79" s="50"/>
      <c r="V79" s="54" t="str">
        <f aca="false">IF(A79="","",IF(OR(O79="",O79="Not yet decided"),"Pending - no authorised decision",IF(OR(M79="",S79="",Q79=""),"Incomplete authorisation record - not treated as authorised",IF(OR(U79="Withdrawn",U79="Superseded"),"Not current ("&amp;U79&amp;")",IF(AND(ISNUMBER(R79),R79&lt;AsOf),"Expired - re-approval required",IF(AND(ISNUMBER(R79),R79&lt;=AsOf+WarnDecisionDays),"Review due soon","Authorised (user-entered record)"))))))</f>
        <v/>
      </c>
      <c r="W79" s="54" t="str">
        <f aca="false">IF(A79="","",IF(AND(OR(O79="Risk accepted",O79="Temporary exception granted"),LEFT(H79,5)="Above"),"Accepted exposure REMAINS above appetite - acceptance does not remove the breach",IF(AND(OR(O79="Risk accepted",O79="Temporary exception granted"),H79="Not configured"),"Appetite not configured - position cannot be confirmed","")))</f>
        <v/>
      </c>
      <c r="X79" s="52" t="str">
        <f aca="false">IF(AND(F79="Yes",ISNUMBER(I79),I79=_xlfn.MAXIFS(DEC_RECDATE,DEC_SUP,B79,DEC_LEVEL,"Yes")),B79&amp;"|Latest","")</f>
        <v/>
      </c>
      <c r="Y79" s="54" t="str">
        <f aca="false">IF(A79="","",IF(COUNTIF(DEC_ID,A79)&gt;1,"CHECK: duplicate ID",IF(B79="","CHECK: Supplier ID missing",IF(COUNTIF(INV_ID,B79)=0,"CHECK: Supplier ID not in inventory",IF(AND(D79&lt;&gt;"",COUNTIF(RSK_ID,D79)=0),"CHECK: Risk ID not found",IF(AND(D79&lt;&gt;"",COUNTIF(RSK_ID,D79)&gt;0,IFERROR(INDEX(RSK_SUP,MATCH(D79,RSK_ID,0)),"")&lt;&gt;B79),"CHECK: Risk belongs to a different supplier",IF(AND(F79="No",D79=""),"CHECK: risk ID required for risk-level decision","OK")))))))</f>
        <v/>
      </c>
      <c r="Z79" s="52" t="str">
        <f aca="false">IF(OR(A79="",B79=""),"",IF(B79=RptSup,B79&amp;"|"&amp;COUNTIF($B$7:B79,B79),""))</f>
        <v/>
      </c>
    </row>
    <row r="80" customFormat="false" ht="15" hidden="false" customHeight="false" outlineLevel="0" collapsed="false">
      <c r="A80" s="50"/>
      <c r="B80" s="50"/>
      <c r="C80" s="59" t="str">
        <f aca="false">IF(B80="","",IFERROR(INDEX(INV_NAME,MATCH(B80,INV_ID,0)),"CHECK: Supplier ID not found"))</f>
        <v/>
      </c>
      <c r="D80" s="34"/>
      <c r="E80" s="34"/>
      <c r="F80" s="52" t="str">
        <f aca="false">IF(A80="","",IF(OR(E80="Supplier approval",E80="Conditional approval",E80="Approval deferred",E80="Supplier rejection"),"Yes","No"))</f>
        <v/>
      </c>
      <c r="G80" s="63" t="str">
        <f aca="false">IF(OR(A80="",D80=""),"",IFERROR(INDEX(RSK_RBAND,MATCH(D80,RSK_ID,0)),"CHECK: Risk ID not found"))</f>
        <v/>
      </c>
      <c r="H80" s="59" t="str">
        <f aca="false">IF(OR(A80="",D80=""),"",IFERROR(INDEX(RSK_APP,MATCH(D80,RSK_ID,0)),"CHECK: Risk ID not found"))</f>
        <v/>
      </c>
      <c r="I80" s="51"/>
      <c r="J80" s="34"/>
      <c r="K80" s="34"/>
      <c r="L80" s="34"/>
      <c r="M80" s="60"/>
      <c r="N80" s="34"/>
      <c r="O80" s="60"/>
      <c r="P80" s="34"/>
      <c r="Q80" s="64"/>
      <c r="R80" s="51"/>
      <c r="S80" s="60"/>
      <c r="T80" s="34"/>
      <c r="U80" s="50"/>
      <c r="V80" s="54" t="str">
        <f aca="false">IF(A80="","",IF(OR(O80="",O80="Not yet decided"),"Pending - no authorised decision",IF(OR(M80="",S80="",Q80=""),"Incomplete authorisation record - not treated as authorised",IF(OR(U80="Withdrawn",U80="Superseded"),"Not current ("&amp;U80&amp;")",IF(AND(ISNUMBER(R80),R80&lt;AsOf),"Expired - re-approval required",IF(AND(ISNUMBER(R80),R80&lt;=AsOf+WarnDecisionDays),"Review due soon","Authorised (user-entered record)"))))))</f>
        <v/>
      </c>
      <c r="W80" s="54" t="str">
        <f aca="false">IF(A80="","",IF(AND(OR(O80="Risk accepted",O80="Temporary exception granted"),LEFT(H80,5)="Above"),"Accepted exposure REMAINS above appetite - acceptance does not remove the breach",IF(AND(OR(O80="Risk accepted",O80="Temporary exception granted"),H80="Not configured"),"Appetite not configured - position cannot be confirmed","")))</f>
        <v/>
      </c>
      <c r="X80" s="52" t="str">
        <f aca="false">IF(AND(F80="Yes",ISNUMBER(I80),I80=_xlfn.MAXIFS(DEC_RECDATE,DEC_SUP,B80,DEC_LEVEL,"Yes")),B80&amp;"|Latest","")</f>
        <v/>
      </c>
      <c r="Y80" s="54" t="str">
        <f aca="false">IF(A80="","",IF(COUNTIF(DEC_ID,A80)&gt;1,"CHECK: duplicate ID",IF(B80="","CHECK: Supplier ID missing",IF(COUNTIF(INV_ID,B80)=0,"CHECK: Supplier ID not in inventory",IF(AND(D80&lt;&gt;"",COUNTIF(RSK_ID,D80)=0),"CHECK: Risk ID not found",IF(AND(D80&lt;&gt;"",COUNTIF(RSK_ID,D80)&gt;0,IFERROR(INDEX(RSK_SUP,MATCH(D80,RSK_ID,0)),"")&lt;&gt;B80),"CHECK: Risk belongs to a different supplier",IF(AND(F80="No",D80=""),"CHECK: risk ID required for risk-level decision","OK")))))))</f>
        <v/>
      </c>
      <c r="Z80" s="52" t="str">
        <f aca="false">IF(OR(A80="",B80=""),"",IF(B80=RptSup,B80&amp;"|"&amp;COUNTIF($B$7:B80,B80),""))</f>
        <v/>
      </c>
    </row>
    <row r="81" customFormat="false" ht="15" hidden="false" customHeight="false" outlineLevel="0" collapsed="false">
      <c r="A81" s="50"/>
      <c r="B81" s="50"/>
      <c r="C81" s="59" t="str">
        <f aca="false">IF(B81="","",IFERROR(INDEX(INV_NAME,MATCH(B81,INV_ID,0)),"CHECK: Supplier ID not found"))</f>
        <v/>
      </c>
      <c r="D81" s="34"/>
      <c r="E81" s="34"/>
      <c r="F81" s="52" t="str">
        <f aca="false">IF(A81="","",IF(OR(E81="Supplier approval",E81="Conditional approval",E81="Approval deferred",E81="Supplier rejection"),"Yes","No"))</f>
        <v/>
      </c>
      <c r="G81" s="63" t="str">
        <f aca="false">IF(OR(A81="",D81=""),"",IFERROR(INDEX(RSK_RBAND,MATCH(D81,RSK_ID,0)),"CHECK: Risk ID not found"))</f>
        <v/>
      </c>
      <c r="H81" s="59" t="str">
        <f aca="false">IF(OR(A81="",D81=""),"",IFERROR(INDEX(RSK_APP,MATCH(D81,RSK_ID,0)),"CHECK: Risk ID not found"))</f>
        <v/>
      </c>
      <c r="I81" s="51"/>
      <c r="J81" s="34"/>
      <c r="K81" s="34"/>
      <c r="L81" s="34"/>
      <c r="M81" s="60"/>
      <c r="N81" s="34"/>
      <c r="O81" s="60"/>
      <c r="P81" s="34"/>
      <c r="Q81" s="64"/>
      <c r="R81" s="51"/>
      <c r="S81" s="60"/>
      <c r="T81" s="34"/>
      <c r="U81" s="50"/>
      <c r="V81" s="54" t="str">
        <f aca="false">IF(A81="","",IF(OR(O81="",O81="Not yet decided"),"Pending - no authorised decision",IF(OR(M81="",S81="",Q81=""),"Incomplete authorisation record - not treated as authorised",IF(OR(U81="Withdrawn",U81="Superseded"),"Not current ("&amp;U81&amp;")",IF(AND(ISNUMBER(R81),R81&lt;AsOf),"Expired - re-approval required",IF(AND(ISNUMBER(R81),R81&lt;=AsOf+WarnDecisionDays),"Review due soon","Authorised (user-entered record)"))))))</f>
        <v/>
      </c>
      <c r="W81" s="54" t="str">
        <f aca="false">IF(A81="","",IF(AND(OR(O81="Risk accepted",O81="Temporary exception granted"),LEFT(H81,5)="Above"),"Accepted exposure REMAINS above appetite - acceptance does not remove the breach",IF(AND(OR(O81="Risk accepted",O81="Temporary exception granted"),H81="Not configured"),"Appetite not configured - position cannot be confirmed","")))</f>
        <v/>
      </c>
      <c r="X81" s="52" t="str">
        <f aca="false">IF(AND(F81="Yes",ISNUMBER(I81),I81=_xlfn.MAXIFS(DEC_RECDATE,DEC_SUP,B81,DEC_LEVEL,"Yes")),B81&amp;"|Latest","")</f>
        <v/>
      </c>
      <c r="Y81" s="54" t="str">
        <f aca="false">IF(A81="","",IF(COUNTIF(DEC_ID,A81)&gt;1,"CHECK: duplicate ID",IF(B81="","CHECK: Supplier ID missing",IF(COUNTIF(INV_ID,B81)=0,"CHECK: Supplier ID not in inventory",IF(AND(D81&lt;&gt;"",COUNTIF(RSK_ID,D81)=0),"CHECK: Risk ID not found",IF(AND(D81&lt;&gt;"",COUNTIF(RSK_ID,D81)&gt;0,IFERROR(INDEX(RSK_SUP,MATCH(D81,RSK_ID,0)),"")&lt;&gt;B81),"CHECK: Risk belongs to a different supplier",IF(AND(F81="No",D81=""),"CHECK: risk ID required for risk-level decision","OK")))))))</f>
        <v/>
      </c>
      <c r="Z81" s="52" t="str">
        <f aca="false">IF(OR(A81="",B81=""),"",IF(B81=RptSup,B81&amp;"|"&amp;COUNTIF($B$7:B81,B81),""))</f>
        <v/>
      </c>
    </row>
    <row r="82" customFormat="false" ht="15" hidden="false" customHeight="false" outlineLevel="0" collapsed="false">
      <c r="A82" s="50"/>
      <c r="B82" s="50"/>
      <c r="C82" s="59" t="str">
        <f aca="false">IF(B82="","",IFERROR(INDEX(INV_NAME,MATCH(B82,INV_ID,0)),"CHECK: Supplier ID not found"))</f>
        <v/>
      </c>
      <c r="D82" s="34"/>
      <c r="E82" s="34"/>
      <c r="F82" s="52" t="str">
        <f aca="false">IF(A82="","",IF(OR(E82="Supplier approval",E82="Conditional approval",E82="Approval deferred",E82="Supplier rejection"),"Yes","No"))</f>
        <v/>
      </c>
      <c r="G82" s="63" t="str">
        <f aca="false">IF(OR(A82="",D82=""),"",IFERROR(INDEX(RSK_RBAND,MATCH(D82,RSK_ID,0)),"CHECK: Risk ID not found"))</f>
        <v/>
      </c>
      <c r="H82" s="59" t="str">
        <f aca="false">IF(OR(A82="",D82=""),"",IFERROR(INDEX(RSK_APP,MATCH(D82,RSK_ID,0)),"CHECK: Risk ID not found"))</f>
        <v/>
      </c>
      <c r="I82" s="51"/>
      <c r="J82" s="34"/>
      <c r="K82" s="34"/>
      <c r="L82" s="34"/>
      <c r="M82" s="60"/>
      <c r="N82" s="34"/>
      <c r="O82" s="60"/>
      <c r="P82" s="34"/>
      <c r="Q82" s="64"/>
      <c r="R82" s="51"/>
      <c r="S82" s="60"/>
      <c r="T82" s="34"/>
      <c r="U82" s="50"/>
      <c r="V82" s="54" t="str">
        <f aca="false">IF(A82="","",IF(OR(O82="",O82="Not yet decided"),"Pending - no authorised decision",IF(OR(M82="",S82="",Q82=""),"Incomplete authorisation record - not treated as authorised",IF(OR(U82="Withdrawn",U82="Superseded"),"Not current ("&amp;U82&amp;")",IF(AND(ISNUMBER(R82),R82&lt;AsOf),"Expired - re-approval required",IF(AND(ISNUMBER(R82),R82&lt;=AsOf+WarnDecisionDays),"Review due soon","Authorised (user-entered record)"))))))</f>
        <v/>
      </c>
      <c r="W82" s="54" t="str">
        <f aca="false">IF(A82="","",IF(AND(OR(O82="Risk accepted",O82="Temporary exception granted"),LEFT(H82,5)="Above"),"Accepted exposure REMAINS above appetite - acceptance does not remove the breach",IF(AND(OR(O82="Risk accepted",O82="Temporary exception granted"),H82="Not configured"),"Appetite not configured - position cannot be confirmed","")))</f>
        <v/>
      </c>
      <c r="X82" s="52" t="str">
        <f aca="false">IF(AND(F82="Yes",ISNUMBER(I82),I82=_xlfn.MAXIFS(DEC_RECDATE,DEC_SUP,B82,DEC_LEVEL,"Yes")),B82&amp;"|Latest","")</f>
        <v/>
      </c>
      <c r="Y82" s="54" t="str">
        <f aca="false">IF(A82="","",IF(COUNTIF(DEC_ID,A82)&gt;1,"CHECK: duplicate ID",IF(B82="","CHECK: Supplier ID missing",IF(COUNTIF(INV_ID,B82)=0,"CHECK: Supplier ID not in inventory",IF(AND(D82&lt;&gt;"",COUNTIF(RSK_ID,D82)=0),"CHECK: Risk ID not found",IF(AND(D82&lt;&gt;"",COUNTIF(RSK_ID,D82)&gt;0,IFERROR(INDEX(RSK_SUP,MATCH(D82,RSK_ID,0)),"")&lt;&gt;B82),"CHECK: Risk belongs to a different supplier",IF(AND(F82="No",D82=""),"CHECK: risk ID required for risk-level decision","OK")))))))</f>
        <v/>
      </c>
      <c r="Z82" s="52" t="str">
        <f aca="false">IF(OR(A82="",B82=""),"",IF(B82=RptSup,B82&amp;"|"&amp;COUNTIF($B$7:B82,B82),""))</f>
        <v/>
      </c>
    </row>
    <row r="83" customFormat="false" ht="15" hidden="false" customHeight="false" outlineLevel="0" collapsed="false">
      <c r="A83" s="50"/>
      <c r="B83" s="50"/>
      <c r="C83" s="59" t="str">
        <f aca="false">IF(B83="","",IFERROR(INDEX(INV_NAME,MATCH(B83,INV_ID,0)),"CHECK: Supplier ID not found"))</f>
        <v/>
      </c>
      <c r="D83" s="34"/>
      <c r="E83" s="34"/>
      <c r="F83" s="52" t="str">
        <f aca="false">IF(A83="","",IF(OR(E83="Supplier approval",E83="Conditional approval",E83="Approval deferred",E83="Supplier rejection"),"Yes","No"))</f>
        <v/>
      </c>
      <c r="G83" s="63" t="str">
        <f aca="false">IF(OR(A83="",D83=""),"",IFERROR(INDEX(RSK_RBAND,MATCH(D83,RSK_ID,0)),"CHECK: Risk ID not found"))</f>
        <v/>
      </c>
      <c r="H83" s="59" t="str">
        <f aca="false">IF(OR(A83="",D83=""),"",IFERROR(INDEX(RSK_APP,MATCH(D83,RSK_ID,0)),"CHECK: Risk ID not found"))</f>
        <v/>
      </c>
      <c r="I83" s="51"/>
      <c r="J83" s="34"/>
      <c r="K83" s="34"/>
      <c r="L83" s="34"/>
      <c r="M83" s="60"/>
      <c r="N83" s="34"/>
      <c r="O83" s="60"/>
      <c r="P83" s="34"/>
      <c r="Q83" s="64"/>
      <c r="R83" s="51"/>
      <c r="S83" s="60"/>
      <c r="T83" s="34"/>
      <c r="U83" s="50"/>
      <c r="V83" s="54" t="str">
        <f aca="false">IF(A83="","",IF(OR(O83="",O83="Not yet decided"),"Pending - no authorised decision",IF(OR(M83="",S83="",Q83=""),"Incomplete authorisation record - not treated as authorised",IF(OR(U83="Withdrawn",U83="Superseded"),"Not current ("&amp;U83&amp;")",IF(AND(ISNUMBER(R83),R83&lt;AsOf),"Expired - re-approval required",IF(AND(ISNUMBER(R83),R83&lt;=AsOf+WarnDecisionDays),"Review due soon","Authorised (user-entered record)"))))))</f>
        <v/>
      </c>
      <c r="W83" s="54" t="str">
        <f aca="false">IF(A83="","",IF(AND(OR(O83="Risk accepted",O83="Temporary exception granted"),LEFT(H83,5)="Above"),"Accepted exposure REMAINS above appetite - acceptance does not remove the breach",IF(AND(OR(O83="Risk accepted",O83="Temporary exception granted"),H83="Not configured"),"Appetite not configured - position cannot be confirmed","")))</f>
        <v/>
      </c>
      <c r="X83" s="52" t="str">
        <f aca="false">IF(AND(F83="Yes",ISNUMBER(I83),I83=_xlfn.MAXIFS(DEC_RECDATE,DEC_SUP,B83,DEC_LEVEL,"Yes")),B83&amp;"|Latest","")</f>
        <v/>
      </c>
      <c r="Y83" s="54" t="str">
        <f aca="false">IF(A83="","",IF(COUNTIF(DEC_ID,A83)&gt;1,"CHECK: duplicate ID",IF(B83="","CHECK: Supplier ID missing",IF(COUNTIF(INV_ID,B83)=0,"CHECK: Supplier ID not in inventory",IF(AND(D83&lt;&gt;"",COUNTIF(RSK_ID,D83)=0),"CHECK: Risk ID not found",IF(AND(D83&lt;&gt;"",COUNTIF(RSK_ID,D83)&gt;0,IFERROR(INDEX(RSK_SUP,MATCH(D83,RSK_ID,0)),"")&lt;&gt;B83),"CHECK: Risk belongs to a different supplier",IF(AND(F83="No",D83=""),"CHECK: risk ID required for risk-level decision","OK")))))))</f>
        <v/>
      </c>
      <c r="Z83" s="52" t="str">
        <f aca="false">IF(OR(A83="",B83=""),"",IF(B83=RptSup,B83&amp;"|"&amp;COUNTIF($B$7:B83,B83),""))</f>
        <v/>
      </c>
    </row>
    <row r="84" customFormat="false" ht="15" hidden="false" customHeight="false" outlineLevel="0" collapsed="false">
      <c r="A84" s="50"/>
      <c r="B84" s="50"/>
      <c r="C84" s="59" t="str">
        <f aca="false">IF(B84="","",IFERROR(INDEX(INV_NAME,MATCH(B84,INV_ID,0)),"CHECK: Supplier ID not found"))</f>
        <v/>
      </c>
      <c r="D84" s="34"/>
      <c r="E84" s="34"/>
      <c r="F84" s="52" t="str">
        <f aca="false">IF(A84="","",IF(OR(E84="Supplier approval",E84="Conditional approval",E84="Approval deferred",E84="Supplier rejection"),"Yes","No"))</f>
        <v/>
      </c>
      <c r="G84" s="63" t="str">
        <f aca="false">IF(OR(A84="",D84=""),"",IFERROR(INDEX(RSK_RBAND,MATCH(D84,RSK_ID,0)),"CHECK: Risk ID not found"))</f>
        <v/>
      </c>
      <c r="H84" s="59" t="str">
        <f aca="false">IF(OR(A84="",D84=""),"",IFERROR(INDEX(RSK_APP,MATCH(D84,RSK_ID,0)),"CHECK: Risk ID not found"))</f>
        <v/>
      </c>
      <c r="I84" s="51"/>
      <c r="J84" s="34"/>
      <c r="K84" s="34"/>
      <c r="L84" s="34"/>
      <c r="M84" s="60"/>
      <c r="N84" s="34"/>
      <c r="O84" s="60"/>
      <c r="P84" s="34"/>
      <c r="Q84" s="64"/>
      <c r="R84" s="51"/>
      <c r="S84" s="60"/>
      <c r="T84" s="34"/>
      <c r="U84" s="50"/>
      <c r="V84" s="54" t="str">
        <f aca="false">IF(A84="","",IF(OR(O84="",O84="Not yet decided"),"Pending - no authorised decision",IF(OR(M84="",S84="",Q84=""),"Incomplete authorisation record - not treated as authorised",IF(OR(U84="Withdrawn",U84="Superseded"),"Not current ("&amp;U84&amp;")",IF(AND(ISNUMBER(R84),R84&lt;AsOf),"Expired - re-approval required",IF(AND(ISNUMBER(R84),R84&lt;=AsOf+WarnDecisionDays),"Review due soon","Authorised (user-entered record)"))))))</f>
        <v/>
      </c>
      <c r="W84" s="54" t="str">
        <f aca="false">IF(A84="","",IF(AND(OR(O84="Risk accepted",O84="Temporary exception granted"),LEFT(H84,5)="Above"),"Accepted exposure REMAINS above appetite - acceptance does not remove the breach",IF(AND(OR(O84="Risk accepted",O84="Temporary exception granted"),H84="Not configured"),"Appetite not configured - position cannot be confirmed","")))</f>
        <v/>
      </c>
      <c r="X84" s="52" t="str">
        <f aca="false">IF(AND(F84="Yes",ISNUMBER(I84),I84=_xlfn.MAXIFS(DEC_RECDATE,DEC_SUP,B84,DEC_LEVEL,"Yes")),B84&amp;"|Latest","")</f>
        <v/>
      </c>
      <c r="Y84" s="54" t="str">
        <f aca="false">IF(A84="","",IF(COUNTIF(DEC_ID,A84)&gt;1,"CHECK: duplicate ID",IF(B84="","CHECK: Supplier ID missing",IF(COUNTIF(INV_ID,B84)=0,"CHECK: Supplier ID not in inventory",IF(AND(D84&lt;&gt;"",COUNTIF(RSK_ID,D84)=0),"CHECK: Risk ID not found",IF(AND(D84&lt;&gt;"",COUNTIF(RSK_ID,D84)&gt;0,IFERROR(INDEX(RSK_SUP,MATCH(D84,RSK_ID,0)),"")&lt;&gt;B84),"CHECK: Risk belongs to a different supplier",IF(AND(F84="No",D84=""),"CHECK: risk ID required for risk-level decision","OK")))))))</f>
        <v/>
      </c>
      <c r="Z84" s="52" t="str">
        <f aca="false">IF(OR(A84="",B84=""),"",IF(B84=RptSup,B84&amp;"|"&amp;COUNTIF($B$7:B84,B84),""))</f>
        <v/>
      </c>
    </row>
    <row r="85" customFormat="false" ht="15" hidden="false" customHeight="false" outlineLevel="0" collapsed="false">
      <c r="A85" s="50"/>
      <c r="B85" s="50"/>
      <c r="C85" s="59" t="str">
        <f aca="false">IF(B85="","",IFERROR(INDEX(INV_NAME,MATCH(B85,INV_ID,0)),"CHECK: Supplier ID not found"))</f>
        <v/>
      </c>
      <c r="D85" s="34"/>
      <c r="E85" s="34"/>
      <c r="F85" s="52" t="str">
        <f aca="false">IF(A85="","",IF(OR(E85="Supplier approval",E85="Conditional approval",E85="Approval deferred",E85="Supplier rejection"),"Yes","No"))</f>
        <v/>
      </c>
      <c r="G85" s="63" t="str">
        <f aca="false">IF(OR(A85="",D85=""),"",IFERROR(INDEX(RSK_RBAND,MATCH(D85,RSK_ID,0)),"CHECK: Risk ID not found"))</f>
        <v/>
      </c>
      <c r="H85" s="59" t="str">
        <f aca="false">IF(OR(A85="",D85=""),"",IFERROR(INDEX(RSK_APP,MATCH(D85,RSK_ID,0)),"CHECK: Risk ID not found"))</f>
        <v/>
      </c>
      <c r="I85" s="51"/>
      <c r="J85" s="34"/>
      <c r="K85" s="34"/>
      <c r="L85" s="34"/>
      <c r="M85" s="60"/>
      <c r="N85" s="34"/>
      <c r="O85" s="60"/>
      <c r="P85" s="34"/>
      <c r="Q85" s="64"/>
      <c r="R85" s="51"/>
      <c r="S85" s="60"/>
      <c r="T85" s="34"/>
      <c r="U85" s="50"/>
      <c r="V85" s="54" t="str">
        <f aca="false">IF(A85="","",IF(OR(O85="",O85="Not yet decided"),"Pending - no authorised decision",IF(OR(M85="",S85="",Q85=""),"Incomplete authorisation record - not treated as authorised",IF(OR(U85="Withdrawn",U85="Superseded"),"Not current ("&amp;U85&amp;")",IF(AND(ISNUMBER(R85),R85&lt;AsOf),"Expired - re-approval required",IF(AND(ISNUMBER(R85),R85&lt;=AsOf+WarnDecisionDays),"Review due soon","Authorised (user-entered record)"))))))</f>
        <v/>
      </c>
      <c r="W85" s="54" t="str">
        <f aca="false">IF(A85="","",IF(AND(OR(O85="Risk accepted",O85="Temporary exception granted"),LEFT(H85,5)="Above"),"Accepted exposure REMAINS above appetite - acceptance does not remove the breach",IF(AND(OR(O85="Risk accepted",O85="Temporary exception granted"),H85="Not configured"),"Appetite not configured - position cannot be confirmed","")))</f>
        <v/>
      </c>
      <c r="X85" s="52" t="str">
        <f aca="false">IF(AND(F85="Yes",ISNUMBER(I85),I85=_xlfn.MAXIFS(DEC_RECDATE,DEC_SUP,B85,DEC_LEVEL,"Yes")),B85&amp;"|Latest","")</f>
        <v/>
      </c>
      <c r="Y85" s="54" t="str">
        <f aca="false">IF(A85="","",IF(COUNTIF(DEC_ID,A85)&gt;1,"CHECK: duplicate ID",IF(B85="","CHECK: Supplier ID missing",IF(COUNTIF(INV_ID,B85)=0,"CHECK: Supplier ID not in inventory",IF(AND(D85&lt;&gt;"",COUNTIF(RSK_ID,D85)=0),"CHECK: Risk ID not found",IF(AND(D85&lt;&gt;"",COUNTIF(RSK_ID,D85)&gt;0,IFERROR(INDEX(RSK_SUP,MATCH(D85,RSK_ID,0)),"")&lt;&gt;B85),"CHECK: Risk belongs to a different supplier",IF(AND(F85="No",D85=""),"CHECK: risk ID required for risk-level decision","OK")))))))</f>
        <v/>
      </c>
      <c r="Z85" s="52" t="str">
        <f aca="false">IF(OR(A85="",B85=""),"",IF(B85=RptSup,B85&amp;"|"&amp;COUNTIF($B$7:B85,B85),""))</f>
        <v/>
      </c>
    </row>
    <row r="86" customFormat="false" ht="15" hidden="false" customHeight="false" outlineLevel="0" collapsed="false">
      <c r="A86" s="50"/>
      <c r="B86" s="50"/>
      <c r="C86" s="59" t="str">
        <f aca="false">IF(B86="","",IFERROR(INDEX(INV_NAME,MATCH(B86,INV_ID,0)),"CHECK: Supplier ID not found"))</f>
        <v/>
      </c>
      <c r="D86" s="34"/>
      <c r="E86" s="34"/>
      <c r="F86" s="52" t="str">
        <f aca="false">IF(A86="","",IF(OR(E86="Supplier approval",E86="Conditional approval",E86="Approval deferred",E86="Supplier rejection"),"Yes","No"))</f>
        <v/>
      </c>
      <c r="G86" s="63" t="str">
        <f aca="false">IF(OR(A86="",D86=""),"",IFERROR(INDEX(RSK_RBAND,MATCH(D86,RSK_ID,0)),"CHECK: Risk ID not found"))</f>
        <v/>
      </c>
      <c r="H86" s="59" t="str">
        <f aca="false">IF(OR(A86="",D86=""),"",IFERROR(INDEX(RSK_APP,MATCH(D86,RSK_ID,0)),"CHECK: Risk ID not found"))</f>
        <v/>
      </c>
      <c r="I86" s="51"/>
      <c r="J86" s="34"/>
      <c r="K86" s="34"/>
      <c r="L86" s="34"/>
      <c r="M86" s="60"/>
      <c r="N86" s="34"/>
      <c r="O86" s="60"/>
      <c r="P86" s="34"/>
      <c r="Q86" s="64"/>
      <c r="R86" s="51"/>
      <c r="S86" s="60"/>
      <c r="T86" s="34"/>
      <c r="U86" s="50"/>
      <c r="V86" s="54" t="str">
        <f aca="false">IF(A86="","",IF(OR(O86="",O86="Not yet decided"),"Pending - no authorised decision",IF(OR(M86="",S86="",Q86=""),"Incomplete authorisation record - not treated as authorised",IF(OR(U86="Withdrawn",U86="Superseded"),"Not current ("&amp;U86&amp;")",IF(AND(ISNUMBER(R86),R86&lt;AsOf),"Expired - re-approval required",IF(AND(ISNUMBER(R86),R86&lt;=AsOf+WarnDecisionDays),"Review due soon","Authorised (user-entered record)"))))))</f>
        <v/>
      </c>
      <c r="W86" s="54" t="str">
        <f aca="false">IF(A86="","",IF(AND(OR(O86="Risk accepted",O86="Temporary exception granted"),LEFT(H86,5)="Above"),"Accepted exposure REMAINS above appetite - acceptance does not remove the breach",IF(AND(OR(O86="Risk accepted",O86="Temporary exception granted"),H86="Not configured"),"Appetite not configured - position cannot be confirmed","")))</f>
        <v/>
      </c>
      <c r="X86" s="52" t="str">
        <f aca="false">IF(AND(F86="Yes",ISNUMBER(I86),I86=_xlfn.MAXIFS(DEC_RECDATE,DEC_SUP,B86,DEC_LEVEL,"Yes")),B86&amp;"|Latest","")</f>
        <v/>
      </c>
      <c r="Y86" s="54" t="str">
        <f aca="false">IF(A86="","",IF(COUNTIF(DEC_ID,A86)&gt;1,"CHECK: duplicate ID",IF(B86="","CHECK: Supplier ID missing",IF(COUNTIF(INV_ID,B86)=0,"CHECK: Supplier ID not in inventory",IF(AND(D86&lt;&gt;"",COUNTIF(RSK_ID,D86)=0),"CHECK: Risk ID not found",IF(AND(D86&lt;&gt;"",COUNTIF(RSK_ID,D86)&gt;0,IFERROR(INDEX(RSK_SUP,MATCH(D86,RSK_ID,0)),"")&lt;&gt;B86),"CHECK: Risk belongs to a different supplier",IF(AND(F86="No",D86=""),"CHECK: risk ID required for risk-level decision","OK")))))))</f>
        <v/>
      </c>
      <c r="Z86" s="52" t="str">
        <f aca="false">IF(OR(A86="",B86=""),"",IF(B86=RptSup,B86&amp;"|"&amp;COUNTIF($B$7:B86,B86),""))</f>
        <v/>
      </c>
    </row>
    <row r="87" customFormat="false" ht="15" hidden="false" customHeight="false" outlineLevel="0" collapsed="false">
      <c r="A87" s="50"/>
      <c r="B87" s="50"/>
      <c r="C87" s="59" t="str">
        <f aca="false">IF(B87="","",IFERROR(INDEX(INV_NAME,MATCH(B87,INV_ID,0)),"CHECK: Supplier ID not found"))</f>
        <v/>
      </c>
      <c r="D87" s="34"/>
      <c r="E87" s="34"/>
      <c r="F87" s="52" t="str">
        <f aca="false">IF(A87="","",IF(OR(E87="Supplier approval",E87="Conditional approval",E87="Approval deferred",E87="Supplier rejection"),"Yes","No"))</f>
        <v/>
      </c>
      <c r="G87" s="63" t="str">
        <f aca="false">IF(OR(A87="",D87=""),"",IFERROR(INDEX(RSK_RBAND,MATCH(D87,RSK_ID,0)),"CHECK: Risk ID not found"))</f>
        <v/>
      </c>
      <c r="H87" s="59" t="str">
        <f aca="false">IF(OR(A87="",D87=""),"",IFERROR(INDEX(RSK_APP,MATCH(D87,RSK_ID,0)),"CHECK: Risk ID not found"))</f>
        <v/>
      </c>
      <c r="I87" s="51"/>
      <c r="J87" s="34"/>
      <c r="K87" s="34"/>
      <c r="L87" s="34"/>
      <c r="M87" s="60"/>
      <c r="N87" s="34"/>
      <c r="O87" s="60"/>
      <c r="P87" s="34"/>
      <c r="Q87" s="64"/>
      <c r="R87" s="51"/>
      <c r="S87" s="60"/>
      <c r="T87" s="34"/>
      <c r="U87" s="50"/>
      <c r="V87" s="54" t="str">
        <f aca="false">IF(A87="","",IF(OR(O87="",O87="Not yet decided"),"Pending - no authorised decision",IF(OR(M87="",S87="",Q87=""),"Incomplete authorisation record - not treated as authorised",IF(OR(U87="Withdrawn",U87="Superseded"),"Not current ("&amp;U87&amp;")",IF(AND(ISNUMBER(R87),R87&lt;AsOf),"Expired - re-approval required",IF(AND(ISNUMBER(R87),R87&lt;=AsOf+WarnDecisionDays),"Review due soon","Authorised (user-entered record)"))))))</f>
        <v/>
      </c>
      <c r="W87" s="54" t="str">
        <f aca="false">IF(A87="","",IF(AND(OR(O87="Risk accepted",O87="Temporary exception granted"),LEFT(H87,5)="Above"),"Accepted exposure REMAINS above appetite - acceptance does not remove the breach",IF(AND(OR(O87="Risk accepted",O87="Temporary exception granted"),H87="Not configured"),"Appetite not configured - position cannot be confirmed","")))</f>
        <v/>
      </c>
      <c r="X87" s="52" t="str">
        <f aca="false">IF(AND(F87="Yes",ISNUMBER(I87),I87=_xlfn.MAXIFS(DEC_RECDATE,DEC_SUP,B87,DEC_LEVEL,"Yes")),B87&amp;"|Latest","")</f>
        <v/>
      </c>
      <c r="Y87" s="54" t="str">
        <f aca="false">IF(A87="","",IF(COUNTIF(DEC_ID,A87)&gt;1,"CHECK: duplicate ID",IF(B87="","CHECK: Supplier ID missing",IF(COUNTIF(INV_ID,B87)=0,"CHECK: Supplier ID not in inventory",IF(AND(D87&lt;&gt;"",COUNTIF(RSK_ID,D87)=0),"CHECK: Risk ID not found",IF(AND(D87&lt;&gt;"",COUNTIF(RSK_ID,D87)&gt;0,IFERROR(INDEX(RSK_SUP,MATCH(D87,RSK_ID,0)),"")&lt;&gt;B87),"CHECK: Risk belongs to a different supplier",IF(AND(F87="No",D87=""),"CHECK: risk ID required for risk-level decision","OK")))))))</f>
        <v/>
      </c>
      <c r="Z87" s="52" t="str">
        <f aca="false">IF(OR(A87="",B87=""),"",IF(B87=RptSup,B87&amp;"|"&amp;COUNTIF($B$7:B87,B87),""))</f>
        <v/>
      </c>
    </row>
    <row r="88" customFormat="false" ht="15" hidden="false" customHeight="false" outlineLevel="0" collapsed="false">
      <c r="A88" s="50"/>
      <c r="B88" s="50"/>
      <c r="C88" s="59" t="str">
        <f aca="false">IF(B88="","",IFERROR(INDEX(INV_NAME,MATCH(B88,INV_ID,0)),"CHECK: Supplier ID not found"))</f>
        <v/>
      </c>
      <c r="D88" s="34"/>
      <c r="E88" s="34"/>
      <c r="F88" s="52" t="str">
        <f aca="false">IF(A88="","",IF(OR(E88="Supplier approval",E88="Conditional approval",E88="Approval deferred",E88="Supplier rejection"),"Yes","No"))</f>
        <v/>
      </c>
      <c r="G88" s="63" t="str">
        <f aca="false">IF(OR(A88="",D88=""),"",IFERROR(INDEX(RSK_RBAND,MATCH(D88,RSK_ID,0)),"CHECK: Risk ID not found"))</f>
        <v/>
      </c>
      <c r="H88" s="59" t="str">
        <f aca="false">IF(OR(A88="",D88=""),"",IFERROR(INDEX(RSK_APP,MATCH(D88,RSK_ID,0)),"CHECK: Risk ID not found"))</f>
        <v/>
      </c>
      <c r="I88" s="51"/>
      <c r="J88" s="34"/>
      <c r="K88" s="34"/>
      <c r="L88" s="34"/>
      <c r="M88" s="60"/>
      <c r="N88" s="34"/>
      <c r="O88" s="60"/>
      <c r="P88" s="34"/>
      <c r="Q88" s="64"/>
      <c r="R88" s="51"/>
      <c r="S88" s="60"/>
      <c r="T88" s="34"/>
      <c r="U88" s="50"/>
      <c r="V88" s="54" t="str">
        <f aca="false">IF(A88="","",IF(OR(O88="",O88="Not yet decided"),"Pending - no authorised decision",IF(OR(M88="",S88="",Q88=""),"Incomplete authorisation record - not treated as authorised",IF(OR(U88="Withdrawn",U88="Superseded"),"Not current ("&amp;U88&amp;")",IF(AND(ISNUMBER(R88),R88&lt;AsOf),"Expired - re-approval required",IF(AND(ISNUMBER(R88),R88&lt;=AsOf+WarnDecisionDays),"Review due soon","Authorised (user-entered record)"))))))</f>
        <v/>
      </c>
      <c r="W88" s="54" t="str">
        <f aca="false">IF(A88="","",IF(AND(OR(O88="Risk accepted",O88="Temporary exception granted"),LEFT(H88,5)="Above"),"Accepted exposure REMAINS above appetite - acceptance does not remove the breach",IF(AND(OR(O88="Risk accepted",O88="Temporary exception granted"),H88="Not configured"),"Appetite not configured - position cannot be confirmed","")))</f>
        <v/>
      </c>
      <c r="X88" s="52" t="str">
        <f aca="false">IF(AND(F88="Yes",ISNUMBER(I88),I88=_xlfn.MAXIFS(DEC_RECDATE,DEC_SUP,B88,DEC_LEVEL,"Yes")),B88&amp;"|Latest","")</f>
        <v/>
      </c>
      <c r="Y88" s="54" t="str">
        <f aca="false">IF(A88="","",IF(COUNTIF(DEC_ID,A88)&gt;1,"CHECK: duplicate ID",IF(B88="","CHECK: Supplier ID missing",IF(COUNTIF(INV_ID,B88)=0,"CHECK: Supplier ID not in inventory",IF(AND(D88&lt;&gt;"",COUNTIF(RSK_ID,D88)=0),"CHECK: Risk ID not found",IF(AND(D88&lt;&gt;"",COUNTIF(RSK_ID,D88)&gt;0,IFERROR(INDEX(RSK_SUP,MATCH(D88,RSK_ID,0)),"")&lt;&gt;B88),"CHECK: Risk belongs to a different supplier",IF(AND(F88="No",D88=""),"CHECK: risk ID required for risk-level decision","OK")))))))</f>
        <v/>
      </c>
      <c r="Z88" s="52" t="str">
        <f aca="false">IF(OR(A88="",B88=""),"",IF(B88=RptSup,B88&amp;"|"&amp;COUNTIF($B$7:B88,B88),""))</f>
        <v/>
      </c>
    </row>
    <row r="89" customFormat="false" ht="15" hidden="false" customHeight="false" outlineLevel="0" collapsed="false">
      <c r="A89" s="50"/>
      <c r="B89" s="50"/>
      <c r="C89" s="59" t="str">
        <f aca="false">IF(B89="","",IFERROR(INDEX(INV_NAME,MATCH(B89,INV_ID,0)),"CHECK: Supplier ID not found"))</f>
        <v/>
      </c>
      <c r="D89" s="34"/>
      <c r="E89" s="34"/>
      <c r="F89" s="52" t="str">
        <f aca="false">IF(A89="","",IF(OR(E89="Supplier approval",E89="Conditional approval",E89="Approval deferred",E89="Supplier rejection"),"Yes","No"))</f>
        <v/>
      </c>
      <c r="G89" s="63" t="str">
        <f aca="false">IF(OR(A89="",D89=""),"",IFERROR(INDEX(RSK_RBAND,MATCH(D89,RSK_ID,0)),"CHECK: Risk ID not found"))</f>
        <v/>
      </c>
      <c r="H89" s="59" t="str">
        <f aca="false">IF(OR(A89="",D89=""),"",IFERROR(INDEX(RSK_APP,MATCH(D89,RSK_ID,0)),"CHECK: Risk ID not found"))</f>
        <v/>
      </c>
      <c r="I89" s="51"/>
      <c r="J89" s="34"/>
      <c r="K89" s="34"/>
      <c r="L89" s="34"/>
      <c r="M89" s="60"/>
      <c r="N89" s="34"/>
      <c r="O89" s="60"/>
      <c r="P89" s="34"/>
      <c r="Q89" s="64"/>
      <c r="R89" s="51"/>
      <c r="S89" s="60"/>
      <c r="T89" s="34"/>
      <c r="U89" s="50"/>
      <c r="V89" s="54" t="str">
        <f aca="false">IF(A89="","",IF(OR(O89="",O89="Not yet decided"),"Pending - no authorised decision",IF(OR(M89="",S89="",Q89=""),"Incomplete authorisation record - not treated as authorised",IF(OR(U89="Withdrawn",U89="Superseded"),"Not current ("&amp;U89&amp;")",IF(AND(ISNUMBER(R89),R89&lt;AsOf),"Expired - re-approval required",IF(AND(ISNUMBER(R89),R89&lt;=AsOf+WarnDecisionDays),"Review due soon","Authorised (user-entered record)"))))))</f>
        <v/>
      </c>
      <c r="W89" s="54" t="str">
        <f aca="false">IF(A89="","",IF(AND(OR(O89="Risk accepted",O89="Temporary exception granted"),LEFT(H89,5)="Above"),"Accepted exposure REMAINS above appetite - acceptance does not remove the breach",IF(AND(OR(O89="Risk accepted",O89="Temporary exception granted"),H89="Not configured"),"Appetite not configured - position cannot be confirmed","")))</f>
        <v/>
      </c>
      <c r="X89" s="52" t="str">
        <f aca="false">IF(AND(F89="Yes",ISNUMBER(I89),I89=_xlfn.MAXIFS(DEC_RECDATE,DEC_SUP,B89,DEC_LEVEL,"Yes")),B89&amp;"|Latest","")</f>
        <v/>
      </c>
      <c r="Y89" s="54" t="str">
        <f aca="false">IF(A89="","",IF(COUNTIF(DEC_ID,A89)&gt;1,"CHECK: duplicate ID",IF(B89="","CHECK: Supplier ID missing",IF(COUNTIF(INV_ID,B89)=0,"CHECK: Supplier ID not in inventory",IF(AND(D89&lt;&gt;"",COUNTIF(RSK_ID,D89)=0),"CHECK: Risk ID not found",IF(AND(D89&lt;&gt;"",COUNTIF(RSK_ID,D89)&gt;0,IFERROR(INDEX(RSK_SUP,MATCH(D89,RSK_ID,0)),"")&lt;&gt;B89),"CHECK: Risk belongs to a different supplier",IF(AND(F89="No",D89=""),"CHECK: risk ID required for risk-level decision","OK")))))))</f>
        <v/>
      </c>
      <c r="Z89" s="52" t="str">
        <f aca="false">IF(OR(A89="",B89=""),"",IF(B89=RptSup,B89&amp;"|"&amp;COUNTIF($B$7:B89,B89),""))</f>
        <v/>
      </c>
    </row>
    <row r="90" customFormat="false" ht="15" hidden="false" customHeight="false" outlineLevel="0" collapsed="false">
      <c r="A90" s="50"/>
      <c r="B90" s="50"/>
      <c r="C90" s="59" t="str">
        <f aca="false">IF(B90="","",IFERROR(INDEX(INV_NAME,MATCH(B90,INV_ID,0)),"CHECK: Supplier ID not found"))</f>
        <v/>
      </c>
      <c r="D90" s="34"/>
      <c r="E90" s="34"/>
      <c r="F90" s="52" t="str">
        <f aca="false">IF(A90="","",IF(OR(E90="Supplier approval",E90="Conditional approval",E90="Approval deferred",E90="Supplier rejection"),"Yes","No"))</f>
        <v/>
      </c>
      <c r="G90" s="63" t="str">
        <f aca="false">IF(OR(A90="",D90=""),"",IFERROR(INDEX(RSK_RBAND,MATCH(D90,RSK_ID,0)),"CHECK: Risk ID not found"))</f>
        <v/>
      </c>
      <c r="H90" s="59" t="str">
        <f aca="false">IF(OR(A90="",D90=""),"",IFERROR(INDEX(RSK_APP,MATCH(D90,RSK_ID,0)),"CHECK: Risk ID not found"))</f>
        <v/>
      </c>
      <c r="I90" s="51"/>
      <c r="J90" s="34"/>
      <c r="K90" s="34"/>
      <c r="L90" s="34"/>
      <c r="M90" s="60"/>
      <c r="N90" s="34"/>
      <c r="O90" s="60"/>
      <c r="P90" s="34"/>
      <c r="Q90" s="64"/>
      <c r="R90" s="51"/>
      <c r="S90" s="60"/>
      <c r="T90" s="34"/>
      <c r="U90" s="50"/>
      <c r="V90" s="54" t="str">
        <f aca="false">IF(A90="","",IF(OR(O90="",O90="Not yet decided"),"Pending - no authorised decision",IF(OR(M90="",S90="",Q90=""),"Incomplete authorisation record - not treated as authorised",IF(OR(U90="Withdrawn",U90="Superseded"),"Not current ("&amp;U90&amp;")",IF(AND(ISNUMBER(R90),R90&lt;AsOf),"Expired - re-approval required",IF(AND(ISNUMBER(R90),R90&lt;=AsOf+WarnDecisionDays),"Review due soon","Authorised (user-entered record)"))))))</f>
        <v/>
      </c>
      <c r="W90" s="54" t="str">
        <f aca="false">IF(A90="","",IF(AND(OR(O90="Risk accepted",O90="Temporary exception granted"),LEFT(H90,5)="Above"),"Accepted exposure REMAINS above appetite - acceptance does not remove the breach",IF(AND(OR(O90="Risk accepted",O90="Temporary exception granted"),H90="Not configured"),"Appetite not configured - position cannot be confirmed","")))</f>
        <v/>
      </c>
      <c r="X90" s="52" t="str">
        <f aca="false">IF(AND(F90="Yes",ISNUMBER(I90),I90=_xlfn.MAXIFS(DEC_RECDATE,DEC_SUP,B90,DEC_LEVEL,"Yes")),B90&amp;"|Latest","")</f>
        <v/>
      </c>
      <c r="Y90" s="54" t="str">
        <f aca="false">IF(A90="","",IF(COUNTIF(DEC_ID,A90)&gt;1,"CHECK: duplicate ID",IF(B90="","CHECK: Supplier ID missing",IF(COUNTIF(INV_ID,B90)=0,"CHECK: Supplier ID not in inventory",IF(AND(D90&lt;&gt;"",COUNTIF(RSK_ID,D90)=0),"CHECK: Risk ID not found",IF(AND(D90&lt;&gt;"",COUNTIF(RSK_ID,D90)&gt;0,IFERROR(INDEX(RSK_SUP,MATCH(D90,RSK_ID,0)),"")&lt;&gt;B90),"CHECK: Risk belongs to a different supplier",IF(AND(F90="No",D90=""),"CHECK: risk ID required for risk-level decision","OK")))))))</f>
        <v/>
      </c>
      <c r="Z90" s="52" t="str">
        <f aca="false">IF(OR(A90="",B90=""),"",IF(B90=RptSup,B90&amp;"|"&amp;COUNTIF($B$7:B90,B90),""))</f>
        <v/>
      </c>
    </row>
    <row r="91" customFormat="false" ht="15" hidden="false" customHeight="false" outlineLevel="0" collapsed="false">
      <c r="A91" s="50"/>
      <c r="B91" s="50"/>
      <c r="C91" s="59" t="str">
        <f aca="false">IF(B91="","",IFERROR(INDEX(INV_NAME,MATCH(B91,INV_ID,0)),"CHECK: Supplier ID not found"))</f>
        <v/>
      </c>
      <c r="D91" s="34"/>
      <c r="E91" s="34"/>
      <c r="F91" s="52" t="str">
        <f aca="false">IF(A91="","",IF(OR(E91="Supplier approval",E91="Conditional approval",E91="Approval deferred",E91="Supplier rejection"),"Yes","No"))</f>
        <v/>
      </c>
      <c r="G91" s="63" t="str">
        <f aca="false">IF(OR(A91="",D91=""),"",IFERROR(INDEX(RSK_RBAND,MATCH(D91,RSK_ID,0)),"CHECK: Risk ID not found"))</f>
        <v/>
      </c>
      <c r="H91" s="59" t="str">
        <f aca="false">IF(OR(A91="",D91=""),"",IFERROR(INDEX(RSK_APP,MATCH(D91,RSK_ID,0)),"CHECK: Risk ID not found"))</f>
        <v/>
      </c>
      <c r="I91" s="51"/>
      <c r="J91" s="34"/>
      <c r="K91" s="34"/>
      <c r="L91" s="34"/>
      <c r="M91" s="60"/>
      <c r="N91" s="34"/>
      <c r="O91" s="60"/>
      <c r="P91" s="34"/>
      <c r="Q91" s="64"/>
      <c r="R91" s="51"/>
      <c r="S91" s="60"/>
      <c r="T91" s="34"/>
      <c r="U91" s="50"/>
      <c r="V91" s="54" t="str">
        <f aca="false">IF(A91="","",IF(OR(O91="",O91="Not yet decided"),"Pending - no authorised decision",IF(OR(M91="",S91="",Q91=""),"Incomplete authorisation record - not treated as authorised",IF(OR(U91="Withdrawn",U91="Superseded"),"Not current ("&amp;U91&amp;")",IF(AND(ISNUMBER(R91),R91&lt;AsOf),"Expired - re-approval required",IF(AND(ISNUMBER(R91),R91&lt;=AsOf+WarnDecisionDays),"Review due soon","Authorised (user-entered record)"))))))</f>
        <v/>
      </c>
      <c r="W91" s="54" t="str">
        <f aca="false">IF(A91="","",IF(AND(OR(O91="Risk accepted",O91="Temporary exception granted"),LEFT(H91,5)="Above"),"Accepted exposure REMAINS above appetite - acceptance does not remove the breach",IF(AND(OR(O91="Risk accepted",O91="Temporary exception granted"),H91="Not configured"),"Appetite not configured - position cannot be confirmed","")))</f>
        <v/>
      </c>
      <c r="X91" s="52" t="str">
        <f aca="false">IF(AND(F91="Yes",ISNUMBER(I91),I91=_xlfn.MAXIFS(DEC_RECDATE,DEC_SUP,B91,DEC_LEVEL,"Yes")),B91&amp;"|Latest","")</f>
        <v/>
      </c>
      <c r="Y91" s="54" t="str">
        <f aca="false">IF(A91="","",IF(COUNTIF(DEC_ID,A91)&gt;1,"CHECK: duplicate ID",IF(B91="","CHECK: Supplier ID missing",IF(COUNTIF(INV_ID,B91)=0,"CHECK: Supplier ID not in inventory",IF(AND(D91&lt;&gt;"",COUNTIF(RSK_ID,D91)=0),"CHECK: Risk ID not found",IF(AND(D91&lt;&gt;"",COUNTIF(RSK_ID,D91)&gt;0,IFERROR(INDEX(RSK_SUP,MATCH(D91,RSK_ID,0)),"")&lt;&gt;B91),"CHECK: Risk belongs to a different supplier",IF(AND(F91="No",D91=""),"CHECK: risk ID required for risk-level decision","OK")))))))</f>
        <v/>
      </c>
      <c r="Z91" s="52" t="str">
        <f aca="false">IF(OR(A91="",B91=""),"",IF(B91=RptSup,B91&amp;"|"&amp;COUNTIF($B$7:B91,B91),""))</f>
        <v/>
      </c>
    </row>
    <row r="92" customFormat="false" ht="15" hidden="false" customHeight="false" outlineLevel="0" collapsed="false">
      <c r="A92" s="50"/>
      <c r="B92" s="50"/>
      <c r="C92" s="59" t="str">
        <f aca="false">IF(B92="","",IFERROR(INDEX(INV_NAME,MATCH(B92,INV_ID,0)),"CHECK: Supplier ID not found"))</f>
        <v/>
      </c>
      <c r="D92" s="34"/>
      <c r="E92" s="34"/>
      <c r="F92" s="52" t="str">
        <f aca="false">IF(A92="","",IF(OR(E92="Supplier approval",E92="Conditional approval",E92="Approval deferred",E92="Supplier rejection"),"Yes","No"))</f>
        <v/>
      </c>
      <c r="G92" s="63" t="str">
        <f aca="false">IF(OR(A92="",D92=""),"",IFERROR(INDEX(RSK_RBAND,MATCH(D92,RSK_ID,0)),"CHECK: Risk ID not found"))</f>
        <v/>
      </c>
      <c r="H92" s="59" t="str">
        <f aca="false">IF(OR(A92="",D92=""),"",IFERROR(INDEX(RSK_APP,MATCH(D92,RSK_ID,0)),"CHECK: Risk ID not found"))</f>
        <v/>
      </c>
      <c r="I92" s="51"/>
      <c r="J92" s="34"/>
      <c r="K92" s="34"/>
      <c r="L92" s="34"/>
      <c r="M92" s="60"/>
      <c r="N92" s="34"/>
      <c r="O92" s="60"/>
      <c r="P92" s="34"/>
      <c r="Q92" s="64"/>
      <c r="R92" s="51"/>
      <c r="S92" s="60"/>
      <c r="T92" s="34"/>
      <c r="U92" s="50"/>
      <c r="V92" s="54" t="str">
        <f aca="false">IF(A92="","",IF(OR(O92="",O92="Not yet decided"),"Pending - no authorised decision",IF(OR(M92="",S92="",Q92=""),"Incomplete authorisation record - not treated as authorised",IF(OR(U92="Withdrawn",U92="Superseded"),"Not current ("&amp;U92&amp;")",IF(AND(ISNUMBER(R92),R92&lt;AsOf),"Expired - re-approval required",IF(AND(ISNUMBER(R92),R92&lt;=AsOf+WarnDecisionDays),"Review due soon","Authorised (user-entered record)"))))))</f>
        <v/>
      </c>
      <c r="W92" s="54" t="str">
        <f aca="false">IF(A92="","",IF(AND(OR(O92="Risk accepted",O92="Temporary exception granted"),LEFT(H92,5)="Above"),"Accepted exposure REMAINS above appetite - acceptance does not remove the breach",IF(AND(OR(O92="Risk accepted",O92="Temporary exception granted"),H92="Not configured"),"Appetite not configured - position cannot be confirmed","")))</f>
        <v/>
      </c>
      <c r="X92" s="52" t="str">
        <f aca="false">IF(AND(F92="Yes",ISNUMBER(I92),I92=_xlfn.MAXIFS(DEC_RECDATE,DEC_SUP,B92,DEC_LEVEL,"Yes")),B92&amp;"|Latest","")</f>
        <v/>
      </c>
      <c r="Y92" s="54" t="str">
        <f aca="false">IF(A92="","",IF(COUNTIF(DEC_ID,A92)&gt;1,"CHECK: duplicate ID",IF(B92="","CHECK: Supplier ID missing",IF(COUNTIF(INV_ID,B92)=0,"CHECK: Supplier ID not in inventory",IF(AND(D92&lt;&gt;"",COUNTIF(RSK_ID,D92)=0),"CHECK: Risk ID not found",IF(AND(D92&lt;&gt;"",COUNTIF(RSK_ID,D92)&gt;0,IFERROR(INDEX(RSK_SUP,MATCH(D92,RSK_ID,0)),"")&lt;&gt;B92),"CHECK: Risk belongs to a different supplier",IF(AND(F92="No",D92=""),"CHECK: risk ID required for risk-level decision","OK")))))))</f>
        <v/>
      </c>
      <c r="Z92" s="52" t="str">
        <f aca="false">IF(OR(A92="",B92=""),"",IF(B92=RptSup,B92&amp;"|"&amp;COUNTIF($B$7:B92,B92),""))</f>
        <v/>
      </c>
    </row>
    <row r="93" customFormat="false" ht="15" hidden="false" customHeight="false" outlineLevel="0" collapsed="false">
      <c r="A93" s="50"/>
      <c r="B93" s="50"/>
      <c r="C93" s="59" t="str">
        <f aca="false">IF(B93="","",IFERROR(INDEX(INV_NAME,MATCH(B93,INV_ID,0)),"CHECK: Supplier ID not found"))</f>
        <v/>
      </c>
      <c r="D93" s="34"/>
      <c r="E93" s="34"/>
      <c r="F93" s="52" t="str">
        <f aca="false">IF(A93="","",IF(OR(E93="Supplier approval",E93="Conditional approval",E93="Approval deferred",E93="Supplier rejection"),"Yes","No"))</f>
        <v/>
      </c>
      <c r="G93" s="63" t="str">
        <f aca="false">IF(OR(A93="",D93=""),"",IFERROR(INDEX(RSK_RBAND,MATCH(D93,RSK_ID,0)),"CHECK: Risk ID not found"))</f>
        <v/>
      </c>
      <c r="H93" s="59" t="str">
        <f aca="false">IF(OR(A93="",D93=""),"",IFERROR(INDEX(RSK_APP,MATCH(D93,RSK_ID,0)),"CHECK: Risk ID not found"))</f>
        <v/>
      </c>
      <c r="I93" s="51"/>
      <c r="J93" s="34"/>
      <c r="K93" s="34"/>
      <c r="L93" s="34"/>
      <c r="M93" s="60"/>
      <c r="N93" s="34"/>
      <c r="O93" s="60"/>
      <c r="P93" s="34"/>
      <c r="Q93" s="64"/>
      <c r="R93" s="51"/>
      <c r="S93" s="60"/>
      <c r="T93" s="34"/>
      <c r="U93" s="50"/>
      <c r="V93" s="54" t="str">
        <f aca="false">IF(A93="","",IF(OR(O93="",O93="Not yet decided"),"Pending - no authorised decision",IF(OR(M93="",S93="",Q93=""),"Incomplete authorisation record - not treated as authorised",IF(OR(U93="Withdrawn",U93="Superseded"),"Not current ("&amp;U93&amp;")",IF(AND(ISNUMBER(R93),R93&lt;AsOf),"Expired - re-approval required",IF(AND(ISNUMBER(R93),R93&lt;=AsOf+WarnDecisionDays),"Review due soon","Authorised (user-entered record)"))))))</f>
        <v/>
      </c>
      <c r="W93" s="54" t="str">
        <f aca="false">IF(A93="","",IF(AND(OR(O93="Risk accepted",O93="Temporary exception granted"),LEFT(H93,5)="Above"),"Accepted exposure REMAINS above appetite - acceptance does not remove the breach",IF(AND(OR(O93="Risk accepted",O93="Temporary exception granted"),H93="Not configured"),"Appetite not configured - position cannot be confirmed","")))</f>
        <v/>
      </c>
      <c r="X93" s="52" t="str">
        <f aca="false">IF(AND(F93="Yes",ISNUMBER(I93),I93=_xlfn.MAXIFS(DEC_RECDATE,DEC_SUP,B93,DEC_LEVEL,"Yes")),B93&amp;"|Latest","")</f>
        <v/>
      </c>
      <c r="Y93" s="54" t="str">
        <f aca="false">IF(A93="","",IF(COUNTIF(DEC_ID,A93)&gt;1,"CHECK: duplicate ID",IF(B93="","CHECK: Supplier ID missing",IF(COUNTIF(INV_ID,B93)=0,"CHECK: Supplier ID not in inventory",IF(AND(D93&lt;&gt;"",COUNTIF(RSK_ID,D93)=0),"CHECK: Risk ID not found",IF(AND(D93&lt;&gt;"",COUNTIF(RSK_ID,D93)&gt;0,IFERROR(INDEX(RSK_SUP,MATCH(D93,RSK_ID,0)),"")&lt;&gt;B93),"CHECK: Risk belongs to a different supplier",IF(AND(F93="No",D93=""),"CHECK: risk ID required for risk-level decision","OK")))))))</f>
        <v/>
      </c>
      <c r="Z93" s="52" t="str">
        <f aca="false">IF(OR(A93="",B93=""),"",IF(B93=RptSup,B93&amp;"|"&amp;COUNTIF($B$7:B93,B93),""))</f>
        <v/>
      </c>
    </row>
    <row r="94" customFormat="false" ht="15" hidden="false" customHeight="false" outlineLevel="0" collapsed="false">
      <c r="A94" s="50"/>
      <c r="B94" s="50"/>
      <c r="C94" s="59" t="str">
        <f aca="false">IF(B94="","",IFERROR(INDEX(INV_NAME,MATCH(B94,INV_ID,0)),"CHECK: Supplier ID not found"))</f>
        <v/>
      </c>
      <c r="D94" s="34"/>
      <c r="E94" s="34"/>
      <c r="F94" s="52" t="str">
        <f aca="false">IF(A94="","",IF(OR(E94="Supplier approval",E94="Conditional approval",E94="Approval deferred",E94="Supplier rejection"),"Yes","No"))</f>
        <v/>
      </c>
      <c r="G94" s="63" t="str">
        <f aca="false">IF(OR(A94="",D94=""),"",IFERROR(INDEX(RSK_RBAND,MATCH(D94,RSK_ID,0)),"CHECK: Risk ID not found"))</f>
        <v/>
      </c>
      <c r="H94" s="59" t="str">
        <f aca="false">IF(OR(A94="",D94=""),"",IFERROR(INDEX(RSK_APP,MATCH(D94,RSK_ID,0)),"CHECK: Risk ID not found"))</f>
        <v/>
      </c>
      <c r="I94" s="51"/>
      <c r="J94" s="34"/>
      <c r="K94" s="34"/>
      <c r="L94" s="34"/>
      <c r="M94" s="60"/>
      <c r="N94" s="34"/>
      <c r="O94" s="60"/>
      <c r="P94" s="34"/>
      <c r="Q94" s="64"/>
      <c r="R94" s="51"/>
      <c r="S94" s="60"/>
      <c r="T94" s="34"/>
      <c r="U94" s="50"/>
      <c r="V94" s="54" t="str">
        <f aca="false">IF(A94="","",IF(OR(O94="",O94="Not yet decided"),"Pending - no authorised decision",IF(OR(M94="",S94="",Q94=""),"Incomplete authorisation record - not treated as authorised",IF(OR(U94="Withdrawn",U94="Superseded"),"Not current ("&amp;U94&amp;")",IF(AND(ISNUMBER(R94),R94&lt;AsOf),"Expired - re-approval required",IF(AND(ISNUMBER(R94),R94&lt;=AsOf+WarnDecisionDays),"Review due soon","Authorised (user-entered record)"))))))</f>
        <v/>
      </c>
      <c r="W94" s="54" t="str">
        <f aca="false">IF(A94="","",IF(AND(OR(O94="Risk accepted",O94="Temporary exception granted"),LEFT(H94,5)="Above"),"Accepted exposure REMAINS above appetite - acceptance does not remove the breach",IF(AND(OR(O94="Risk accepted",O94="Temporary exception granted"),H94="Not configured"),"Appetite not configured - position cannot be confirmed","")))</f>
        <v/>
      </c>
      <c r="X94" s="52" t="str">
        <f aca="false">IF(AND(F94="Yes",ISNUMBER(I94),I94=_xlfn.MAXIFS(DEC_RECDATE,DEC_SUP,B94,DEC_LEVEL,"Yes")),B94&amp;"|Latest","")</f>
        <v/>
      </c>
      <c r="Y94" s="54" t="str">
        <f aca="false">IF(A94="","",IF(COUNTIF(DEC_ID,A94)&gt;1,"CHECK: duplicate ID",IF(B94="","CHECK: Supplier ID missing",IF(COUNTIF(INV_ID,B94)=0,"CHECK: Supplier ID not in inventory",IF(AND(D94&lt;&gt;"",COUNTIF(RSK_ID,D94)=0),"CHECK: Risk ID not found",IF(AND(D94&lt;&gt;"",COUNTIF(RSK_ID,D94)&gt;0,IFERROR(INDEX(RSK_SUP,MATCH(D94,RSK_ID,0)),"")&lt;&gt;B94),"CHECK: Risk belongs to a different supplier",IF(AND(F94="No",D94=""),"CHECK: risk ID required for risk-level decision","OK")))))))</f>
        <v/>
      </c>
      <c r="Z94" s="52" t="str">
        <f aca="false">IF(OR(A94="",B94=""),"",IF(B94=RptSup,B94&amp;"|"&amp;COUNTIF($B$7:B94,B94),""))</f>
        <v/>
      </c>
    </row>
    <row r="95" customFormat="false" ht="15" hidden="false" customHeight="false" outlineLevel="0" collapsed="false">
      <c r="A95" s="50"/>
      <c r="B95" s="50"/>
      <c r="C95" s="59" t="str">
        <f aca="false">IF(B95="","",IFERROR(INDEX(INV_NAME,MATCH(B95,INV_ID,0)),"CHECK: Supplier ID not found"))</f>
        <v/>
      </c>
      <c r="D95" s="34"/>
      <c r="E95" s="34"/>
      <c r="F95" s="52" t="str">
        <f aca="false">IF(A95="","",IF(OR(E95="Supplier approval",E95="Conditional approval",E95="Approval deferred",E95="Supplier rejection"),"Yes","No"))</f>
        <v/>
      </c>
      <c r="G95" s="63" t="str">
        <f aca="false">IF(OR(A95="",D95=""),"",IFERROR(INDEX(RSK_RBAND,MATCH(D95,RSK_ID,0)),"CHECK: Risk ID not found"))</f>
        <v/>
      </c>
      <c r="H95" s="59" t="str">
        <f aca="false">IF(OR(A95="",D95=""),"",IFERROR(INDEX(RSK_APP,MATCH(D95,RSK_ID,0)),"CHECK: Risk ID not found"))</f>
        <v/>
      </c>
      <c r="I95" s="51"/>
      <c r="J95" s="34"/>
      <c r="K95" s="34"/>
      <c r="L95" s="34"/>
      <c r="M95" s="60"/>
      <c r="N95" s="34"/>
      <c r="O95" s="60"/>
      <c r="P95" s="34"/>
      <c r="Q95" s="64"/>
      <c r="R95" s="51"/>
      <c r="S95" s="60"/>
      <c r="T95" s="34"/>
      <c r="U95" s="50"/>
      <c r="V95" s="54" t="str">
        <f aca="false">IF(A95="","",IF(OR(O95="",O95="Not yet decided"),"Pending - no authorised decision",IF(OR(M95="",S95="",Q95=""),"Incomplete authorisation record - not treated as authorised",IF(OR(U95="Withdrawn",U95="Superseded"),"Not current ("&amp;U95&amp;")",IF(AND(ISNUMBER(R95),R95&lt;AsOf),"Expired - re-approval required",IF(AND(ISNUMBER(R95),R95&lt;=AsOf+WarnDecisionDays),"Review due soon","Authorised (user-entered record)"))))))</f>
        <v/>
      </c>
      <c r="W95" s="54" t="str">
        <f aca="false">IF(A95="","",IF(AND(OR(O95="Risk accepted",O95="Temporary exception granted"),LEFT(H95,5)="Above"),"Accepted exposure REMAINS above appetite - acceptance does not remove the breach",IF(AND(OR(O95="Risk accepted",O95="Temporary exception granted"),H95="Not configured"),"Appetite not configured - position cannot be confirmed","")))</f>
        <v/>
      </c>
      <c r="X95" s="52" t="str">
        <f aca="false">IF(AND(F95="Yes",ISNUMBER(I95),I95=_xlfn.MAXIFS(DEC_RECDATE,DEC_SUP,B95,DEC_LEVEL,"Yes")),B95&amp;"|Latest","")</f>
        <v/>
      </c>
      <c r="Y95" s="54" t="str">
        <f aca="false">IF(A95="","",IF(COUNTIF(DEC_ID,A95)&gt;1,"CHECK: duplicate ID",IF(B95="","CHECK: Supplier ID missing",IF(COUNTIF(INV_ID,B95)=0,"CHECK: Supplier ID not in inventory",IF(AND(D95&lt;&gt;"",COUNTIF(RSK_ID,D95)=0),"CHECK: Risk ID not found",IF(AND(D95&lt;&gt;"",COUNTIF(RSK_ID,D95)&gt;0,IFERROR(INDEX(RSK_SUP,MATCH(D95,RSK_ID,0)),"")&lt;&gt;B95),"CHECK: Risk belongs to a different supplier",IF(AND(F95="No",D95=""),"CHECK: risk ID required for risk-level decision","OK")))))))</f>
        <v/>
      </c>
      <c r="Z95" s="52" t="str">
        <f aca="false">IF(OR(A95="",B95=""),"",IF(B95=RptSup,B95&amp;"|"&amp;COUNTIF($B$7:B95,B95),""))</f>
        <v/>
      </c>
    </row>
    <row r="96" customFormat="false" ht="15" hidden="false" customHeight="false" outlineLevel="0" collapsed="false">
      <c r="A96" s="50"/>
      <c r="B96" s="50"/>
      <c r="C96" s="59" t="str">
        <f aca="false">IF(B96="","",IFERROR(INDEX(INV_NAME,MATCH(B96,INV_ID,0)),"CHECK: Supplier ID not found"))</f>
        <v/>
      </c>
      <c r="D96" s="34"/>
      <c r="E96" s="34"/>
      <c r="F96" s="52" t="str">
        <f aca="false">IF(A96="","",IF(OR(E96="Supplier approval",E96="Conditional approval",E96="Approval deferred",E96="Supplier rejection"),"Yes","No"))</f>
        <v/>
      </c>
      <c r="G96" s="63" t="str">
        <f aca="false">IF(OR(A96="",D96=""),"",IFERROR(INDEX(RSK_RBAND,MATCH(D96,RSK_ID,0)),"CHECK: Risk ID not found"))</f>
        <v/>
      </c>
      <c r="H96" s="59" t="str">
        <f aca="false">IF(OR(A96="",D96=""),"",IFERROR(INDEX(RSK_APP,MATCH(D96,RSK_ID,0)),"CHECK: Risk ID not found"))</f>
        <v/>
      </c>
      <c r="I96" s="51"/>
      <c r="J96" s="34"/>
      <c r="K96" s="34"/>
      <c r="L96" s="34"/>
      <c r="M96" s="60"/>
      <c r="N96" s="34"/>
      <c r="O96" s="60"/>
      <c r="P96" s="34"/>
      <c r="Q96" s="64"/>
      <c r="R96" s="51"/>
      <c r="S96" s="60"/>
      <c r="T96" s="34"/>
      <c r="U96" s="50"/>
      <c r="V96" s="54" t="str">
        <f aca="false">IF(A96="","",IF(OR(O96="",O96="Not yet decided"),"Pending - no authorised decision",IF(OR(M96="",S96="",Q96=""),"Incomplete authorisation record - not treated as authorised",IF(OR(U96="Withdrawn",U96="Superseded"),"Not current ("&amp;U96&amp;")",IF(AND(ISNUMBER(R96),R96&lt;AsOf),"Expired - re-approval required",IF(AND(ISNUMBER(R96),R96&lt;=AsOf+WarnDecisionDays),"Review due soon","Authorised (user-entered record)"))))))</f>
        <v/>
      </c>
      <c r="W96" s="54" t="str">
        <f aca="false">IF(A96="","",IF(AND(OR(O96="Risk accepted",O96="Temporary exception granted"),LEFT(H96,5)="Above"),"Accepted exposure REMAINS above appetite - acceptance does not remove the breach",IF(AND(OR(O96="Risk accepted",O96="Temporary exception granted"),H96="Not configured"),"Appetite not configured - position cannot be confirmed","")))</f>
        <v/>
      </c>
      <c r="X96" s="52" t="str">
        <f aca="false">IF(AND(F96="Yes",ISNUMBER(I96),I96=_xlfn.MAXIFS(DEC_RECDATE,DEC_SUP,B96,DEC_LEVEL,"Yes")),B96&amp;"|Latest","")</f>
        <v/>
      </c>
      <c r="Y96" s="54" t="str">
        <f aca="false">IF(A96="","",IF(COUNTIF(DEC_ID,A96)&gt;1,"CHECK: duplicate ID",IF(B96="","CHECK: Supplier ID missing",IF(COUNTIF(INV_ID,B96)=0,"CHECK: Supplier ID not in inventory",IF(AND(D96&lt;&gt;"",COUNTIF(RSK_ID,D96)=0),"CHECK: Risk ID not found",IF(AND(D96&lt;&gt;"",COUNTIF(RSK_ID,D96)&gt;0,IFERROR(INDEX(RSK_SUP,MATCH(D96,RSK_ID,0)),"")&lt;&gt;B96),"CHECK: Risk belongs to a different supplier",IF(AND(F96="No",D96=""),"CHECK: risk ID required for risk-level decision","OK")))))))</f>
        <v/>
      </c>
      <c r="Z96" s="52" t="str">
        <f aca="false">IF(OR(A96="",B96=""),"",IF(B96=RptSup,B96&amp;"|"&amp;COUNTIF($B$7:B96,B96),""))</f>
        <v/>
      </c>
    </row>
    <row r="97" customFormat="false" ht="15" hidden="false" customHeight="false" outlineLevel="0" collapsed="false">
      <c r="A97" s="50"/>
      <c r="B97" s="50"/>
      <c r="C97" s="59" t="str">
        <f aca="false">IF(B97="","",IFERROR(INDEX(INV_NAME,MATCH(B97,INV_ID,0)),"CHECK: Supplier ID not found"))</f>
        <v/>
      </c>
      <c r="D97" s="34"/>
      <c r="E97" s="34"/>
      <c r="F97" s="52" t="str">
        <f aca="false">IF(A97="","",IF(OR(E97="Supplier approval",E97="Conditional approval",E97="Approval deferred",E97="Supplier rejection"),"Yes","No"))</f>
        <v/>
      </c>
      <c r="G97" s="63" t="str">
        <f aca="false">IF(OR(A97="",D97=""),"",IFERROR(INDEX(RSK_RBAND,MATCH(D97,RSK_ID,0)),"CHECK: Risk ID not found"))</f>
        <v/>
      </c>
      <c r="H97" s="59" t="str">
        <f aca="false">IF(OR(A97="",D97=""),"",IFERROR(INDEX(RSK_APP,MATCH(D97,RSK_ID,0)),"CHECK: Risk ID not found"))</f>
        <v/>
      </c>
      <c r="I97" s="51"/>
      <c r="J97" s="34"/>
      <c r="K97" s="34"/>
      <c r="L97" s="34"/>
      <c r="M97" s="60"/>
      <c r="N97" s="34"/>
      <c r="O97" s="60"/>
      <c r="P97" s="34"/>
      <c r="Q97" s="64"/>
      <c r="R97" s="51"/>
      <c r="S97" s="60"/>
      <c r="T97" s="34"/>
      <c r="U97" s="50"/>
      <c r="V97" s="54" t="str">
        <f aca="false">IF(A97="","",IF(OR(O97="",O97="Not yet decided"),"Pending - no authorised decision",IF(OR(M97="",S97="",Q97=""),"Incomplete authorisation record - not treated as authorised",IF(OR(U97="Withdrawn",U97="Superseded"),"Not current ("&amp;U97&amp;")",IF(AND(ISNUMBER(R97),R97&lt;AsOf),"Expired - re-approval required",IF(AND(ISNUMBER(R97),R97&lt;=AsOf+WarnDecisionDays),"Review due soon","Authorised (user-entered record)"))))))</f>
        <v/>
      </c>
      <c r="W97" s="54" t="str">
        <f aca="false">IF(A97="","",IF(AND(OR(O97="Risk accepted",O97="Temporary exception granted"),LEFT(H97,5)="Above"),"Accepted exposure REMAINS above appetite - acceptance does not remove the breach",IF(AND(OR(O97="Risk accepted",O97="Temporary exception granted"),H97="Not configured"),"Appetite not configured - position cannot be confirmed","")))</f>
        <v/>
      </c>
      <c r="X97" s="52" t="str">
        <f aca="false">IF(AND(F97="Yes",ISNUMBER(I97),I97=_xlfn.MAXIFS(DEC_RECDATE,DEC_SUP,B97,DEC_LEVEL,"Yes")),B97&amp;"|Latest","")</f>
        <v/>
      </c>
      <c r="Y97" s="54" t="str">
        <f aca="false">IF(A97="","",IF(COUNTIF(DEC_ID,A97)&gt;1,"CHECK: duplicate ID",IF(B97="","CHECK: Supplier ID missing",IF(COUNTIF(INV_ID,B97)=0,"CHECK: Supplier ID not in inventory",IF(AND(D97&lt;&gt;"",COUNTIF(RSK_ID,D97)=0),"CHECK: Risk ID not found",IF(AND(D97&lt;&gt;"",COUNTIF(RSK_ID,D97)&gt;0,IFERROR(INDEX(RSK_SUP,MATCH(D97,RSK_ID,0)),"")&lt;&gt;B97),"CHECK: Risk belongs to a different supplier",IF(AND(F97="No",D97=""),"CHECK: risk ID required for risk-level decision","OK")))))))</f>
        <v/>
      </c>
      <c r="Z97" s="52" t="str">
        <f aca="false">IF(OR(A97="",B97=""),"",IF(B97=RptSup,B97&amp;"|"&amp;COUNTIF($B$7:B97,B97),""))</f>
        <v/>
      </c>
    </row>
    <row r="98" customFormat="false" ht="15" hidden="false" customHeight="false" outlineLevel="0" collapsed="false">
      <c r="A98" s="50"/>
      <c r="B98" s="50"/>
      <c r="C98" s="59" t="str">
        <f aca="false">IF(B98="","",IFERROR(INDEX(INV_NAME,MATCH(B98,INV_ID,0)),"CHECK: Supplier ID not found"))</f>
        <v/>
      </c>
      <c r="D98" s="34"/>
      <c r="E98" s="34"/>
      <c r="F98" s="52" t="str">
        <f aca="false">IF(A98="","",IF(OR(E98="Supplier approval",E98="Conditional approval",E98="Approval deferred",E98="Supplier rejection"),"Yes","No"))</f>
        <v/>
      </c>
      <c r="G98" s="63" t="str">
        <f aca="false">IF(OR(A98="",D98=""),"",IFERROR(INDEX(RSK_RBAND,MATCH(D98,RSK_ID,0)),"CHECK: Risk ID not found"))</f>
        <v/>
      </c>
      <c r="H98" s="59" t="str">
        <f aca="false">IF(OR(A98="",D98=""),"",IFERROR(INDEX(RSK_APP,MATCH(D98,RSK_ID,0)),"CHECK: Risk ID not found"))</f>
        <v/>
      </c>
      <c r="I98" s="51"/>
      <c r="J98" s="34"/>
      <c r="K98" s="34"/>
      <c r="L98" s="34"/>
      <c r="M98" s="60"/>
      <c r="N98" s="34"/>
      <c r="O98" s="60"/>
      <c r="P98" s="34"/>
      <c r="Q98" s="64"/>
      <c r="R98" s="51"/>
      <c r="S98" s="60"/>
      <c r="T98" s="34"/>
      <c r="U98" s="50"/>
      <c r="V98" s="54" t="str">
        <f aca="false">IF(A98="","",IF(OR(O98="",O98="Not yet decided"),"Pending - no authorised decision",IF(OR(M98="",S98="",Q98=""),"Incomplete authorisation record - not treated as authorised",IF(OR(U98="Withdrawn",U98="Superseded"),"Not current ("&amp;U98&amp;")",IF(AND(ISNUMBER(R98),R98&lt;AsOf),"Expired - re-approval required",IF(AND(ISNUMBER(R98),R98&lt;=AsOf+WarnDecisionDays),"Review due soon","Authorised (user-entered record)"))))))</f>
        <v/>
      </c>
      <c r="W98" s="54" t="str">
        <f aca="false">IF(A98="","",IF(AND(OR(O98="Risk accepted",O98="Temporary exception granted"),LEFT(H98,5)="Above"),"Accepted exposure REMAINS above appetite - acceptance does not remove the breach",IF(AND(OR(O98="Risk accepted",O98="Temporary exception granted"),H98="Not configured"),"Appetite not configured - position cannot be confirmed","")))</f>
        <v/>
      </c>
      <c r="X98" s="52" t="str">
        <f aca="false">IF(AND(F98="Yes",ISNUMBER(I98),I98=_xlfn.MAXIFS(DEC_RECDATE,DEC_SUP,B98,DEC_LEVEL,"Yes")),B98&amp;"|Latest","")</f>
        <v/>
      </c>
      <c r="Y98" s="54" t="str">
        <f aca="false">IF(A98="","",IF(COUNTIF(DEC_ID,A98)&gt;1,"CHECK: duplicate ID",IF(B98="","CHECK: Supplier ID missing",IF(COUNTIF(INV_ID,B98)=0,"CHECK: Supplier ID not in inventory",IF(AND(D98&lt;&gt;"",COUNTIF(RSK_ID,D98)=0),"CHECK: Risk ID not found",IF(AND(D98&lt;&gt;"",COUNTIF(RSK_ID,D98)&gt;0,IFERROR(INDEX(RSK_SUP,MATCH(D98,RSK_ID,0)),"")&lt;&gt;B98),"CHECK: Risk belongs to a different supplier",IF(AND(F98="No",D98=""),"CHECK: risk ID required for risk-level decision","OK")))))))</f>
        <v/>
      </c>
      <c r="Z98" s="52" t="str">
        <f aca="false">IF(OR(A98="",B98=""),"",IF(B98=RptSup,B98&amp;"|"&amp;COUNTIF($B$7:B98,B98),""))</f>
        <v/>
      </c>
    </row>
    <row r="99" customFormat="false" ht="15" hidden="false" customHeight="false" outlineLevel="0" collapsed="false">
      <c r="A99" s="50"/>
      <c r="B99" s="50"/>
      <c r="C99" s="59" t="str">
        <f aca="false">IF(B99="","",IFERROR(INDEX(INV_NAME,MATCH(B99,INV_ID,0)),"CHECK: Supplier ID not found"))</f>
        <v/>
      </c>
      <c r="D99" s="34"/>
      <c r="E99" s="34"/>
      <c r="F99" s="52" t="str">
        <f aca="false">IF(A99="","",IF(OR(E99="Supplier approval",E99="Conditional approval",E99="Approval deferred",E99="Supplier rejection"),"Yes","No"))</f>
        <v/>
      </c>
      <c r="G99" s="63" t="str">
        <f aca="false">IF(OR(A99="",D99=""),"",IFERROR(INDEX(RSK_RBAND,MATCH(D99,RSK_ID,0)),"CHECK: Risk ID not found"))</f>
        <v/>
      </c>
      <c r="H99" s="59" t="str">
        <f aca="false">IF(OR(A99="",D99=""),"",IFERROR(INDEX(RSK_APP,MATCH(D99,RSK_ID,0)),"CHECK: Risk ID not found"))</f>
        <v/>
      </c>
      <c r="I99" s="51"/>
      <c r="J99" s="34"/>
      <c r="K99" s="34"/>
      <c r="L99" s="34"/>
      <c r="M99" s="60"/>
      <c r="N99" s="34"/>
      <c r="O99" s="60"/>
      <c r="P99" s="34"/>
      <c r="Q99" s="64"/>
      <c r="R99" s="51"/>
      <c r="S99" s="60"/>
      <c r="T99" s="34"/>
      <c r="U99" s="50"/>
      <c r="V99" s="54" t="str">
        <f aca="false">IF(A99="","",IF(OR(O99="",O99="Not yet decided"),"Pending - no authorised decision",IF(OR(M99="",S99="",Q99=""),"Incomplete authorisation record - not treated as authorised",IF(OR(U99="Withdrawn",U99="Superseded"),"Not current ("&amp;U99&amp;")",IF(AND(ISNUMBER(R99),R99&lt;AsOf),"Expired - re-approval required",IF(AND(ISNUMBER(R99),R99&lt;=AsOf+WarnDecisionDays),"Review due soon","Authorised (user-entered record)"))))))</f>
        <v/>
      </c>
      <c r="W99" s="54" t="str">
        <f aca="false">IF(A99="","",IF(AND(OR(O99="Risk accepted",O99="Temporary exception granted"),LEFT(H99,5)="Above"),"Accepted exposure REMAINS above appetite - acceptance does not remove the breach",IF(AND(OR(O99="Risk accepted",O99="Temporary exception granted"),H99="Not configured"),"Appetite not configured - position cannot be confirmed","")))</f>
        <v/>
      </c>
      <c r="X99" s="52" t="str">
        <f aca="false">IF(AND(F99="Yes",ISNUMBER(I99),I99=_xlfn.MAXIFS(DEC_RECDATE,DEC_SUP,B99,DEC_LEVEL,"Yes")),B99&amp;"|Latest","")</f>
        <v/>
      </c>
      <c r="Y99" s="54" t="str">
        <f aca="false">IF(A99="","",IF(COUNTIF(DEC_ID,A99)&gt;1,"CHECK: duplicate ID",IF(B99="","CHECK: Supplier ID missing",IF(COUNTIF(INV_ID,B99)=0,"CHECK: Supplier ID not in inventory",IF(AND(D99&lt;&gt;"",COUNTIF(RSK_ID,D99)=0),"CHECK: Risk ID not found",IF(AND(D99&lt;&gt;"",COUNTIF(RSK_ID,D99)&gt;0,IFERROR(INDEX(RSK_SUP,MATCH(D99,RSK_ID,0)),"")&lt;&gt;B99),"CHECK: Risk belongs to a different supplier",IF(AND(F99="No",D99=""),"CHECK: risk ID required for risk-level decision","OK")))))))</f>
        <v/>
      </c>
      <c r="Z99" s="52" t="str">
        <f aca="false">IF(OR(A99="",B99=""),"",IF(B99=RptSup,B99&amp;"|"&amp;COUNTIF($B$7:B99,B99),""))</f>
        <v/>
      </c>
    </row>
    <row r="100" customFormat="false" ht="15" hidden="false" customHeight="false" outlineLevel="0" collapsed="false">
      <c r="A100" s="50"/>
      <c r="B100" s="50"/>
      <c r="C100" s="59" t="str">
        <f aca="false">IF(B100="","",IFERROR(INDEX(INV_NAME,MATCH(B100,INV_ID,0)),"CHECK: Supplier ID not found"))</f>
        <v/>
      </c>
      <c r="D100" s="34"/>
      <c r="E100" s="34"/>
      <c r="F100" s="52" t="str">
        <f aca="false">IF(A100="","",IF(OR(E100="Supplier approval",E100="Conditional approval",E100="Approval deferred",E100="Supplier rejection"),"Yes","No"))</f>
        <v/>
      </c>
      <c r="G100" s="63" t="str">
        <f aca="false">IF(OR(A100="",D100=""),"",IFERROR(INDEX(RSK_RBAND,MATCH(D100,RSK_ID,0)),"CHECK: Risk ID not found"))</f>
        <v/>
      </c>
      <c r="H100" s="59" t="str">
        <f aca="false">IF(OR(A100="",D100=""),"",IFERROR(INDEX(RSK_APP,MATCH(D100,RSK_ID,0)),"CHECK: Risk ID not found"))</f>
        <v/>
      </c>
      <c r="I100" s="51"/>
      <c r="J100" s="34"/>
      <c r="K100" s="34"/>
      <c r="L100" s="34"/>
      <c r="M100" s="60"/>
      <c r="N100" s="34"/>
      <c r="O100" s="60"/>
      <c r="P100" s="34"/>
      <c r="Q100" s="64"/>
      <c r="R100" s="51"/>
      <c r="S100" s="60"/>
      <c r="T100" s="34"/>
      <c r="U100" s="50"/>
      <c r="V100" s="54" t="str">
        <f aca="false">IF(A100="","",IF(OR(O100="",O100="Not yet decided"),"Pending - no authorised decision",IF(OR(M100="",S100="",Q100=""),"Incomplete authorisation record - not treated as authorised",IF(OR(U100="Withdrawn",U100="Superseded"),"Not current ("&amp;U100&amp;")",IF(AND(ISNUMBER(R100),R100&lt;AsOf),"Expired - re-approval required",IF(AND(ISNUMBER(R100),R100&lt;=AsOf+WarnDecisionDays),"Review due soon","Authorised (user-entered record)"))))))</f>
        <v/>
      </c>
      <c r="W100" s="54" t="str">
        <f aca="false">IF(A100="","",IF(AND(OR(O100="Risk accepted",O100="Temporary exception granted"),LEFT(H100,5)="Above"),"Accepted exposure REMAINS above appetite - acceptance does not remove the breach",IF(AND(OR(O100="Risk accepted",O100="Temporary exception granted"),H100="Not configured"),"Appetite not configured - position cannot be confirmed","")))</f>
        <v/>
      </c>
      <c r="X100" s="52" t="str">
        <f aca="false">IF(AND(F100="Yes",ISNUMBER(I100),I100=_xlfn.MAXIFS(DEC_RECDATE,DEC_SUP,B100,DEC_LEVEL,"Yes")),B100&amp;"|Latest","")</f>
        <v/>
      </c>
      <c r="Y100" s="54" t="str">
        <f aca="false">IF(A100="","",IF(COUNTIF(DEC_ID,A100)&gt;1,"CHECK: duplicate ID",IF(B100="","CHECK: Supplier ID missing",IF(COUNTIF(INV_ID,B100)=0,"CHECK: Supplier ID not in inventory",IF(AND(D100&lt;&gt;"",COUNTIF(RSK_ID,D100)=0),"CHECK: Risk ID not found",IF(AND(D100&lt;&gt;"",COUNTIF(RSK_ID,D100)&gt;0,IFERROR(INDEX(RSK_SUP,MATCH(D100,RSK_ID,0)),"")&lt;&gt;B100),"CHECK: Risk belongs to a different supplier",IF(AND(F100="No",D100=""),"CHECK: risk ID required for risk-level decision","OK")))))))</f>
        <v/>
      </c>
      <c r="Z100" s="52" t="str">
        <f aca="false">IF(OR(A100="",B100=""),"",IF(B100=RptSup,B100&amp;"|"&amp;COUNTIF($B$7:B100,B100),""))</f>
        <v/>
      </c>
    </row>
    <row r="101" customFormat="false" ht="15" hidden="false" customHeight="false" outlineLevel="0" collapsed="false">
      <c r="A101" s="50"/>
      <c r="B101" s="50"/>
      <c r="C101" s="59" t="str">
        <f aca="false">IF(B101="","",IFERROR(INDEX(INV_NAME,MATCH(B101,INV_ID,0)),"CHECK: Supplier ID not found"))</f>
        <v/>
      </c>
      <c r="D101" s="34"/>
      <c r="E101" s="34"/>
      <c r="F101" s="52" t="str">
        <f aca="false">IF(A101="","",IF(OR(E101="Supplier approval",E101="Conditional approval",E101="Approval deferred",E101="Supplier rejection"),"Yes","No"))</f>
        <v/>
      </c>
      <c r="G101" s="63" t="str">
        <f aca="false">IF(OR(A101="",D101=""),"",IFERROR(INDEX(RSK_RBAND,MATCH(D101,RSK_ID,0)),"CHECK: Risk ID not found"))</f>
        <v/>
      </c>
      <c r="H101" s="59" t="str">
        <f aca="false">IF(OR(A101="",D101=""),"",IFERROR(INDEX(RSK_APP,MATCH(D101,RSK_ID,0)),"CHECK: Risk ID not found"))</f>
        <v/>
      </c>
      <c r="I101" s="51"/>
      <c r="J101" s="34"/>
      <c r="K101" s="34"/>
      <c r="L101" s="34"/>
      <c r="M101" s="60"/>
      <c r="N101" s="34"/>
      <c r="O101" s="60"/>
      <c r="P101" s="34"/>
      <c r="Q101" s="64"/>
      <c r="R101" s="51"/>
      <c r="S101" s="60"/>
      <c r="T101" s="34"/>
      <c r="U101" s="50"/>
      <c r="V101" s="54" t="str">
        <f aca="false">IF(A101="","",IF(OR(O101="",O101="Not yet decided"),"Pending - no authorised decision",IF(OR(M101="",S101="",Q101=""),"Incomplete authorisation record - not treated as authorised",IF(OR(U101="Withdrawn",U101="Superseded"),"Not current ("&amp;U101&amp;")",IF(AND(ISNUMBER(R101),R101&lt;AsOf),"Expired - re-approval required",IF(AND(ISNUMBER(R101),R101&lt;=AsOf+WarnDecisionDays),"Review due soon","Authorised (user-entered record)"))))))</f>
        <v/>
      </c>
      <c r="W101" s="54" t="str">
        <f aca="false">IF(A101="","",IF(AND(OR(O101="Risk accepted",O101="Temporary exception granted"),LEFT(H101,5)="Above"),"Accepted exposure REMAINS above appetite - acceptance does not remove the breach",IF(AND(OR(O101="Risk accepted",O101="Temporary exception granted"),H101="Not configured"),"Appetite not configured - position cannot be confirmed","")))</f>
        <v/>
      </c>
      <c r="X101" s="52" t="str">
        <f aca="false">IF(AND(F101="Yes",ISNUMBER(I101),I101=_xlfn.MAXIFS(DEC_RECDATE,DEC_SUP,B101,DEC_LEVEL,"Yes")),B101&amp;"|Latest","")</f>
        <v/>
      </c>
      <c r="Y101" s="54" t="str">
        <f aca="false">IF(A101="","",IF(COUNTIF(DEC_ID,A101)&gt;1,"CHECK: duplicate ID",IF(B101="","CHECK: Supplier ID missing",IF(COUNTIF(INV_ID,B101)=0,"CHECK: Supplier ID not in inventory",IF(AND(D101&lt;&gt;"",COUNTIF(RSK_ID,D101)=0),"CHECK: Risk ID not found",IF(AND(D101&lt;&gt;"",COUNTIF(RSK_ID,D101)&gt;0,IFERROR(INDEX(RSK_SUP,MATCH(D101,RSK_ID,0)),"")&lt;&gt;B101),"CHECK: Risk belongs to a different supplier",IF(AND(F101="No",D101=""),"CHECK: risk ID required for risk-level decision","OK")))))))</f>
        <v/>
      </c>
      <c r="Z101" s="52" t="str">
        <f aca="false">IF(OR(A101="",B101=""),"",IF(B101=RptSup,B101&amp;"|"&amp;COUNTIF($B$7:B101,B101),""))</f>
        <v/>
      </c>
    </row>
    <row r="102" customFormat="false" ht="15" hidden="false" customHeight="false" outlineLevel="0" collapsed="false">
      <c r="A102" s="50"/>
      <c r="B102" s="50"/>
      <c r="C102" s="59" t="str">
        <f aca="false">IF(B102="","",IFERROR(INDEX(INV_NAME,MATCH(B102,INV_ID,0)),"CHECK: Supplier ID not found"))</f>
        <v/>
      </c>
      <c r="D102" s="34"/>
      <c r="E102" s="34"/>
      <c r="F102" s="52" t="str">
        <f aca="false">IF(A102="","",IF(OR(E102="Supplier approval",E102="Conditional approval",E102="Approval deferred",E102="Supplier rejection"),"Yes","No"))</f>
        <v/>
      </c>
      <c r="G102" s="63" t="str">
        <f aca="false">IF(OR(A102="",D102=""),"",IFERROR(INDEX(RSK_RBAND,MATCH(D102,RSK_ID,0)),"CHECK: Risk ID not found"))</f>
        <v/>
      </c>
      <c r="H102" s="59" t="str">
        <f aca="false">IF(OR(A102="",D102=""),"",IFERROR(INDEX(RSK_APP,MATCH(D102,RSK_ID,0)),"CHECK: Risk ID not found"))</f>
        <v/>
      </c>
      <c r="I102" s="51"/>
      <c r="J102" s="34"/>
      <c r="K102" s="34"/>
      <c r="L102" s="34"/>
      <c r="M102" s="60"/>
      <c r="N102" s="34"/>
      <c r="O102" s="60"/>
      <c r="P102" s="34"/>
      <c r="Q102" s="64"/>
      <c r="R102" s="51"/>
      <c r="S102" s="60"/>
      <c r="T102" s="34"/>
      <c r="U102" s="50"/>
      <c r="V102" s="54" t="str">
        <f aca="false">IF(A102="","",IF(OR(O102="",O102="Not yet decided"),"Pending - no authorised decision",IF(OR(M102="",S102="",Q102=""),"Incomplete authorisation record - not treated as authorised",IF(OR(U102="Withdrawn",U102="Superseded"),"Not current ("&amp;U102&amp;")",IF(AND(ISNUMBER(R102),R102&lt;AsOf),"Expired - re-approval required",IF(AND(ISNUMBER(R102),R102&lt;=AsOf+WarnDecisionDays),"Review due soon","Authorised (user-entered record)"))))))</f>
        <v/>
      </c>
      <c r="W102" s="54" t="str">
        <f aca="false">IF(A102="","",IF(AND(OR(O102="Risk accepted",O102="Temporary exception granted"),LEFT(H102,5)="Above"),"Accepted exposure REMAINS above appetite - acceptance does not remove the breach",IF(AND(OR(O102="Risk accepted",O102="Temporary exception granted"),H102="Not configured"),"Appetite not configured - position cannot be confirmed","")))</f>
        <v/>
      </c>
      <c r="X102" s="52" t="str">
        <f aca="false">IF(AND(F102="Yes",ISNUMBER(I102),I102=_xlfn.MAXIFS(DEC_RECDATE,DEC_SUP,B102,DEC_LEVEL,"Yes")),B102&amp;"|Latest","")</f>
        <v/>
      </c>
      <c r="Y102" s="54" t="str">
        <f aca="false">IF(A102="","",IF(COUNTIF(DEC_ID,A102)&gt;1,"CHECK: duplicate ID",IF(B102="","CHECK: Supplier ID missing",IF(COUNTIF(INV_ID,B102)=0,"CHECK: Supplier ID not in inventory",IF(AND(D102&lt;&gt;"",COUNTIF(RSK_ID,D102)=0),"CHECK: Risk ID not found",IF(AND(D102&lt;&gt;"",COUNTIF(RSK_ID,D102)&gt;0,IFERROR(INDEX(RSK_SUP,MATCH(D102,RSK_ID,0)),"")&lt;&gt;B102),"CHECK: Risk belongs to a different supplier",IF(AND(F102="No",D102=""),"CHECK: risk ID required for risk-level decision","OK")))))))</f>
        <v/>
      </c>
      <c r="Z102" s="52" t="str">
        <f aca="false">IF(OR(A102="",B102=""),"",IF(B102=RptSup,B102&amp;"|"&amp;COUNTIF($B$7:B102,B102),""))</f>
        <v/>
      </c>
    </row>
    <row r="103" customFormat="false" ht="15" hidden="false" customHeight="false" outlineLevel="0" collapsed="false">
      <c r="A103" s="50"/>
      <c r="B103" s="50"/>
      <c r="C103" s="59" t="str">
        <f aca="false">IF(B103="","",IFERROR(INDEX(INV_NAME,MATCH(B103,INV_ID,0)),"CHECK: Supplier ID not found"))</f>
        <v/>
      </c>
      <c r="D103" s="34"/>
      <c r="E103" s="34"/>
      <c r="F103" s="52" t="str">
        <f aca="false">IF(A103="","",IF(OR(E103="Supplier approval",E103="Conditional approval",E103="Approval deferred",E103="Supplier rejection"),"Yes","No"))</f>
        <v/>
      </c>
      <c r="G103" s="63" t="str">
        <f aca="false">IF(OR(A103="",D103=""),"",IFERROR(INDEX(RSK_RBAND,MATCH(D103,RSK_ID,0)),"CHECK: Risk ID not found"))</f>
        <v/>
      </c>
      <c r="H103" s="59" t="str">
        <f aca="false">IF(OR(A103="",D103=""),"",IFERROR(INDEX(RSK_APP,MATCH(D103,RSK_ID,0)),"CHECK: Risk ID not found"))</f>
        <v/>
      </c>
      <c r="I103" s="51"/>
      <c r="J103" s="34"/>
      <c r="K103" s="34"/>
      <c r="L103" s="34"/>
      <c r="M103" s="60"/>
      <c r="N103" s="34"/>
      <c r="O103" s="60"/>
      <c r="P103" s="34"/>
      <c r="Q103" s="64"/>
      <c r="R103" s="51"/>
      <c r="S103" s="60"/>
      <c r="T103" s="34"/>
      <c r="U103" s="50"/>
      <c r="V103" s="54" t="str">
        <f aca="false">IF(A103="","",IF(OR(O103="",O103="Not yet decided"),"Pending - no authorised decision",IF(OR(M103="",S103="",Q103=""),"Incomplete authorisation record - not treated as authorised",IF(OR(U103="Withdrawn",U103="Superseded"),"Not current ("&amp;U103&amp;")",IF(AND(ISNUMBER(R103),R103&lt;AsOf),"Expired - re-approval required",IF(AND(ISNUMBER(R103),R103&lt;=AsOf+WarnDecisionDays),"Review due soon","Authorised (user-entered record)"))))))</f>
        <v/>
      </c>
      <c r="W103" s="54" t="str">
        <f aca="false">IF(A103="","",IF(AND(OR(O103="Risk accepted",O103="Temporary exception granted"),LEFT(H103,5)="Above"),"Accepted exposure REMAINS above appetite - acceptance does not remove the breach",IF(AND(OR(O103="Risk accepted",O103="Temporary exception granted"),H103="Not configured"),"Appetite not configured - position cannot be confirmed","")))</f>
        <v/>
      </c>
      <c r="X103" s="52" t="str">
        <f aca="false">IF(AND(F103="Yes",ISNUMBER(I103),I103=_xlfn.MAXIFS(DEC_RECDATE,DEC_SUP,B103,DEC_LEVEL,"Yes")),B103&amp;"|Latest","")</f>
        <v/>
      </c>
      <c r="Y103" s="54" t="str">
        <f aca="false">IF(A103="","",IF(COUNTIF(DEC_ID,A103)&gt;1,"CHECK: duplicate ID",IF(B103="","CHECK: Supplier ID missing",IF(COUNTIF(INV_ID,B103)=0,"CHECK: Supplier ID not in inventory",IF(AND(D103&lt;&gt;"",COUNTIF(RSK_ID,D103)=0),"CHECK: Risk ID not found",IF(AND(D103&lt;&gt;"",COUNTIF(RSK_ID,D103)&gt;0,IFERROR(INDEX(RSK_SUP,MATCH(D103,RSK_ID,0)),"")&lt;&gt;B103),"CHECK: Risk belongs to a different supplier",IF(AND(F103="No",D103=""),"CHECK: risk ID required for risk-level decision","OK")))))))</f>
        <v/>
      </c>
      <c r="Z103" s="52" t="str">
        <f aca="false">IF(OR(A103="",B103=""),"",IF(B103=RptSup,B103&amp;"|"&amp;COUNTIF($B$7:B103,B103),""))</f>
        <v/>
      </c>
    </row>
    <row r="104" customFormat="false" ht="15" hidden="false" customHeight="false" outlineLevel="0" collapsed="false">
      <c r="A104" s="50"/>
      <c r="B104" s="50"/>
      <c r="C104" s="59" t="str">
        <f aca="false">IF(B104="","",IFERROR(INDEX(INV_NAME,MATCH(B104,INV_ID,0)),"CHECK: Supplier ID not found"))</f>
        <v/>
      </c>
      <c r="D104" s="34"/>
      <c r="E104" s="34"/>
      <c r="F104" s="52" t="str">
        <f aca="false">IF(A104="","",IF(OR(E104="Supplier approval",E104="Conditional approval",E104="Approval deferred",E104="Supplier rejection"),"Yes","No"))</f>
        <v/>
      </c>
      <c r="G104" s="63" t="str">
        <f aca="false">IF(OR(A104="",D104=""),"",IFERROR(INDEX(RSK_RBAND,MATCH(D104,RSK_ID,0)),"CHECK: Risk ID not found"))</f>
        <v/>
      </c>
      <c r="H104" s="59" t="str">
        <f aca="false">IF(OR(A104="",D104=""),"",IFERROR(INDEX(RSK_APP,MATCH(D104,RSK_ID,0)),"CHECK: Risk ID not found"))</f>
        <v/>
      </c>
      <c r="I104" s="51"/>
      <c r="J104" s="34"/>
      <c r="K104" s="34"/>
      <c r="L104" s="34"/>
      <c r="M104" s="60"/>
      <c r="N104" s="34"/>
      <c r="O104" s="60"/>
      <c r="P104" s="34"/>
      <c r="Q104" s="64"/>
      <c r="R104" s="51"/>
      <c r="S104" s="60"/>
      <c r="T104" s="34"/>
      <c r="U104" s="50"/>
      <c r="V104" s="54" t="str">
        <f aca="false">IF(A104="","",IF(OR(O104="",O104="Not yet decided"),"Pending - no authorised decision",IF(OR(M104="",S104="",Q104=""),"Incomplete authorisation record - not treated as authorised",IF(OR(U104="Withdrawn",U104="Superseded"),"Not current ("&amp;U104&amp;")",IF(AND(ISNUMBER(R104),R104&lt;AsOf),"Expired - re-approval required",IF(AND(ISNUMBER(R104),R104&lt;=AsOf+WarnDecisionDays),"Review due soon","Authorised (user-entered record)"))))))</f>
        <v/>
      </c>
      <c r="W104" s="54" t="str">
        <f aca="false">IF(A104="","",IF(AND(OR(O104="Risk accepted",O104="Temporary exception granted"),LEFT(H104,5)="Above"),"Accepted exposure REMAINS above appetite - acceptance does not remove the breach",IF(AND(OR(O104="Risk accepted",O104="Temporary exception granted"),H104="Not configured"),"Appetite not configured - position cannot be confirmed","")))</f>
        <v/>
      </c>
      <c r="X104" s="52" t="str">
        <f aca="false">IF(AND(F104="Yes",ISNUMBER(I104),I104=_xlfn.MAXIFS(DEC_RECDATE,DEC_SUP,B104,DEC_LEVEL,"Yes")),B104&amp;"|Latest","")</f>
        <v/>
      </c>
      <c r="Y104" s="54" t="str">
        <f aca="false">IF(A104="","",IF(COUNTIF(DEC_ID,A104)&gt;1,"CHECK: duplicate ID",IF(B104="","CHECK: Supplier ID missing",IF(COUNTIF(INV_ID,B104)=0,"CHECK: Supplier ID not in inventory",IF(AND(D104&lt;&gt;"",COUNTIF(RSK_ID,D104)=0),"CHECK: Risk ID not found",IF(AND(D104&lt;&gt;"",COUNTIF(RSK_ID,D104)&gt;0,IFERROR(INDEX(RSK_SUP,MATCH(D104,RSK_ID,0)),"")&lt;&gt;B104),"CHECK: Risk belongs to a different supplier",IF(AND(F104="No",D104=""),"CHECK: risk ID required for risk-level decision","OK")))))))</f>
        <v/>
      </c>
      <c r="Z104" s="52" t="str">
        <f aca="false">IF(OR(A104="",B104=""),"",IF(B104=RptSup,B104&amp;"|"&amp;COUNTIF($B$7:B104,B104),""))</f>
        <v/>
      </c>
    </row>
    <row r="105" customFormat="false" ht="15" hidden="false" customHeight="false" outlineLevel="0" collapsed="false">
      <c r="A105" s="50"/>
      <c r="B105" s="50"/>
      <c r="C105" s="59" t="str">
        <f aca="false">IF(B105="","",IFERROR(INDEX(INV_NAME,MATCH(B105,INV_ID,0)),"CHECK: Supplier ID not found"))</f>
        <v/>
      </c>
      <c r="D105" s="34"/>
      <c r="E105" s="34"/>
      <c r="F105" s="52" t="str">
        <f aca="false">IF(A105="","",IF(OR(E105="Supplier approval",E105="Conditional approval",E105="Approval deferred",E105="Supplier rejection"),"Yes","No"))</f>
        <v/>
      </c>
      <c r="G105" s="63" t="str">
        <f aca="false">IF(OR(A105="",D105=""),"",IFERROR(INDEX(RSK_RBAND,MATCH(D105,RSK_ID,0)),"CHECK: Risk ID not found"))</f>
        <v/>
      </c>
      <c r="H105" s="59" t="str">
        <f aca="false">IF(OR(A105="",D105=""),"",IFERROR(INDEX(RSK_APP,MATCH(D105,RSK_ID,0)),"CHECK: Risk ID not found"))</f>
        <v/>
      </c>
      <c r="I105" s="51"/>
      <c r="J105" s="34"/>
      <c r="K105" s="34"/>
      <c r="L105" s="34"/>
      <c r="M105" s="60"/>
      <c r="N105" s="34"/>
      <c r="O105" s="60"/>
      <c r="P105" s="34"/>
      <c r="Q105" s="64"/>
      <c r="R105" s="51"/>
      <c r="S105" s="60"/>
      <c r="T105" s="34"/>
      <c r="U105" s="50"/>
      <c r="V105" s="54" t="str">
        <f aca="false">IF(A105="","",IF(OR(O105="",O105="Not yet decided"),"Pending - no authorised decision",IF(OR(M105="",S105="",Q105=""),"Incomplete authorisation record - not treated as authorised",IF(OR(U105="Withdrawn",U105="Superseded"),"Not current ("&amp;U105&amp;")",IF(AND(ISNUMBER(R105),R105&lt;AsOf),"Expired - re-approval required",IF(AND(ISNUMBER(R105),R105&lt;=AsOf+WarnDecisionDays),"Review due soon","Authorised (user-entered record)"))))))</f>
        <v/>
      </c>
      <c r="W105" s="54" t="str">
        <f aca="false">IF(A105="","",IF(AND(OR(O105="Risk accepted",O105="Temporary exception granted"),LEFT(H105,5)="Above"),"Accepted exposure REMAINS above appetite - acceptance does not remove the breach",IF(AND(OR(O105="Risk accepted",O105="Temporary exception granted"),H105="Not configured"),"Appetite not configured - position cannot be confirmed","")))</f>
        <v/>
      </c>
      <c r="X105" s="52" t="str">
        <f aca="false">IF(AND(F105="Yes",ISNUMBER(I105),I105=_xlfn.MAXIFS(DEC_RECDATE,DEC_SUP,B105,DEC_LEVEL,"Yes")),B105&amp;"|Latest","")</f>
        <v/>
      </c>
      <c r="Y105" s="54" t="str">
        <f aca="false">IF(A105="","",IF(COUNTIF(DEC_ID,A105)&gt;1,"CHECK: duplicate ID",IF(B105="","CHECK: Supplier ID missing",IF(COUNTIF(INV_ID,B105)=0,"CHECK: Supplier ID not in inventory",IF(AND(D105&lt;&gt;"",COUNTIF(RSK_ID,D105)=0),"CHECK: Risk ID not found",IF(AND(D105&lt;&gt;"",COUNTIF(RSK_ID,D105)&gt;0,IFERROR(INDEX(RSK_SUP,MATCH(D105,RSK_ID,0)),"")&lt;&gt;B105),"CHECK: Risk belongs to a different supplier",IF(AND(F105="No",D105=""),"CHECK: risk ID required for risk-level decision","OK")))))))</f>
        <v/>
      </c>
      <c r="Z105" s="52" t="str">
        <f aca="false">IF(OR(A105="",B105=""),"",IF(B105=RptSup,B105&amp;"|"&amp;COUNTIF($B$7:B105,B105),""))</f>
        <v/>
      </c>
    </row>
    <row r="106" customFormat="false" ht="15" hidden="false" customHeight="false" outlineLevel="0" collapsed="false">
      <c r="A106" s="50"/>
      <c r="B106" s="50"/>
      <c r="C106" s="59" t="str">
        <f aca="false">IF(B106="","",IFERROR(INDEX(INV_NAME,MATCH(B106,INV_ID,0)),"CHECK: Supplier ID not found"))</f>
        <v/>
      </c>
      <c r="D106" s="34"/>
      <c r="E106" s="34"/>
      <c r="F106" s="52" t="str">
        <f aca="false">IF(A106="","",IF(OR(E106="Supplier approval",E106="Conditional approval",E106="Approval deferred",E106="Supplier rejection"),"Yes","No"))</f>
        <v/>
      </c>
      <c r="G106" s="63" t="str">
        <f aca="false">IF(OR(A106="",D106=""),"",IFERROR(INDEX(RSK_RBAND,MATCH(D106,RSK_ID,0)),"CHECK: Risk ID not found"))</f>
        <v/>
      </c>
      <c r="H106" s="59" t="str">
        <f aca="false">IF(OR(A106="",D106=""),"",IFERROR(INDEX(RSK_APP,MATCH(D106,RSK_ID,0)),"CHECK: Risk ID not found"))</f>
        <v/>
      </c>
      <c r="I106" s="51"/>
      <c r="J106" s="34"/>
      <c r="K106" s="34"/>
      <c r="L106" s="34"/>
      <c r="M106" s="60"/>
      <c r="N106" s="34"/>
      <c r="O106" s="60"/>
      <c r="P106" s="34"/>
      <c r="Q106" s="64"/>
      <c r="R106" s="51"/>
      <c r="S106" s="60"/>
      <c r="T106" s="34"/>
      <c r="U106" s="50"/>
      <c r="V106" s="54" t="str">
        <f aca="false">IF(A106="","",IF(OR(O106="",O106="Not yet decided"),"Pending - no authorised decision",IF(OR(M106="",S106="",Q106=""),"Incomplete authorisation record - not treated as authorised",IF(OR(U106="Withdrawn",U106="Superseded"),"Not current ("&amp;U106&amp;")",IF(AND(ISNUMBER(R106),R106&lt;AsOf),"Expired - re-approval required",IF(AND(ISNUMBER(R106),R106&lt;=AsOf+WarnDecisionDays),"Review due soon","Authorised (user-entered record)"))))))</f>
        <v/>
      </c>
      <c r="W106" s="54" t="str">
        <f aca="false">IF(A106="","",IF(AND(OR(O106="Risk accepted",O106="Temporary exception granted"),LEFT(H106,5)="Above"),"Accepted exposure REMAINS above appetite - acceptance does not remove the breach",IF(AND(OR(O106="Risk accepted",O106="Temporary exception granted"),H106="Not configured"),"Appetite not configured - position cannot be confirmed","")))</f>
        <v/>
      </c>
      <c r="X106" s="52" t="str">
        <f aca="false">IF(AND(F106="Yes",ISNUMBER(I106),I106=_xlfn.MAXIFS(DEC_RECDATE,DEC_SUP,B106,DEC_LEVEL,"Yes")),B106&amp;"|Latest","")</f>
        <v/>
      </c>
      <c r="Y106" s="54" t="str">
        <f aca="false">IF(A106="","",IF(COUNTIF(DEC_ID,A106)&gt;1,"CHECK: duplicate ID",IF(B106="","CHECK: Supplier ID missing",IF(COUNTIF(INV_ID,B106)=0,"CHECK: Supplier ID not in inventory",IF(AND(D106&lt;&gt;"",COUNTIF(RSK_ID,D106)=0),"CHECK: Risk ID not found",IF(AND(D106&lt;&gt;"",COUNTIF(RSK_ID,D106)&gt;0,IFERROR(INDEX(RSK_SUP,MATCH(D106,RSK_ID,0)),"")&lt;&gt;B106),"CHECK: Risk belongs to a different supplier",IF(AND(F106="No",D106=""),"CHECK: risk ID required for risk-level decision","OK")))))))</f>
        <v/>
      </c>
      <c r="Z106" s="52" t="str">
        <f aca="false">IF(OR(A106="",B106=""),"",IF(B106=RptSup,B106&amp;"|"&amp;COUNTIF($B$7:B106,B106),""))</f>
        <v/>
      </c>
    </row>
  </sheetData>
  <sheetProtection sheet="true" formatColumns="false" formatRows="false" sort="false" autoFilter="false"/>
  <conditionalFormatting sqref="F7:F106">
    <cfRule type="expression" priority="2" aboveAverage="0" equalAverage="0" bottom="0" percent="0" rank="0" text="" dxfId="0">
      <formula>OR(ISNUMBER(SEARCH("Above appetite",F7)),ISNUMBER(SEARCH("Overdue",F7)),ISNUMBER(SEARCH("Expired",F7)),ISNUMBER(SEARCH("Breach",F7)),ISNUMBER(SEARCH("CHECK",F7)),ISNUMBER(SEARCH("Not ready",F7)),ISNUMBER(SEARCH("REMAINS",F7)),ISNUMBER(SEARCH("Failed",F7)),ISNUMBER(SEARCH("Cannot assess",F7)))</formula>
    </cfRule>
    <cfRule type="expression" priority="3" aboveAverage="0" equalAverage="0" bottom="0" percent="0" rank="0" text="" dxfId="21">
      <formula>OR(ISNUMBER(SEARCH("Incomplete",F7)),ISNUMBER(SEARCH("Pending",F7)),ISNUMBER(SEARCH("Approaching",F7)),ISNUMBER(SEARCH("insufficient",F7)),ISNUMBER(SEARCH("Awaiting",F7)),ISNUMBER(SEARCH("Review due",F7)),ISNUMBER(SEARCH("Not configured",F7)),ISNUMBER(SEARCH("Not classified",F7)),ISNUMBER(SEARCH("Proposed",F7)),ISNUMBER(SEARCH("Verification",F7)),ISNUMBER(SEARCH("Scope limitation",F7)),ISNUMBER(SEARCH("Follow-up",F7)),ISNUMBER(SEARCH("Open gap",F7)),ISNUMBER(SEARCH("Delivered - verification",F7)),ISNUMBER(SEARCH("Historical",F7)),ISNUMBER(SEARCH("Not scheduled",F7)),ISNUMBER(SEARCH("Not determined",F7)),ISNUMBER(SEARCH("Decision record",F7)),ISNUMBER(SEARCH("Due soon",F7)),ISNUMBER(SEARCH("Not reviewed",F7)),ISNUMBER(SEARCH("Tier not",F7)),ISNUMBER(SEARCH("No decision",F7)),ISNUMBER(SEARCH("Superseded",F7)),ISNUMBER(SEARCH("Optional",F7)),ISNUMBER(SEARCH("legal review",F7)),ISNUMBER(SEARCH("No treatment",F7)),ISNUMBER(SEARCH("not recorded",F7)),ISNUMBER(SEARCH("consider",F7)),ISNUMBER(SEARCH("Not set",F7)),ISNUMBER(SEARCH("Not started",F7)),ISNUMBER(SEARCH("No expiry",F7)),ISNUMBER(SEARCH("No KRI",F7)),ISNUMBER(SEARCH("no reassessment",F7)),ISNUMBER(SEARCH("Applicability",F7)),ISNUMBER(SEARCH("Not current",F7)),ISNUMBER(SEARCH("assess relevance",F7)))</formula>
    </cfRule>
    <cfRule type="expression" priority="4" aboveAverage="0" equalAverage="0" bottom="0" percent="0" rank="0" text="" dxfId="22">
      <formula>OR(LEFT(F7,2)="OK",LEFT(F7,8)="Complete",LEFT(F7,7)="Current",LEFT(F7,10)="Authorised",LEFT(F7,6)="Within",LEFT(F7,11)="On schedule",LEFT(F7,17)="Ready for closure",LEFT(F7,17)="Evidence reviewed",LEFT(F7,19)="Decision referenced",LEFT(F7,27)="Reassessment event recorded",LEFT(F7,14)="Period current",LEFT(F7,17)="Gap dispositioned",LEFT(F7,17)="Reviewed - no gap",LEFT(F7,11)="Recommended",LEFT(F7,17)="Closed - verified")</formula>
    </cfRule>
  </conditionalFormatting>
  <conditionalFormatting sqref="G7:G106">
    <cfRule type="expression" priority="5" aboveAverage="0" equalAverage="0" bottom="0" percent="0" rank="0" text="" dxfId="3">
      <formula>G7="Critical"</formula>
    </cfRule>
    <cfRule type="expression" priority="6" aboveAverage="0" equalAverage="0" bottom="0" percent="0" rank="0" text="" dxfId="4">
      <formula>G7="High"</formula>
    </cfRule>
    <cfRule type="expression" priority="7" aboveAverage="0" equalAverage="0" bottom="0" percent="0" rank="0" text="" dxfId="5">
      <formula>G7="Moderate"</formula>
    </cfRule>
    <cfRule type="expression" priority="8" aboveAverage="0" equalAverage="0" bottom="0" percent="0" rank="0" text="" dxfId="6">
      <formula>G7="Low"</formula>
    </cfRule>
    <cfRule type="expression" priority="9" aboveAverage="0" equalAverage="0" bottom="0" percent="0" rank="0" text="" dxfId="7">
      <formula>G7="Incomplete"</formula>
    </cfRule>
  </conditionalFormatting>
  <conditionalFormatting sqref="H7:H106">
    <cfRule type="expression" priority="10" aboveAverage="0" equalAverage="0" bottom="0" percent="0" rank="0" text="" dxfId="0">
      <formula>OR(ISNUMBER(SEARCH("Above appetite",H7)),ISNUMBER(SEARCH("Overdue",H7)),ISNUMBER(SEARCH("Expired",H7)),ISNUMBER(SEARCH("Breach",H7)),ISNUMBER(SEARCH("CHECK",H7)),ISNUMBER(SEARCH("Not ready",H7)),ISNUMBER(SEARCH("REMAINS",H7)),ISNUMBER(SEARCH("Failed",H7)),ISNUMBER(SEARCH("Cannot assess",H7)))</formula>
    </cfRule>
    <cfRule type="expression" priority="11" aboveAverage="0" equalAverage="0" bottom="0" percent="0" rank="0" text="" dxfId="21">
      <formula>OR(ISNUMBER(SEARCH("Incomplete",H7)),ISNUMBER(SEARCH("Pending",H7)),ISNUMBER(SEARCH("Approaching",H7)),ISNUMBER(SEARCH("insufficient",H7)),ISNUMBER(SEARCH("Awaiting",H7)),ISNUMBER(SEARCH("Review due",H7)),ISNUMBER(SEARCH("Not configured",H7)),ISNUMBER(SEARCH("Not classified",H7)),ISNUMBER(SEARCH("Proposed",H7)),ISNUMBER(SEARCH("Verification",H7)),ISNUMBER(SEARCH("Scope limitation",H7)),ISNUMBER(SEARCH("Follow-up",H7)),ISNUMBER(SEARCH("Open gap",H7)),ISNUMBER(SEARCH("Delivered - verification",H7)),ISNUMBER(SEARCH("Historical",H7)),ISNUMBER(SEARCH("Not scheduled",H7)),ISNUMBER(SEARCH("Not determined",H7)),ISNUMBER(SEARCH("Decision record",H7)),ISNUMBER(SEARCH("Due soon",H7)),ISNUMBER(SEARCH("Not reviewed",H7)),ISNUMBER(SEARCH("Tier not",H7)),ISNUMBER(SEARCH("No decision",H7)),ISNUMBER(SEARCH("Superseded",H7)),ISNUMBER(SEARCH("Optional",H7)),ISNUMBER(SEARCH("legal review",H7)),ISNUMBER(SEARCH("No treatment",H7)),ISNUMBER(SEARCH("not recorded",H7)),ISNUMBER(SEARCH("consider",H7)),ISNUMBER(SEARCH("Not set",H7)),ISNUMBER(SEARCH("Not started",H7)),ISNUMBER(SEARCH("No expiry",H7)),ISNUMBER(SEARCH("No KRI",H7)),ISNUMBER(SEARCH("no reassessment",H7)),ISNUMBER(SEARCH("Applicability",H7)),ISNUMBER(SEARCH("Not current",H7)),ISNUMBER(SEARCH("assess relevance",H7)))</formula>
    </cfRule>
    <cfRule type="expression" priority="12" aboveAverage="0" equalAverage="0" bottom="0" percent="0" rank="0" text="" dxfId="22">
      <formula>OR(LEFT(H7,2)="OK",LEFT(H7,8)="Complete",LEFT(H7,7)="Current",LEFT(H7,10)="Authorised",LEFT(H7,6)="Within",LEFT(H7,11)="On schedule",LEFT(H7,17)="Ready for closure",LEFT(H7,17)="Evidence reviewed",LEFT(H7,19)="Decision referenced",LEFT(H7,27)="Reassessment event recorded",LEFT(H7,14)="Period current",LEFT(H7,17)="Gap dispositioned",LEFT(H7,17)="Reviewed - no gap",LEFT(H7,11)="Recommended",LEFT(H7,17)="Closed - verified")</formula>
    </cfRule>
  </conditionalFormatting>
  <conditionalFormatting sqref="V7:V106">
    <cfRule type="expression" priority="13" aboveAverage="0" equalAverage="0" bottom="0" percent="0" rank="0" text="" dxfId="0">
      <formula>OR(ISNUMBER(SEARCH("Above appetite",V7)),ISNUMBER(SEARCH("Overdue",V7)),ISNUMBER(SEARCH("Expired",V7)),ISNUMBER(SEARCH("Breach",V7)),ISNUMBER(SEARCH("CHECK",V7)),ISNUMBER(SEARCH("Not ready",V7)),ISNUMBER(SEARCH("REMAINS",V7)),ISNUMBER(SEARCH("Failed",V7)),ISNUMBER(SEARCH("Cannot assess",V7)))</formula>
    </cfRule>
    <cfRule type="expression" priority="14" aboveAverage="0" equalAverage="0" bottom="0" percent="0" rank="0" text="" dxfId="21">
      <formula>OR(ISNUMBER(SEARCH("Incomplete",V7)),ISNUMBER(SEARCH("Pending",V7)),ISNUMBER(SEARCH("Approaching",V7)),ISNUMBER(SEARCH("insufficient",V7)),ISNUMBER(SEARCH("Awaiting",V7)),ISNUMBER(SEARCH("Review due",V7)),ISNUMBER(SEARCH("Not configured",V7)),ISNUMBER(SEARCH("Not classified",V7)),ISNUMBER(SEARCH("Proposed",V7)),ISNUMBER(SEARCH("Verification",V7)),ISNUMBER(SEARCH("Scope limitation",V7)),ISNUMBER(SEARCH("Follow-up",V7)),ISNUMBER(SEARCH("Open gap",V7)),ISNUMBER(SEARCH("Delivered - verification",V7)),ISNUMBER(SEARCH("Historical",V7)),ISNUMBER(SEARCH("Not scheduled",V7)),ISNUMBER(SEARCH("Not determined",V7)),ISNUMBER(SEARCH("Decision record",V7)),ISNUMBER(SEARCH("Due soon",V7)),ISNUMBER(SEARCH("Not reviewed",V7)),ISNUMBER(SEARCH("Tier not",V7)),ISNUMBER(SEARCH("No decision",V7)),ISNUMBER(SEARCH("Superseded",V7)),ISNUMBER(SEARCH("Optional",V7)),ISNUMBER(SEARCH("legal review",V7)),ISNUMBER(SEARCH("No treatment",V7)),ISNUMBER(SEARCH("not recorded",V7)),ISNUMBER(SEARCH("consider",V7)),ISNUMBER(SEARCH("Not set",V7)),ISNUMBER(SEARCH("Not started",V7)),ISNUMBER(SEARCH("No expiry",V7)),ISNUMBER(SEARCH("No KRI",V7)),ISNUMBER(SEARCH("no reassessment",V7)),ISNUMBER(SEARCH("Applicability",V7)),ISNUMBER(SEARCH("Not current",V7)),ISNUMBER(SEARCH("assess relevance",V7)))</formula>
    </cfRule>
    <cfRule type="expression" priority="15" aboveAverage="0" equalAverage="0" bottom="0" percent="0" rank="0" text="" dxfId="22">
      <formula>OR(LEFT(V7,2)="OK",LEFT(V7,8)="Complete",LEFT(V7,7)="Current",LEFT(V7,10)="Authorised",LEFT(V7,6)="Within",LEFT(V7,11)="On schedule",LEFT(V7,17)="Ready for closure",LEFT(V7,17)="Evidence reviewed",LEFT(V7,19)="Decision referenced",LEFT(V7,27)="Reassessment event recorded",LEFT(V7,14)="Period current",LEFT(V7,17)="Gap dispositioned",LEFT(V7,17)="Reviewed - no gap",LEFT(V7,11)="Recommended",LEFT(V7,17)="Closed - verified")</formula>
    </cfRule>
  </conditionalFormatting>
  <conditionalFormatting sqref="W7:W106">
    <cfRule type="expression" priority="16" aboveAverage="0" equalAverage="0" bottom="0" percent="0" rank="0" text="" dxfId="0">
      <formula>OR(ISNUMBER(SEARCH("Above appetite",W7)),ISNUMBER(SEARCH("Overdue",W7)),ISNUMBER(SEARCH("Expired",W7)),ISNUMBER(SEARCH("Breach",W7)),ISNUMBER(SEARCH("CHECK",W7)),ISNUMBER(SEARCH("Not ready",W7)),ISNUMBER(SEARCH("REMAINS",W7)),ISNUMBER(SEARCH("Failed",W7)),ISNUMBER(SEARCH("Cannot assess",W7)))</formula>
    </cfRule>
    <cfRule type="expression" priority="17" aboveAverage="0" equalAverage="0" bottom="0" percent="0" rank="0" text="" dxfId="21">
      <formula>OR(ISNUMBER(SEARCH("Incomplete",W7)),ISNUMBER(SEARCH("Pending",W7)),ISNUMBER(SEARCH("Approaching",W7)),ISNUMBER(SEARCH("insufficient",W7)),ISNUMBER(SEARCH("Awaiting",W7)),ISNUMBER(SEARCH("Review due",W7)),ISNUMBER(SEARCH("Not configured",W7)),ISNUMBER(SEARCH("Not classified",W7)),ISNUMBER(SEARCH("Proposed",W7)),ISNUMBER(SEARCH("Verification",W7)),ISNUMBER(SEARCH("Scope limitation",W7)),ISNUMBER(SEARCH("Follow-up",W7)),ISNUMBER(SEARCH("Open gap",W7)),ISNUMBER(SEARCH("Delivered - verification",W7)),ISNUMBER(SEARCH("Historical",W7)),ISNUMBER(SEARCH("Not scheduled",W7)),ISNUMBER(SEARCH("Not determined",W7)),ISNUMBER(SEARCH("Decision record",W7)),ISNUMBER(SEARCH("Due soon",W7)),ISNUMBER(SEARCH("Not reviewed",W7)),ISNUMBER(SEARCH("Tier not",W7)),ISNUMBER(SEARCH("No decision",W7)),ISNUMBER(SEARCH("Superseded",W7)),ISNUMBER(SEARCH("Optional",W7)),ISNUMBER(SEARCH("legal review",W7)),ISNUMBER(SEARCH("No treatment",W7)),ISNUMBER(SEARCH("not recorded",W7)),ISNUMBER(SEARCH("consider",W7)),ISNUMBER(SEARCH("Not set",W7)),ISNUMBER(SEARCH("Not started",W7)),ISNUMBER(SEARCH("No expiry",W7)),ISNUMBER(SEARCH("No KRI",W7)),ISNUMBER(SEARCH("no reassessment",W7)),ISNUMBER(SEARCH("Applicability",W7)),ISNUMBER(SEARCH("Not current",W7)),ISNUMBER(SEARCH("assess relevance",W7)))</formula>
    </cfRule>
    <cfRule type="expression" priority="18" aboveAverage="0" equalAverage="0" bottom="0" percent="0" rank="0" text="" dxfId="22">
      <formula>OR(LEFT(W7,2)="OK",LEFT(W7,8)="Complete",LEFT(W7,7)="Current",LEFT(W7,10)="Authorised",LEFT(W7,6)="Within",LEFT(W7,11)="On schedule",LEFT(W7,17)="Ready for closure",LEFT(W7,17)="Evidence reviewed",LEFT(W7,19)="Decision referenced",LEFT(W7,27)="Reassessment event recorded",LEFT(W7,14)="Period current",LEFT(W7,17)="Gap dispositioned",LEFT(W7,17)="Reviewed - no gap",LEFT(W7,11)="Recommended",LEFT(W7,17)="Closed - verified")</formula>
    </cfRule>
  </conditionalFormatting>
  <conditionalFormatting sqref="X7:X106">
    <cfRule type="expression" priority="19" aboveAverage="0" equalAverage="0" bottom="0" percent="0" rank="0" text="" dxfId="0">
      <formula>OR(ISNUMBER(SEARCH("Above appetite",X7)),ISNUMBER(SEARCH("Overdue",X7)),ISNUMBER(SEARCH("Expired",X7)),ISNUMBER(SEARCH("Breach",X7)),ISNUMBER(SEARCH("CHECK",X7)),ISNUMBER(SEARCH("Not ready",X7)),ISNUMBER(SEARCH("REMAINS",X7)),ISNUMBER(SEARCH("Failed",X7)),ISNUMBER(SEARCH("Cannot assess",X7)))</formula>
    </cfRule>
    <cfRule type="expression" priority="20" aboveAverage="0" equalAverage="0" bottom="0" percent="0" rank="0" text="" dxfId="21">
      <formula>OR(ISNUMBER(SEARCH("Incomplete",X7)),ISNUMBER(SEARCH("Pending",X7)),ISNUMBER(SEARCH("Approaching",X7)),ISNUMBER(SEARCH("insufficient",X7)),ISNUMBER(SEARCH("Awaiting",X7)),ISNUMBER(SEARCH("Review due",X7)),ISNUMBER(SEARCH("Not configured",X7)),ISNUMBER(SEARCH("Not classified",X7)),ISNUMBER(SEARCH("Proposed",X7)),ISNUMBER(SEARCH("Verification",X7)),ISNUMBER(SEARCH("Scope limitation",X7)),ISNUMBER(SEARCH("Follow-up",X7)),ISNUMBER(SEARCH("Open gap",X7)),ISNUMBER(SEARCH("Delivered - verification",X7)),ISNUMBER(SEARCH("Historical",X7)),ISNUMBER(SEARCH("Not scheduled",X7)),ISNUMBER(SEARCH("Not determined",X7)),ISNUMBER(SEARCH("Decision record",X7)),ISNUMBER(SEARCH("Due soon",X7)),ISNUMBER(SEARCH("Not reviewed",X7)),ISNUMBER(SEARCH("Tier not",X7)),ISNUMBER(SEARCH("No decision",X7)),ISNUMBER(SEARCH("Superseded",X7)),ISNUMBER(SEARCH("Optional",X7)),ISNUMBER(SEARCH("legal review",X7)),ISNUMBER(SEARCH("No treatment",X7)),ISNUMBER(SEARCH("not recorded",X7)),ISNUMBER(SEARCH("consider",X7)),ISNUMBER(SEARCH("Not set",X7)),ISNUMBER(SEARCH("Not started",X7)),ISNUMBER(SEARCH("No expiry",X7)),ISNUMBER(SEARCH("No KRI",X7)),ISNUMBER(SEARCH("no reassessment",X7)),ISNUMBER(SEARCH("Applicability",X7)),ISNUMBER(SEARCH("Not current",X7)),ISNUMBER(SEARCH("assess relevance",X7)))</formula>
    </cfRule>
    <cfRule type="expression" priority="21" aboveAverage="0" equalAverage="0" bottom="0" percent="0" rank="0" text="" dxfId="22">
      <formula>OR(LEFT(X7,2)="OK",LEFT(X7,8)="Complete",LEFT(X7,7)="Current",LEFT(X7,10)="Authorised",LEFT(X7,6)="Within",LEFT(X7,11)="On schedule",LEFT(X7,17)="Ready for closure",LEFT(X7,17)="Evidence reviewed",LEFT(X7,19)="Decision referenced",LEFT(X7,27)="Reassessment event recorded",LEFT(X7,14)="Period current",LEFT(X7,17)="Gap dispositioned",LEFT(X7,17)="Reviewed - no gap",LEFT(X7,11)="Recommended",LEFT(X7,17)="Closed - verified")</formula>
    </cfRule>
  </conditionalFormatting>
  <conditionalFormatting sqref="Y7:Y106">
    <cfRule type="expression" priority="22" aboveAverage="0" equalAverage="0" bottom="0" percent="0" rank="0" text="" dxfId="0">
      <formula>OR(ISNUMBER(SEARCH("Above appetite",Y7)),ISNUMBER(SEARCH("Overdue",Y7)),ISNUMBER(SEARCH("Expired",Y7)),ISNUMBER(SEARCH("Breach",Y7)),ISNUMBER(SEARCH("CHECK",Y7)),ISNUMBER(SEARCH("Not ready",Y7)),ISNUMBER(SEARCH("REMAINS",Y7)),ISNUMBER(SEARCH("Failed",Y7)),ISNUMBER(SEARCH("Cannot assess",Y7)))</formula>
    </cfRule>
    <cfRule type="expression" priority="23" aboveAverage="0" equalAverage="0" bottom="0" percent="0" rank="0" text="" dxfId="21">
      <formula>OR(ISNUMBER(SEARCH("Incomplete",Y7)),ISNUMBER(SEARCH("Pending",Y7)),ISNUMBER(SEARCH("Approaching",Y7)),ISNUMBER(SEARCH("insufficient",Y7)),ISNUMBER(SEARCH("Awaiting",Y7)),ISNUMBER(SEARCH("Review due",Y7)),ISNUMBER(SEARCH("Not configured",Y7)),ISNUMBER(SEARCH("Not classified",Y7)),ISNUMBER(SEARCH("Proposed",Y7)),ISNUMBER(SEARCH("Verification",Y7)),ISNUMBER(SEARCH("Scope limitation",Y7)),ISNUMBER(SEARCH("Follow-up",Y7)),ISNUMBER(SEARCH("Open gap",Y7)),ISNUMBER(SEARCH("Delivered - verification",Y7)),ISNUMBER(SEARCH("Historical",Y7)),ISNUMBER(SEARCH("Not scheduled",Y7)),ISNUMBER(SEARCH("Not determined",Y7)),ISNUMBER(SEARCH("Decision record",Y7)),ISNUMBER(SEARCH("Due soon",Y7)),ISNUMBER(SEARCH("Not reviewed",Y7)),ISNUMBER(SEARCH("Tier not",Y7)),ISNUMBER(SEARCH("No decision",Y7)),ISNUMBER(SEARCH("Superseded",Y7)),ISNUMBER(SEARCH("Optional",Y7)),ISNUMBER(SEARCH("legal review",Y7)),ISNUMBER(SEARCH("No treatment",Y7)),ISNUMBER(SEARCH("not recorded",Y7)),ISNUMBER(SEARCH("consider",Y7)),ISNUMBER(SEARCH("Not set",Y7)),ISNUMBER(SEARCH("Not started",Y7)),ISNUMBER(SEARCH("No expiry",Y7)),ISNUMBER(SEARCH("No KRI",Y7)),ISNUMBER(SEARCH("no reassessment",Y7)),ISNUMBER(SEARCH("Applicability",Y7)),ISNUMBER(SEARCH("Not current",Y7)),ISNUMBER(SEARCH("assess relevance",Y7)))</formula>
    </cfRule>
    <cfRule type="expression" priority="24" aboveAverage="0" equalAverage="0" bottom="0" percent="0" rank="0" text="" dxfId="22">
      <formula>OR(LEFT(Y7,2)="OK",LEFT(Y7,8)="Complete",LEFT(Y7,7)="Current",LEFT(Y7,10)="Authorised",LEFT(Y7,6)="Within",LEFT(Y7,11)="On schedule",LEFT(Y7,17)="Ready for closure",LEFT(Y7,17)="Evidence reviewed",LEFT(Y7,19)="Decision referenced",LEFT(Y7,27)="Reassessment event recorded",LEFT(Y7,14)="Period current",LEFT(Y7,17)="Gap dispositioned",LEFT(Y7,17)="Reviewed - no gap",LEFT(Y7,11)="Recommended",LEFT(Y7,17)="Closed - verified")</formula>
    </cfRule>
  </conditionalFormatting>
  <conditionalFormatting sqref="Z7:Z106">
    <cfRule type="expression" priority="25" aboveAverage="0" equalAverage="0" bottom="0" percent="0" rank="0" text="" dxfId="0">
      <formula>OR(ISNUMBER(SEARCH("Above appetite",Z7)),ISNUMBER(SEARCH("Overdue",Z7)),ISNUMBER(SEARCH("Expired",Z7)),ISNUMBER(SEARCH("Breach",Z7)),ISNUMBER(SEARCH("CHECK",Z7)),ISNUMBER(SEARCH("Not ready",Z7)),ISNUMBER(SEARCH("REMAINS",Z7)),ISNUMBER(SEARCH("Failed",Z7)),ISNUMBER(SEARCH("Cannot assess",Z7)))</formula>
    </cfRule>
    <cfRule type="expression" priority="26" aboveAverage="0" equalAverage="0" bottom="0" percent="0" rank="0" text="" dxfId="21">
      <formula>OR(ISNUMBER(SEARCH("Incomplete",Z7)),ISNUMBER(SEARCH("Pending",Z7)),ISNUMBER(SEARCH("Approaching",Z7)),ISNUMBER(SEARCH("insufficient",Z7)),ISNUMBER(SEARCH("Awaiting",Z7)),ISNUMBER(SEARCH("Review due",Z7)),ISNUMBER(SEARCH("Not configured",Z7)),ISNUMBER(SEARCH("Not classified",Z7)),ISNUMBER(SEARCH("Proposed",Z7)),ISNUMBER(SEARCH("Verification",Z7)),ISNUMBER(SEARCH("Scope limitation",Z7)),ISNUMBER(SEARCH("Follow-up",Z7)),ISNUMBER(SEARCH("Open gap",Z7)),ISNUMBER(SEARCH("Delivered - verification",Z7)),ISNUMBER(SEARCH("Historical",Z7)),ISNUMBER(SEARCH("Not scheduled",Z7)),ISNUMBER(SEARCH("Not determined",Z7)),ISNUMBER(SEARCH("Decision record",Z7)),ISNUMBER(SEARCH("Due soon",Z7)),ISNUMBER(SEARCH("Not reviewed",Z7)),ISNUMBER(SEARCH("Tier not",Z7)),ISNUMBER(SEARCH("No decision",Z7)),ISNUMBER(SEARCH("Superseded",Z7)),ISNUMBER(SEARCH("Optional",Z7)),ISNUMBER(SEARCH("legal review",Z7)),ISNUMBER(SEARCH("No treatment",Z7)),ISNUMBER(SEARCH("not recorded",Z7)),ISNUMBER(SEARCH("consider",Z7)),ISNUMBER(SEARCH("Not set",Z7)),ISNUMBER(SEARCH("Not started",Z7)),ISNUMBER(SEARCH("No expiry",Z7)),ISNUMBER(SEARCH("No KRI",Z7)),ISNUMBER(SEARCH("no reassessment",Z7)),ISNUMBER(SEARCH("Applicability",Z7)),ISNUMBER(SEARCH("Not current",Z7)),ISNUMBER(SEARCH("assess relevance",Z7)))</formula>
    </cfRule>
    <cfRule type="expression" priority="27" aboveAverage="0" equalAverage="0" bottom="0" percent="0" rank="0" text="" dxfId="22">
      <formula>OR(LEFT(Z7,2)="OK",LEFT(Z7,8)="Complete",LEFT(Z7,7)="Current",LEFT(Z7,10)="Authorised",LEFT(Z7,6)="Within",LEFT(Z7,11)="On schedule",LEFT(Z7,17)="Ready for closure",LEFT(Z7,17)="Evidence reviewed",LEFT(Z7,19)="Decision referenced",LEFT(Z7,27)="Reassessment event recorded",LEFT(Z7,14)="Period current",LEFT(Z7,17)="Gap dispositioned",LEFT(Z7,17)="Reviewed - no gap",LEFT(Z7,11)="Recommended",LEFT(Z7,17)="Closed - verified")</formula>
    </cfRule>
  </conditionalFormatting>
  <conditionalFormatting sqref="A7:A106">
    <cfRule type="expression" priority="28" aboveAverage="0" equalAverage="0" bottom="0" percent="0" rank="0" text="" dxfId="0">
      <formula>AND(A7&lt;&gt;"",COUNTIF($A$7:$A$106,A7)&gt;1)</formula>
    </cfRule>
  </conditionalFormatting>
  <dataValidations count="7">
    <dataValidation allowBlank="true" error="Enter a valid date (on or after 1 Jan 2000)." errorStyle="stop" errorTitle="Invalid date" operator="greaterThanOrEqual" showDropDown="false" showErrorMessage="true" showInputMessage="false" sqref="I7:I106 Q7:R106" type="date">
      <formula1>36526</formula1>
      <formula2>0</formula2>
    </dataValidation>
    <dataValidation allowBlank="true" error="Choose a value from the list (controlled vocabulary or an existing ID)." errorStyle="stop" errorTitle="Invalid entry" operator="between" showDropDown="false" showErrorMessage="true" showInputMessage="false" sqref="B7:B106" type="list">
      <formula1>INV_ID</formula1>
      <formula2>0</formula2>
    </dataValidation>
    <dataValidation allowBlank="true" error="Choose a value from the list (controlled vocabulary or an existing ID)." errorStyle="stop" errorTitle="Invalid entry" operator="between" showDropDown="false" showErrorMessage="true" showInputMessage="false" sqref="D7:D106" type="list">
      <formula1>RSK_ID</formula1>
      <formula2>0</formula2>
    </dataValidation>
    <dataValidation allowBlank="true" error="Choose a value from the list (controlled vocabulary or an existing ID)." errorStyle="stop" errorTitle="Invalid entry" operator="between" showDropDown="false" showErrorMessage="true" showInputMessage="false" sqref="E7:E106" type="list">
      <formula1>L_DecType</formula1>
      <formula2>0</formula2>
    </dataValidation>
    <dataValidation allowBlank="true" error="Choose a value from the list (controlled vocabulary or an existing ID)." errorStyle="stop" errorTitle="Invalid entry" operator="between" showDropDown="false" showErrorMessage="true" showInputMessage="false" sqref="N7:N106" type="list">
      <formula1>L_DecReq</formula1>
      <formula2>0</formula2>
    </dataValidation>
    <dataValidation allowBlank="true" error="Choose a value from the list (controlled vocabulary or an existing ID)." errorStyle="stop" errorTitle="Invalid entry" operator="between" showDropDown="false" showErrorMessage="true" showInputMessage="false" sqref="O7:O106" type="list">
      <formula1>L_DecFinal</formula1>
      <formula2>0</formula2>
    </dataValidation>
    <dataValidation allowBlank="true" error="Choose a value from the list (controlled vocabulary or an existing ID)." errorStyle="stop" errorTitle="Invalid entry" operator="between" showDropDown="false" showErrorMessage="true" showInputMessage="false" sqref="U7:U106" type="list">
      <formula1>L_DecStatus</formula1>
      <formula2>0</formula2>
    </dataValidation>
  </dataValidations>
  <hyperlinks>
    <hyperlink ref="H1" r:id="rId1" location="'01%20Start%20Here'!A1" display="&lt;&lt; Back to Start Here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tableParts>
    <tablePart r:id="rId2"/>
  </tableParts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S20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6" topLeftCell="C7" activePane="bottomRight" state="frozen"/>
      <selection pane="topLeft" activeCell="A1" activeCellId="0" sqref="A1"/>
      <selection pane="topRight" activeCell="C1" activeCellId="0" sqref="C1"/>
      <selection pane="bottomLeft" activeCell="A7" activeCellId="0" sqref="A7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11"/>
    <col collapsed="false" customWidth="true" hidden="false" outlineLevel="0" max="2" min="2" style="1" width="12"/>
    <col collapsed="false" customWidth="true" hidden="false" outlineLevel="0" max="3" min="3" style="1" width="22"/>
    <col collapsed="false" customWidth="true" hidden="false" outlineLevel="0" max="4" min="4" style="1" width="18"/>
    <col collapsed="false" customWidth="true" hidden="false" outlineLevel="0" max="5" min="5" style="1" width="20"/>
    <col collapsed="false" customWidth="true" hidden="false" outlineLevel="0" max="6" min="6" style="1" width="11"/>
    <col collapsed="false" customWidth="true" hidden="false" outlineLevel="0" max="7" min="7" style="1" width="34"/>
    <col collapsed="false" customWidth="true" hidden="false" outlineLevel="0" max="8" min="8" style="1" width="18"/>
    <col collapsed="false" customWidth="true" hidden="false" outlineLevel="0" max="9" min="9" style="1" width="24"/>
    <col collapsed="false" customWidth="true" hidden="false" outlineLevel="0" max="10" min="10" style="1" width="30"/>
    <col collapsed="false" customWidth="true" hidden="false" outlineLevel="0" max="11" min="11" style="1" width="18"/>
    <col collapsed="false" customWidth="true" hidden="false" outlineLevel="0" max="12" min="12" style="1" width="28"/>
    <col collapsed="false" customWidth="true" hidden="false" outlineLevel="0" max="13" min="13" style="1" width="26"/>
    <col collapsed="false" customWidth="true" hidden="false" outlineLevel="0" max="14" min="14" style="1" width="20"/>
    <col collapsed="false" customWidth="true" hidden="false" outlineLevel="0" max="15" min="15" style="1" width="22"/>
    <col collapsed="false" customWidth="true" hidden="false" outlineLevel="0" max="16" min="16" style="1" width="13"/>
    <col collapsed="false" customWidth="true" hidden="false" outlineLevel="0" max="17" min="17" style="1" width="34"/>
    <col collapsed="false" customWidth="true" hidden="false" outlineLevel="0" max="18" min="18" style="1" width="32"/>
    <col collapsed="false" customWidth="true" hidden="true" outlineLevel="0" max="19" min="19" style="1" width="10"/>
  </cols>
  <sheetData>
    <row r="1" customFormat="false" ht="17.35" hidden="false" customHeight="false" outlineLevel="0" collapsed="false">
      <c r="A1" s="22" t="s">
        <v>1575</v>
      </c>
      <c r="H1" s="10" t="s">
        <v>100</v>
      </c>
    </row>
    <row r="2" customFormat="false" ht="15" hidden="false" customHeight="false" outlineLevel="0" collapsed="false">
      <c r="A2" s="3" t="s">
        <v>1576</v>
      </c>
    </row>
    <row r="3" customFormat="false" ht="15" hidden="false" customHeight="false" outlineLevel="0" collapsed="false">
      <c r="A3" s="4" t="s">
        <v>1577</v>
      </c>
    </row>
    <row r="4" customFormat="false" ht="24" hidden="false" customHeight="true" outlineLevel="0" collapsed="false">
      <c r="A4" s="45" t="s">
        <v>69</v>
      </c>
      <c r="B4" s="45" t="s">
        <v>69</v>
      </c>
      <c r="C4" s="55" t="s">
        <v>73</v>
      </c>
      <c r="D4" s="45" t="s">
        <v>69</v>
      </c>
      <c r="E4" s="45" t="s">
        <v>69</v>
      </c>
      <c r="F4" s="45" t="s">
        <v>69</v>
      </c>
      <c r="G4" s="45" t="s">
        <v>69</v>
      </c>
      <c r="H4" s="45" t="s">
        <v>69</v>
      </c>
      <c r="I4" s="45" t="s">
        <v>69</v>
      </c>
      <c r="J4" s="45" t="s">
        <v>69</v>
      </c>
      <c r="K4" s="45" t="s">
        <v>69</v>
      </c>
      <c r="L4" s="45" t="s">
        <v>69</v>
      </c>
      <c r="M4" s="45" t="s">
        <v>69</v>
      </c>
      <c r="N4" s="45" t="s">
        <v>69</v>
      </c>
      <c r="O4" s="45" t="s">
        <v>69</v>
      </c>
      <c r="P4" s="45" t="s">
        <v>69</v>
      </c>
      <c r="Q4" s="46" t="s">
        <v>442</v>
      </c>
      <c r="R4" s="46" t="s">
        <v>442</v>
      </c>
      <c r="S4" s="46" t="s">
        <v>442</v>
      </c>
    </row>
    <row r="5" customFormat="false" ht="30" hidden="false" customHeight="true" outlineLevel="0" collapsed="false">
      <c r="A5" s="47" t="s">
        <v>1578</v>
      </c>
      <c r="B5" s="47" t="s">
        <v>443</v>
      </c>
      <c r="C5" s="47"/>
      <c r="D5" s="47" t="s">
        <v>1579</v>
      </c>
      <c r="E5" s="47" t="s">
        <v>1580</v>
      </c>
      <c r="F5" s="47" t="s">
        <v>1334</v>
      </c>
      <c r="G5" s="47"/>
      <c r="H5" s="47" t="s">
        <v>1581</v>
      </c>
      <c r="I5" s="47" t="s">
        <v>1582</v>
      </c>
      <c r="J5" s="47"/>
      <c r="K5" s="47"/>
      <c r="L5" s="47"/>
      <c r="M5" s="47"/>
      <c r="N5" s="47" t="s">
        <v>1398</v>
      </c>
      <c r="O5" s="47"/>
      <c r="P5" s="47" t="s">
        <v>1583</v>
      </c>
      <c r="Q5" s="47"/>
      <c r="R5" s="47"/>
      <c r="S5" s="47"/>
    </row>
    <row r="6" customFormat="false" ht="48" hidden="false" customHeight="true" outlineLevel="0" collapsed="false">
      <c r="A6" s="48" t="s">
        <v>1584</v>
      </c>
      <c r="B6" s="48" t="s">
        <v>456</v>
      </c>
      <c r="C6" s="57" t="s">
        <v>538</v>
      </c>
      <c r="D6" s="48" t="s">
        <v>1585</v>
      </c>
      <c r="E6" s="48" t="s">
        <v>717</v>
      </c>
      <c r="F6" s="48" t="s">
        <v>1344</v>
      </c>
      <c r="G6" s="48" t="s">
        <v>1403</v>
      </c>
      <c r="H6" s="48" t="s">
        <v>1586</v>
      </c>
      <c r="I6" s="48" t="s">
        <v>475</v>
      </c>
      <c r="J6" s="48" t="s">
        <v>1587</v>
      </c>
      <c r="K6" s="48" t="s">
        <v>1588</v>
      </c>
      <c r="L6" s="48" t="s">
        <v>1589</v>
      </c>
      <c r="M6" s="48" t="s">
        <v>1590</v>
      </c>
      <c r="N6" s="48" t="s">
        <v>1591</v>
      </c>
      <c r="O6" s="48" t="s">
        <v>1592</v>
      </c>
      <c r="P6" s="48" t="s">
        <v>552</v>
      </c>
      <c r="Q6" s="49" t="s">
        <v>1593</v>
      </c>
      <c r="R6" s="49" t="s">
        <v>560</v>
      </c>
      <c r="S6" s="49" t="s">
        <v>632</v>
      </c>
    </row>
    <row r="7" customFormat="false" ht="23.85" hidden="false" customHeight="false" outlineLevel="0" collapsed="false">
      <c r="A7" s="50" t="s">
        <v>1594</v>
      </c>
      <c r="B7" s="50" t="s">
        <v>479</v>
      </c>
      <c r="C7" s="59" t="str">
        <f aca="false">IF(B7="","",IFERROR(INDEX(INV_NAME,MATCH(B7,INV_ID,0)),"CHECK: Supplier ID not found"))</f>
        <v>Northwind Cloud Hosting Ltd</v>
      </c>
      <c r="D7" s="34" t="s">
        <v>1595</v>
      </c>
      <c r="E7" s="34" t="s">
        <v>341</v>
      </c>
      <c r="F7" s="50" t="s">
        <v>643</v>
      </c>
      <c r="G7" s="34" t="s">
        <v>1596</v>
      </c>
      <c r="H7" s="34" t="s">
        <v>1597</v>
      </c>
      <c r="I7" s="34" t="s">
        <v>305</v>
      </c>
      <c r="J7" s="34"/>
      <c r="K7" s="34" t="s">
        <v>1451</v>
      </c>
      <c r="L7" s="34"/>
      <c r="M7" s="34"/>
      <c r="N7" s="34" t="s">
        <v>259</v>
      </c>
      <c r="O7" s="34"/>
      <c r="P7" s="51" t="n">
        <v>46285</v>
      </c>
      <c r="Q7" s="54" t="str">
        <f aca="false">IF(A7="","",IF(I7="Gap identified",IF(OR(N7="Amended",N7="Accepted - exception approved",N7="No action required",N7="Not applicable",N7="Withdrawn"),"Gap dispositioned","Open gap"),IF(I7="Not reviewed","Not reviewed",IF(I7="Clause present - legal review pending","Present - legal review pending",IF(I7="Clause reviewed - no gap noted","Reviewed - no gap noted (not a legal compliance conclusion)",IF(I7="Not applicable","Not applicable","Not reviewed"))))))</f>
        <v>Present - legal review pending</v>
      </c>
      <c r="R7" s="54" t="str">
        <f aca="false">IF(A7="","",IF(COUNTIF(CON_ID,A7)&gt;1,"CHECK: duplicate ID",IF(B7="","CHECK: Supplier ID missing",IF(COUNTIF(INV_ID,B7)=0,"CHECK: Supplier ID not in inventory",IF(AND(F7&lt;&gt;"",COUNTIF(RSK_ID,F7)=0),"CHECK: Risk ID not found",IF(AND(F7&lt;&gt;"",COUNTIF(RSK_ID,F7)&gt;0,IFERROR(INDEX(RSK_SUP,MATCH(F7,RSK_ID,0)),"")&lt;&gt;B7),"CHECK: Risk belongs to a different supplier",IF(AND(N7="Accepted - exception approved",O7=""),"CHECK: exception approval reference missing","OK")))))))</f>
        <v>OK</v>
      </c>
      <c r="S7" s="61" t="str">
        <f aca="false">IF(OR(A7="",B7=""),"",IF(AND(Q7="Open gap",B7=RptSup),B7&amp;"|"&amp;COUNTIFS($B$7:B7,B7,$Q$7:Q7,"Open gap"),""))</f>
        <v/>
      </c>
    </row>
    <row r="8" customFormat="false" ht="23.85" hidden="false" customHeight="false" outlineLevel="0" collapsed="false">
      <c r="A8" s="50" t="s">
        <v>1598</v>
      </c>
      <c r="B8" s="50" t="s">
        <v>479</v>
      </c>
      <c r="C8" s="59" t="str">
        <f aca="false">IF(B8="","",IFERROR(INDEX(INV_NAME,MATCH(B8,INV_ID,0)),"CHECK: Supplier ID not found"))</f>
        <v>Northwind Cloud Hosting Ltd</v>
      </c>
      <c r="D8" s="34" t="s">
        <v>1595</v>
      </c>
      <c r="E8" s="34" t="s">
        <v>395</v>
      </c>
      <c r="F8" s="50" t="s">
        <v>643</v>
      </c>
      <c r="G8" s="34" t="s">
        <v>1599</v>
      </c>
      <c r="H8" s="34" t="s">
        <v>1600</v>
      </c>
      <c r="I8" s="34" t="s">
        <v>372</v>
      </c>
      <c r="J8" s="34" t="s">
        <v>1601</v>
      </c>
      <c r="K8" s="34" t="s">
        <v>1451</v>
      </c>
      <c r="L8" s="34" t="s">
        <v>1602</v>
      </c>
      <c r="M8" s="34" t="s">
        <v>1603</v>
      </c>
      <c r="N8" s="34" t="s">
        <v>259</v>
      </c>
      <c r="O8" s="34"/>
      <c r="P8" s="51" t="n">
        <v>46285</v>
      </c>
      <c r="Q8" s="54" t="str">
        <f aca="false">IF(A8="","",IF(I8="Gap identified",IF(OR(N8="Amended",N8="Accepted - exception approved",N8="No action required",N8="Not applicable",N8="Withdrawn"),"Gap dispositioned","Open gap"),IF(I8="Not reviewed","Not reviewed",IF(I8="Clause present - legal review pending","Present - legal review pending",IF(I8="Clause reviewed - no gap noted","Reviewed - no gap noted (not a legal compliance conclusion)",IF(I8="Not applicable","Not applicable","Not reviewed"))))))</f>
        <v>Open gap</v>
      </c>
      <c r="R8" s="54" t="str">
        <f aca="false">IF(A8="","",IF(COUNTIF(CON_ID,A8)&gt;1,"CHECK: duplicate ID",IF(B8="","CHECK: Supplier ID missing",IF(COUNTIF(INV_ID,B8)=0,"CHECK: Supplier ID not in inventory",IF(AND(F8&lt;&gt;"",COUNTIF(RSK_ID,F8)=0),"CHECK: Risk ID not found",IF(AND(F8&lt;&gt;"",COUNTIF(RSK_ID,F8)&gt;0,IFERROR(INDEX(RSK_SUP,MATCH(F8,RSK_ID,0)),"")&lt;&gt;B8),"CHECK: Risk belongs to a different supplier",IF(AND(N8="Accepted - exception approved",O8=""),"CHECK: exception approval reference missing","OK")))))))</f>
        <v>OK</v>
      </c>
      <c r="S8" s="61" t="str">
        <f aca="false">IF(OR(A8="",B8=""),"",IF(AND(Q8="Open gap",B8=RptSup),B8&amp;"|"&amp;COUNTIFS($B$7:B8,B8,$Q$7:Q8,"Open gap"),""))</f>
        <v>SUP-001|1</v>
      </c>
    </row>
    <row r="9" customFormat="false" ht="23.85" hidden="false" customHeight="false" outlineLevel="0" collapsed="false">
      <c r="A9" s="50" t="s">
        <v>1604</v>
      </c>
      <c r="B9" s="50" t="s">
        <v>479</v>
      </c>
      <c r="C9" s="59" t="str">
        <f aca="false">IF(B9="","",IFERROR(INDEX(INV_NAME,MATCH(B9,INV_ID,0)),"CHECK: Supplier ID not found"))</f>
        <v>Northwind Cloud Hosting Ltd</v>
      </c>
      <c r="D9" s="34" t="s">
        <v>1595</v>
      </c>
      <c r="E9" s="34" t="s">
        <v>410</v>
      </c>
      <c r="F9" s="50" t="s">
        <v>633</v>
      </c>
      <c r="G9" s="34" t="s">
        <v>1605</v>
      </c>
      <c r="H9" s="34" t="s">
        <v>1606</v>
      </c>
      <c r="I9" s="34" t="s">
        <v>342</v>
      </c>
      <c r="J9" s="34"/>
      <c r="K9" s="34" t="s">
        <v>1451</v>
      </c>
      <c r="L9" s="34"/>
      <c r="M9" s="34"/>
      <c r="N9" s="34" t="s">
        <v>373</v>
      </c>
      <c r="O9" s="34"/>
      <c r="P9" s="51" t="n">
        <v>46285</v>
      </c>
      <c r="Q9" s="54" t="str">
        <f aca="false">IF(A9="","",IF(I9="Gap identified",IF(OR(N9="Amended",N9="Accepted - exception approved",N9="No action required",N9="Not applicable",N9="Withdrawn"),"Gap dispositioned","Open gap"),IF(I9="Not reviewed","Not reviewed",IF(I9="Clause present - legal review pending","Present - legal review pending",IF(I9="Clause reviewed - no gap noted","Reviewed - no gap noted (not a legal compliance conclusion)",IF(I9="Not applicable","Not applicable","Not reviewed"))))))</f>
        <v>Reviewed - no gap noted (not a legal compliance conclusion)</v>
      </c>
      <c r="R9" s="54" t="str">
        <f aca="false">IF(A9="","",IF(COUNTIF(CON_ID,A9)&gt;1,"CHECK: duplicate ID",IF(B9="","CHECK: Supplier ID missing",IF(COUNTIF(INV_ID,B9)=0,"CHECK: Supplier ID not in inventory",IF(AND(F9&lt;&gt;"",COUNTIF(RSK_ID,F9)=0),"CHECK: Risk ID not found",IF(AND(F9&lt;&gt;"",COUNTIF(RSK_ID,F9)&gt;0,IFERROR(INDEX(RSK_SUP,MATCH(F9,RSK_ID,0)),"")&lt;&gt;B9),"CHECK: Risk belongs to a different supplier",IF(AND(N9="Accepted - exception approved",O9=""),"CHECK: exception approval reference missing","OK")))))))</f>
        <v>OK</v>
      </c>
      <c r="S9" s="61" t="str">
        <f aca="false">IF(OR(A9="",B9=""),"",IF(AND(Q9="Open gap",B9=RptSup),B9&amp;"|"&amp;COUNTIFS($B$7:B9,B9,$Q$7:Q9,"Open gap"),""))</f>
        <v/>
      </c>
    </row>
    <row r="10" customFormat="false" ht="35.05" hidden="false" customHeight="false" outlineLevel="0" collapsed="false">
      <c r="A10" s="50" t="s">
        <v>658</v>
      </c>
      <c r="B10" s="50" t="s">
        <v>479</v>
      </c>
      <c r="C10" s="59" t="str">
        <f aca="false">IF(B10="","",IFERROR(INDEX(INV_NAME,MATCH(B10,INV_ID,0)),"CHECK: Supplier ID not found"))</f>
        <v>Northwind Cloud Hosting Ltd</v>
      </c>
      <c r="D10" s="34" t="s">
        <v>1595</v>
      </c>
      <c r="E10" s="34" t="s">
        <v>419</v>
      </c>
      <c r="F10" s="50" t="s">
        <v>652</v>
      </c>
      <c r="G10" s="34" t="s">
        <v>1607</v>
      </c>
      <c r="H10" s="34" t="s">
        <v>1608</v>
      </c>
      <c r="I10" s="34" t="s">
        <v>372</v>
      </c>
      <c r="J10" s="34" t="s">
        <v>1609</v>
      </c>
      <c r="K10" s="34" t="s">
        <v>1451</v>
      </c>
      <c r="L10" s="34" t="s">
        <v>1610</v>
      </c>
      <c r="M10" s="34" t="s">
        <v>1611</v>
      </c>
      <c r="N10" s="34" t="s">
        <v>259</v>
      </c>
      <c r="O10" s="34"/>
      <c r="P10" s="51" t="n">
        <v>46285</v>
      </c>
      <c r="Q10" s="54" t="str">
        <f aca="false">IF(A10="","",IF(I10="Gap identified",IF(OR(N10="Amended",N10="Accepted - exception approved",N10="No action required",N10="Not applicable",N10="Withdrawn"),"Gap dispositioned","Open gap"),IF(I10="Not reviewed","Not reviewed",IF(I10="Clause present - legal review pending","Present - legal review pending",IF(I10="Clause reviewed - no gap noted","Reviewed - no gap noted (not a legal compliance conclusion)",IF(I10="Not applicable","Not applicable","Not reviewed"))))))</f>
        <v>Open gap</v>
      </c>
      <c r="R10" s="54" t="str">
        <f aca="false">IF(A10="","",IF(COUNTIF(CON_ID,A10)&gt;1,"CHECK: duplicate ID",IF(B10="","CHECK: Supplier ID missing",IF(COUNTIF(INV_ID,B10)=0,"CHECK: Supplier ID not in inventory",IF(AND(F10&lt;&gt;"",COUNTIF(RSK_ID,F10)=0),"CHECK: Risk ID not found",IF(AND(F10&lt;&gt;"",COUNTIF(RSK_ID,F10)&gt;0,IFERROR(INDEX(RSK_SUP,MATCH(F10,RSK_ID,0)),"")&lt;&gt;B10),"CHECK: Risk belongs to a different supplier",IF(AND(N10="Accepted - exception approved",O10=""),"CHECK: exception approval reference missing","OK")))))))</f>
        <v>OK</v>
      </c>
      <c r="S10" s="61" t="str">
        <f aca="false">IF(OR(A10="",B10=""),"",IF(AND(Q10="Open gap",B10=RptSup),B10&amp;"|"&amp;COUNTIFS($B$7:B10,B10,$Q$7:Q10,"Open gap"),""))</f>
        <v>SUP-001|2</v>
      </c>
    </row>
    <row r="11" customFormat="false" ht="23.85" hidden="false" customHeight="false" outlineLevel="0" collapsed="false">
      <c r="A11" s="50" t="s">
        <v>1612</v>
      </c>
      <c r="B11" s="50" t="s">
        <v>489</v>
      </c>
      <c r="C11" s="59" t="str">
        <f aca="false">IF(B11="","",IFERROR(INDEX(INV_NAME,MATCH(B11,INV_ID,0)),"CHECK: Supplier ID not found"))</f>
        <v>SupportLoop Ltd</v>
      </c>
      <c r="D11" s="34" t="s">
        <v>1613</v>
      </c>
      <c r="E11" s="34" t="s">
        <v>371</v>
      </c>
      <c r="F11" s="50" t="s">
        <v>670</v>
      </c>
      <c r="G11" s="34" t="s">
        <v>1614</v>
      </c>
      <c r="H11" s="34" t="s">
        <v>1615</v>
      </c>
      <c r="I11" s="34" t="s">
        <v>372</v>
      </c>
      <c r="J11" s="34" t="s">
        <v>1616</v>
      </c>
      <c r="K11" s="34" t="s">
        <v>1451</v>
      </c>
      <c r="L11" s="34" t="s">
        <v>1617</v>
      </c>
      <c r="M11" s="34" t="s">
        <v>1618</v>
      </c>
      <c r="N11" s="34" t="s">
        <v>259</v>
      </c>
      <c r="O11" s="34"/>
      <c r="P11" s="51" t="n">
        <v>46303</v>
      </c>
      <c r="Q11" s="54" t="str">
        <f aca="false">IF(A11="","",IF(I11="Gap identified",IF(OR(N11="Amended",N11="Accepted - exception approved",N11="No action required",N11="Not applicable",N11="Withdrawn"),"Gap dispositioned","Open gap"),IF(I11="Not reviewed","Not reviewed",IF(I11="Clause present - legal review pending","Present - legal review pending",IF(I11="Clause reviewed - no gap noted","Reviewed - no gap noted (not a legal compliance conclusion)",IF(I11="Not applicable","Not applicable","Not reviewed"))))))</f>
        <v>Open gap</v>
      </c>
      <c r="R11" s="54" t="str">
        <f aca="false">IF(A11="","",IF(COUNTIF(CON_ID,A11)&gt;1,"CHECK: duplicate ID",IF(B11="","CHECK: Supplier ID missing",IF(COUNTIF(INV_ID,B11)=0,"CHECK: Supplier ID not in inventory",IF(AND(F11&lt;&gt;"",COUNTIF(RSK_ID,F11)=0),"CHECK: Risk ID not found",IF(AND(F11&lt;&gt;"",COUNTIF(RSK_ID,F11)&gt;0,IFERROR(INDEX(RSK_SUP,MATCH(F11,RSK_ID,0)),"")&lt;&gt;B11),"CHECK: Risk belongs to a different supplier",IF(AND(N11="Accepted - exception approved",O11=""),"CHECK: exception approval reference missing","OK")))))))</f>
        <v>OK</v>
      </c>
      <c r="S11" s="61" t="str">
        <f aca="false">IF(OR(A11="",B11=""),"",IF(AND(Q11="Open gap",B11=RptSup),B11&amp;"|"&amp;COUNTIFS($B$7:B11,B11,$Q$7:Q11,"Open gap"),""))</f>
        <v/>
      </c>
    </row>
    <row r="12" customFormat="false" ht="23.85" hidden="false" customHeight="false" outlineLevel="0" collapsed="false">
      <c r="A12" s="50" t="s">
        <v>1619</v>
      </c>
      <c r="B12" s="50" t="s">
        <v>489</v>
      </c>
      <c r="C12" s="59" t="str">
        <f aca="false">IF(B12="","",IFERROR(INDEX(INV_NAME,MATCH(B12,INV_ID,0)),"CHECK: Supplier ID not found"))</f>
        <v>SupportLoop Ltd</v>
      </c>
      <c r="D12" s="34" t="s">
        <v>1613</v>
      </c>
      <c r="E12" s="34" t="s">
        <v>341</v>
      </c>
      <c r="F12" s="50" t="s">
        <v>661</v>
      </c>
      <c r="G12" s="34" t="s">
        <v>1620</v>
      </c>
      <c r="H12" s="34" t="s">
        <v>1621</v>
      </c>
      <c r="I12" s="34" t="s">
        <v>372</v>
      </c>
      <c r="J12" s="34" t="s">
        <v>1622</v>
      </c>
      <c r="K12" s="34" t="s">
        <v>1451</v>
      </c>
      <c r="L12" s="34" t="s">
        <v>1623</v>
      </c>
      <c r="M12" s="34" t="s">
        <v>1624</v>
      </c>
      <c r="N12" s="34" t="s">
        <v>306</v>
      </c>
      <c r="O12" s="34"/>
      <c r="P12" s="51" t="n">
        <v>46303</v>
      </c>
      <c r="Q12" s="54" t="str">
        <f aca="false">IF(A12="","",IF(I12="Gap identified",IF(OR(N12="Amended",N12="Accepted - exception approved",N12="No action required",N12="Not applicable",N12="Withdrawn"),"Gap dispositioned","Open gap"),IF(I12="Not reviewed","Not reviewed",IF(I12="Clause present - legal review pending","Present - legal review pending",IF(I12="Clause reviewed - no gap noted","Reviewed - no gap noted (not a legal compliance conclusion)",IF(I12="Not applicable","Not applicable","Not reviewed"))))))</f>
        <v>Gap dispositioned</v>
      </c>
      <c r="R12" s="54" t="str">
        <f aca="false">IF(A12="","",IF(COUNTIF(CON_ID,A12)&gt;1,"CHECK: duplicate ID",IF(B12="","CHECK: Supplier ID missing",IF(COUNTIF(INV_ID,B12)=0,"CHECK: Supplier ID not in inventory",IF(AND(F12&lt;&gt;"",COUNTIF(RSK_ID,F12)=0),"CHECK: Risk ID not found",IF(AND(F12&lt;&gt;"",COUNTIF(RSK_ID,F12)&gt;0,IFERROR(INDEX(RSK_SUP,MATCH(F12,RSK_ID,0)),"")&lt;&gt;B12),"CHECK: Risk belongs to a different supplier",IF(AND(N12="Accepted - exception approved",O12=""),"CHECK: exception approval reference missing","OK")))))))</f>
        <v>OK</v>
      </c>
      <c r="S12" s="61" t="str">
        <f aca="false">IF(OR(A12="",B12=""),"",IF(AND(Q12="Open gap",B12=RptSup),B12&amp;"|"&amp;COUNTIFS($B$7:B12,B12,$Q$7:Q12,"Open gap"),""))</f>
        <v/>
      </c>
    </row>
    <row r="13" customFormat="false" ht="23.85" hidden="false" customHeight="false" outlineLevel="0" collapsed="false">
      <c r="A13" s="50" t="s">
        <v>1625</v>
      </c>
      <c r="B13" s="50" t="s">
        <v>489</v>
      </c>
      <c r="C13" s="59" t="str">
        <f aca="false">IF(B13="","",IFERROR(INDEX(INV_NAME,MATCH(B13,INV_ID,0)),"CHECK: Supplier ID not found"))</f>
        <v>SupportLoop Ltd</v>
      </c>
      <c r="D13" s="34" t="s">
        <v>1613</v>
      </c>
      <c r="E13" s="34" t="s">
        <v>430</v>
      </c>
      <c r="F13" s="50"/>
      <c r="G13" s="34" t="s">
        <v>1626</v>
      </c>
      <c r="H13" s="34" t="s">
        <v>1627</v>
      </c>
      <c r="I13" s="34" t="s">
        <v>342</v>
      </c>
      <c r="J13" s="34"/>
      <c r="K13" s="34" t="s">
        <v>1451</v>
      </c>
      <c r="L13" s="34"/>
      <c r="M13" s="34"/>
      <c r="N13" s="34" t="s">
        <v>373</v>
      </c>
      <c r="O13" s="34"/>
      <c r="P13" s="51" t="n">
        <v>46303</v>
      </c>
      <c r="Q13" s="54" t="str">
        <f aca="false">IF(A13="","",IF(I13="Gap identified",IF(OR(N13="Amended",N13="Accepted - exception approved",N13="No action required",N13="Not applicable",N13="Withdrawn"),"Gap dispositioned","Open gap"),IF(I13="Not reviewed","Not reviewed",IF(I13="Clause present - legal review pending","Present - legal review pending",IF(I13="Clause reviewed - no gap noted","Reviewed - no gap noted (not a legal compliance conclusion)",IF(I13="Not applicable","Not applicable","Not reviewed"))))))</f>
        <v>Reviewed - no gap noted (not a legal compliance conclusion)</v>
      </c>
      <c r="R13" s="54" t="str">
        <f aca="false">IF(A13="","",IF(COUNTIF(CON_ID,A13)&gt;1,"CHECK: duplicate ID",IF(B13="","CHECK: Supplier ID missing",IF(COUNTIF(INV_ID,B13)=0,"CHECK: Supplier ID not in inventory",IF(AND(F13&lt;&gt;"",COUNTIF(RSK_ID,F13)=0),"CHECK: Risk ID not found",IF(AND(F13&lt;&gt;"",COUNTIF(RSK_ID,F13)&gt;0,IFERROR(INDEX(RSK_SUP,MATCH(F13,RSK_ID,0)),"")&lt;&gt;B13),"CHECK: Risk belongs to a different supplier",IF(AND(N13="Accepted - exception approved",O13=""),"CHECK: exception approval reference missing","OK")))))))</f>
        <v>OK</v>
      </c>
      <c r="S13" s="61" t="str">
        <f aca="false">IF(OR(A13="",B13=""),"",IF(AND(Q13="Open gap",B13=RptSup),B13&amp;"|"&amp;COUNTIFS($B$7:B13,B13,$Q$7:Q13,"Open gap"),""))</f>
        <v/>
      </c>
    </row>
    <row r="14" customFormat="false" ht="23.85" hidden="false" customHeight="false" outlineLevel="0" collapsed="false">
      <c r="A14" s="50" t="s">
        <v>1446</v>
      </c>
      <c r="B14" s="50" t="s">
        <v>515</v>
      </c>
      <c r="C14" s="59" t="str">
        <f aca="false">IF(B14="","",IFERROR(INDEX(INV_NAME,MATCH(B14,INV_ID,0)),"CHECK: Supplier ID not found"))</f>
        <v>Datavault Backup Services Ltd</v>
      </c>
      <c r="D14" s="34" t="s">
        <v>1628</v>
      </c>
      <c r="E14" s="34" t="s">
        <v>426</v>
      </c>
      <c r="F14" s="50" t="s">
        <v>702</v>
      </c>
      <c r="G14" s="34" t="s">
        <v>1629</v>
      </c>
      <c r="H14" s="34" t="s">
        <v>1608</v>
      </c>
      <c r="I14" s="34" t="s">
        <v>372</v>
      </c>
      <c r="J14" s="34" t="s">
        <v>1630</v>
      </c>
      <c r="K14" s="34" t="s">
        <v>1451</v>
      </c>
      <c r="L14" s="34" t="s">
        <v>1631</v>
      </c>
      <c r="M14" s="34" t="s">
        <v>1632</v>
      </c>
      <c r="N14" s="34" t="s">
        <v>259</v>
      </c>
      <c r="O14" s="34"/>
      <c r="P14" s="51" t="n">
        <v>46300</v>
      </c>
      <c r="Q14" s="54" t="str">
        <f aca="false">IF(A14="","",IF(I14="Gap identified",IF(OR(N14="Amended",N14="Accepted - exception approved",N14="No action required",N14="Not applicable",N14="Withdrawn"),"Gap dispositioned","Open gap"),IF(I14="Not reviewed","Not reviewed",IF(I14="Clause present - legal review pending","Present - legal review pending",IF(I14="Clause reviewed - no gap noted","Reviewed - no gap noted (not a legal compliance conclusion)",IF(I14="Not applicable","Not applicable","Not reviewed"))))))</f>
        <v>Open gap</v>
      </c>
      <c r="R14" s="54" t="str">
        <f aca="false">IF(A14="","",IF(COUNTIF(CON_ID,A14)&gt;1,"CHECK: duplicate ID",IF(B14="","CHECK: Supplier ID missing",IF(COUNTIF(INV_ID,B14)=0,"CHECK: Supplier ID not in inventory",IF(AND(F14&lt;&gt;"",COUNTIF(RSK_ID,F14)=0),"CHECK: Risk ID not found",IF(AND(F14&lt;&gt;"",COUNTIF(RSK_ID,F14)&gt;0,IFERROR(INDEX(RSK_SUP,MATCH(F14,RSK_ID,0)),"")&lt;&gt;B14),"CHECK: Risk belongs to a different supplier",IF(AND(N14="Accepted - exception approved",O14=""),"CHECK: exception approval reference missing","OK")))))))</f>
        <v>OK</v>
      </c>
      <c r="S14" s="61" t="str">
        <f aca="false">IF(OR(A14="",B14=""),"",IF(AND(Q14="Open gap",B14=RptSup),B14&amp;"|"&amp;COUNTIFS($B$7:B14,B14,$Q$7:Q14,"Open gap"),""))</f>
        <v/>
      </c>
    </row>
    <row r="15" customFormat="false" ht="23.85" hidden="false" customHeight="false" outlineLevel="0" collapsed="false">
      <c r="A15" s="50" t="s">
        <v>1633</v>
      </c>
      <c r="B15" s="50" t="s">
        <v>506</v>
      </c>
      <c r="C15" s="59" t="str">
        <f aca="false">IF(B15="","",IFERROR(INDEX(INV_NAME,MATCH(B15,INV_ID,0)),"CHECK: Supplier ID not found"))</f>
        <v>Cleanwell Facilities Ltd</v>
      </c>
      <c r="D15" s="34" t="s">
        <v>1634</v>
      </c>
      <c r="E15" s="34" t="s">
        <v>245</v>
      </c>
      <c r="F15" s="50" t="s">
        <v>693</v>
      </c>
      <c r="G15" s="34" t="s">
        <v>1635</v>
      </c>
      <c r="H15" s="34" t="s">
        <v>1636</v>
      </c>
      <c r="I15" s="34" t="s">
        <v>342</v>
      </c>
      <c r="J15" s="34"/>
      <c r="K15" s="34" t="s">
        <v>1451</v>
      </c>
      <c r="L15" s="34"/>
      <c r="M15" s="34"/>
      <c r="N15" s="34" t="s">
        <v>373</v>
      </c>
      <c r="O15" s="34"/>
      <c r="P15" s="51" t="n">
        <v>46266</v>
      </c>
      <c r="Q15" s="54" t="str">
        <f aca="false">IF(A15="","",IF(I15="Gap identified",IF(OR(N15="Amended",N15="Accepted - exception approved",N15="No action required",N15="Not applicable",N15="Withdrawn"),"Gap dispositioned","Open gap"),IF(I15="Not reviewed","Not reviewed",IF(I15="Clause present - legal review pending","Present - legal review pending",IF(I15="Clause reviewed - no gap noted","Reviewed - no gap noted (not a legal compliance conclusion)",IF(I15="Not applicable","Not applicable","Not reviewed"))))))</f>
        <v>Reviewed - no gap noted (not a legal compliance conclusion)</v>
      </c>
      <c r="R15" s="54" t="str">
        <f aca="false">IF(A15="","",IF(COUNTIF(CON_ID,A15)&gt;1,"CHECK: duplicate ID",IF(B15="","CHECK: Supplier ID missing",IF(COUNTIF(INV_ID,B15)=0,"CHECK: Supplier ID not in inventory",IF(AND(F15&lt;&gt;"",COUNTIF(RSK_ID,F15)=0),"CHECK: Risk ID not found",IF(AND(F15&lt;&gt;"",COUNTIF(RSK_ID,F15)&gt;0,IFERROR(INDEX(RSK_SUP,MATCH(F15,RSK_ID,0)),"")&lt;&gt;B15),"CHECK: Risk belongs to a different supplier",IF(AND(N15="Accepted - exception approved",O15=""),"CHECK: exception approval reference missing","OK")))))))</f>
        <v>OK</v>
      </c>
      <c r="S15" s="61" t="str">
        <f aca="false">IF(OR(A15="",B15=""),"",IF(AND(Q15="Open gap",B15=RptSup),B15&amp;"|"&amp;COUNTIFS($B$7:B15,B15,$Q$7:Q15,"Open gap"),""))</f>
        <v/>
      </c>
    </row>
    <row r="16" customFormat="false" ht="15" hidden="false" customHeight="false" outlineLevel="0" collapsed="false">
      <c r="A16" s="50"/>
      <c r="B16" s="50"/>
      <c r="C16" s="59" t="str">
        <f aca="false">IF(B16="","",IFERROR(INDEX(INV_NAME,MATCH(B16,INV_ID,0)),"CHECK: Supplier ID not found"))</f>
        <v/>
      </c>
      <c r="D16" s="34"/>
      <c r="E16" s="34"/>
      <c r="F16" s="50"/>
      <c r="G16" s="34"/>
      <c r="H16" s="34"/>
      <c r="I16" s="34"/>
      <c r="J16" s="34"/>
      <c r="K16" s="34"/>
      <c r="L16" s="34"/>
      <c r="M16" s="34"/>
      <c r="N16" s="34"/>
      <c r="O16" s="34"/>
      <c r="P16" s="51"/>
      <c r="Q16" s="54" t="str">
        <f aca="false">IF(A16="","",IF(I16="Gap identified",IF(OR(N16="Amended",N16="Accepted - exception approved",N16="No action required",N16="Not applicable",N16="Withdrawn"),"Gap dispositioned","Open gap"),IF(I16="Not reviewed","Not reviewed",IF(I16="Clause present - legal review pending","Present - legal review pending",IF(I16="Clause reviewed - no gap noted","Reviewed - no gap noted (not a legal compliance conclusion)",IF(I16="Not applicable","Not applicable","Not reviewed"))))))</f>
        <v/>
      </c>
      <c r="R16" s="54" t="str">
        <f aca="false">IF(A16="","",IF(COUNTIF(CON_ID,A16)&gt;1,"CHECK: duplicate ID",IF(B16="","CHECK: Supplier ID missing",IF(COUNTIF(INV_ID,B16)=0,"CHECK: Supplier ID not in inventory",IF(AND(F16&lt;&gt;"",COUNTIF(RSK_ID,F16)=0),"CHECK: Risk ID not found",IF(AND(F16&lt;&gt;"",COUNTIF(RSK_ID,F16)&gt;0,IFERROR(INDEX(RSK_SUP,MATCH(F16,RSK_ID,0)),"")&lt;&gt;B16),"CHECK: Risk belongs to a different supplier",IF(AND(N16="Accepted - exception approved",O16=""),"CHECK: exception approval reference missing","OK")))))))</f>
        <v/>
      </c>
      <c r="S16" s="61" t="str">
        <f aca="false">IF(OR(A16="",B16=""),"",IF(AND(Q16="Open gap",B16=RptSup),B16&amp;"|"&amp;COUNTIFS($B$7:B16,B16,$Q$7:Q16,"Open gap"),""))</f>
        <v/>
      </c>
    </row>
    <row r="17" customFormat="false" ht="15" hidden="false" customHeight="false" outlineLevel="0" collapsed="false">
      <c r="A17" s="50"/>
      <c r="B17" s="50"/>
      <c r="C17" s="59" t="str">
        <f aca="false">IF(B17="","",IFERROR(INDEX(INV_NAME,MATCH(B17,INV_ID,0)),"CHECK: Supplier ID not found"))</f>
        <v/>
      </c>
      <c r="D17" s="34"/>
      <c r="E17" s="34"/>
      <c r="F17" s="50"/>
      <c r="G17" s="34"/>
      <c r="H17" s="34"/>
      <c r="I17" s="34"/>
      <c r="J17" s="34"/>
      <c r="K17" s="34"/>
      <c r="L17" s="34"/>
      <c r="M17" s="34"/>
      <c r="N17" s="34"/>
      <c r="O17" s="34"/>
      <c r="P17" s="51"/>
      <c r="Q17" s="54" t="str">
        <f aca="false">IF(A17="","",IF(I17="Gap identified",IF(OR(N17="Amended",N17="Accepted - exception approved",N17="No action required",N17="Not applicable",N17="Withdrawn"),"Gap dispositioned","Open gap"),IF(I17="Not reviewed","Not reviewed",IF(I17="Clause present - legal review pending","Present - legal review pending",IF(I17="Clause reviewed - no gap noted","Reviewed - no gap noted (not a legal compliance conclusion)",IF(I17="Not applicable","Not applicable","Not reviewed"))))))</f>
        <v/>
      </c>
      <c r="R17" s="54" t="str">
        <f aca="false">IF(A17="","",IF(COUNTIF(CON_ID,A17)&gt;1,"CHECK: duplicate ID",IF(B17="","CHECK: Supplier ID missing",IF(COUNTIF(INV_ID,B17)=0,"CHECK: Supplier ID not in inventory",IF(AND(F17&lt;&gt;"",COUNTIF(RSK_ID,F17)=0),"CHECK: Risk ID not found",IF(AND(F17&lt;&gt;"",COUNTIF(RSK_ID,F17)&gt;0,IFERROR(INDEX(RSK_SUP,MATCH(F17,RSK_ID,0)),"")&lt;&gt;B17),"CHECK: Risk belongs to a different supplier",IF(AND(N17="Accepted - exception approved",O17=""),"CHECK: exception approval reference missing","OK")))))))</f>
        <v/>
      </c>
      <c r="S17" s="61" t="str">
        <f aca="false">IF(OR(A17="",B17=""),"",IF(AND(Q17="Open gap",B17=RptSup),B17&amp;"|"&amp;COUNTIFS($B$7:B17,B17,$Q$7:Q17,"Open gap"),""))</f>
        <v/>
      </c>
    </row>
    <row r="18" customFormat="false" ht="15" hidden="false" customHeight="false" outlineLevel="0" collapsed="false">
      <c r="A18" s="50"/>
      <c r="B18" s="50"/>
      <c r="C18" s="59" t="str">
        <f aca="false">IF(B18="","",IFERROR(INDEX(INV_NAME,MATCH(B18,INV_ID,0)),"CHECK: Supplier ID not found"))</f>
        <v/>
      </c>
      <c r="D18" s="34"/>
      <c r="E18" s="34"/>
      <c r="F18" s="50"/>
      <c r="G18" s="34"/>
      <c r="H18" s="34"/>
      <c r="I18" s="34"/>
      <c r="J18" s="34"/>
      <c r="K18" s="34"/>
      <c r="L18" s="34"/>
      <c r="M18" s="34"/>
      <c r="N18" s="34"/>
      <c r="O18" s="34"/>
      <c r="P18" s="51"/>
      <c r="Q18" s="54" t="str">
        <f aca="false">IF(A18="","",IF(I18="Gap identified",IF(OR(N18="Amended",N18="Accepted - exception approved",N18="No action required",N18="Not applicable",N18="Withdrawn"),"Gap dispositioned","Open gap"),IF(I18="Not reviewed","Not reviewed",IF(I18="Clause present - legal review pending","Present - legal review pending",IF(I18="Clause reviewed - no gap noted","Reviewed - no gap noted (not a legal compliance conclusion)",IF(I18="Not applicable","Not applicable","Not reviewed"))))))</f>
        <v/>
      </c>
      <c r="R18" s="54" t="str">
        <f aca="false">IF(A18="","",IF(COUNTIF(CON_ID,A18)&gt;1,"CHECK: duplicate ID",IF(B18="","CHECK: Supplier ID missing",IF(COUNTIF(INV_ID,B18)=0,"CHECK: Supplier ID not in inventory",IF(AND(F18&lt;&gt;"",COUNTIF(RSK_ID,F18)=0),"CHECK: Risk ID not found",IF(AND(F18&lt;&gt;"",COUNTIF(RSK_ID,F18)&gt;0,IFERROR(INDEX(RSK_SUP,MATCH(F18,RSK_ID,0)),"")&lt;&gt;B18),"CHECK: Risk belongs to a different supplier",IF(AND(N18="Accepted - exception approved",O18=""),"CHECK: exception approval reference missing","OK")))))))</f>
        <v/>
      </c>
      <c r="S18" s="61" t="str">
        <f aca="false">IF(OR(A18="",B18=""),"",IF(AND(Q18="Open gap",B18=RptSup),B18&amp;"|"&amp;COUNTIFS($B$7:B18,B18,$Q$7:Q18,"Open gap"),""))</f>
        <v/>
      </c>
    </row>
    <row r="19" customFormat="false" ht="15" hidden="false" customHeight="false" outlineLevel="0" collapsed="false">
      <c r="A19" s="50"/>
      <c r="B19" s="50"/>
      <c r="C19" s="59" t="str">
        <f aca="false">IF(B19="","",IFERROR(INDEX(INV_NAME,MATCH(B19,INV_ID,0)),"CHECK: Supplier ID not found"))</f>
        <v/>
      </c>
      <c r="D19" s="34"/>
      <c r="E19" s="34"/>
      <c r="F19" s="50"/>
      <c r="G19" s="34"/>
      <c r="H19" s="34"/>
      <c r="I19" s="34"/>
      <c r="J19" s="34"/>
      <c r="K19" s="34"/>
      <c r="L19" s="34"/>
      <c r="M19" s="34"/>
      <c r="N19" s="34"/>
      <c r="O19" s="34"/>
      <c r="P19" s="51"/>
      <c r="Q19" s="54" t="str">
        <f aca="false">IF(A19="","",IF(I19="Gap identified",IF(OR(N19="Amended",N19="Accepted - exception approved",N19="No action required",N19="Not applicable",N19="Withdrawn"),"Gap dispositioned","Open gap"),IF(I19="Not reviewed","Not reviewed",IF(I19="Clause present - legal review pending","Present - legal review pending",IF(I19="Clause reviewed - no gap noted","Reviewed - no gap noted (not a legal compliance conclusion)",IF(I19="Not applicable","Not applicable","Not reviewed"))))))</f>
        <v/>
      </c>
      <c r="R19" s="54" t="str">
        <f aca="false">IF(A19="","",IF(COUNTIF(CON_ID,A19)&gt;1,"CHECK: duplicate ID",IF(B19="","CHECK: Supplier ID missing",IF(COUNTIF(INV_ID,B19)=0,"CHECK: Supplier ID not in inventory",IF(AND(F19&lt;&gt;"",COUNTIF(RSK_ID,F19)=0),"CHECK: Risk ID not found",IF(AND(F19&lt;&gt;"",COUNTIF(RSK_ID,F19)&gt;0,IFERROR(INDEX(RSK_SUP,MATCH(F19,RSK_ID,0)),"")&lt;&gt;B19),"CHECK: Risk belongs to a different supplier",IF(AND(N19="Accepted - exception approved",O19=""),"CHECK: exception approval reference missing","OK")))))))</f>
        <v/>
      </c>
      <c r="S19" s="61" t="str">
        <f aca="false">IF(OR(A19="",B19=""),"",IF(AND(Q19="Open gap",B19=RptSup),B19&amp;"|"&amp;COUNTIFS($B$7:B19,B19,$Q$7:Q19,"Open gap"),""))</f>
        <v/>
      </c>
    </row>
    <row r="20" customFormat="false" ht="15" hidden="false" customHeight="false" outlineLevel="0" collapsed="false">
      <c r="A20" s="50"/>
      <c r="B20" s="50"/>
      <c r="C20" s="59" t="str">
        <f aca="false">IF(B20="","",IFERROR(INDEX(INV_NAME,MATCH(B20,INV_ID,0)),"CHECK: Supplier ID not found"))</f>
        <v/>
      </c>
      <c r="D20" s="34"/>
      <c r="E20" s="34"/>
      <c r="F20" s="50"/>
      <c r="G20" s="34"/>
      <c r="H20" s="34"/>
      <c r="I20" s="34"/>
      <c r="J20" s="34"/>
      <c r="K20" s="34"/>
      <c r="L20" s="34"/>
      <c r="M20" s="34"/>
      <c r="N20" s="34"/>
      <c r="O20" s="34"/>
      <c r="P20" s="51"/>
      <c r="Q20" s="54" t="str">
        <f aca="false">IF(A20="","",IF(I20="Gap identified",IF(OR(N20="Amended",N20="Accepted - exception approved",N20="No action required",N20="Not applicable",N20="Withdrawn"),"Gap dispositioned","Open gap"),IF(I20="Not reviewed","Not reviewed",IF(I20="Clause present - legal review pending","Present - legal review pending",IF(I20="Clause reviewed - no gap noted","Reviewed - no gap noted (not a legal compliance conclusion)",IF(I20="Not applicable","Not applicable","Not reviewed"))))))</f>
        <v/>
      </c>
      <c r="R20" s="54" t="str">
        <f aca="false">IF(A20="","",IF(COUNTIF(CON_ID,A20)&gt;1,"CHECK: duplicate ID",IF(B20="","CHECK: Supplier ID missing",IF(COUNTIF(INV_ID,B20)=0,"CHECK: Supplier ID not in inventory",IF(AND(F20&lt;&gt;"",COUNTIF(RSK_ID,F20)=0),"CHECK: Risk ID not found",IF(AND(F20&lt;&gt;"",COUNTIF(RSK_ID,F20)&gt;0,IFERROR(INDEX(RSK_SUP,MATCH(F20,RSK_ID,0)),"")&lt;&gt;B20),"CHECK: Risk belongs to a different supplier",IF(AND(N20="Accepted - exception approved",O20=""),"CHECK: exception approval reference missing","OK")))))))</f>
        <v/>
      </c>
      <c r="S20" s="61" t="str">
        <f aca="false">IF(OR(A20="",B20=""),"",IF(AND(Q20="Open gap",B20=RptSup),B20&amp;"|"&amp;COUNTIFS($B$7:B20,B20,$Q$7:Q20,"Open gap"),""))</f>
        <v/>
      </c>
    </row>
    <row r="21" customFormat="false" ht="15" hidden="false" customHeight="false" outlineLevel="0" collapsed="false">
      <c r="A21" s="50"/>
      <c r="B21" s="50"/>
      <c r="C21" s="59" t="str">
        <f aca="false">IF(B21="","",IFERROR(INDEX(INV_NAME,MATCH(B21,INV_ID,0)),"CHECK: Supplier ID not found"))</f>
        <v/>
      </c>
      <c r="D21" s="34"/>
      <c r="E21" s="34"/>
      <c r="F21" s="50"/>
      <c r="G21" s="34"/>
      <c r="H21" s="34"/>
      <c r="I21" s="34"/>
      <c r="J21" s="34"/>
      <c r="K21" s="34"/>
      <c r="L21" s="34"/>
      <c r="M21" s="34"/>
      <c r="N21" s="34"/>
      <c r="O21" s="34"/>
      <c r="P21" s="51"/>
      <c r="Q21" s="54" t="str">
        <f aca="false">IF(A21="","",IF(I21="Gap identified",IF(OR(N21="Amended",N21="Accepted - exception approved",N21="No action required",N21="Not applicable",N21="Withdrawn"),"Gap dispositioned","Open gap"),IF(I21="Not reviewed","Not reviewed",IF(I21="Clause present - legal review pending","Present - legal review pending",IF(I21="Clause reviewed - no gap noted","Reviewed - no gap noted (not a legal compliance conclusion)",IF(I21="Not applicable","Not applicable","Not reviewed"))))))</f>
        <v/>
      </c>
      <c r="R21" s="54" t="str">
        <f aca="false">IF(A21="","",IF(COUNTIF(CON_ID,A21)&gt;1,"CHECK: duplicate ID",IF(B21="","CHECK: Supplier ID missing",IF(COUNTIF(INV_ID,B21)=0,"CHECK: Supplier ID not in inventory",IF(AND(F21&lt;&gt;"",COUNTIF(RSK_ID,F21)=0),"CHECK: Risk ID not found",IF(AND(F21&lt;&gt;"",COUNTIF(RSK_ID,F21)&gt;0,IFERROR(INDEX(RSK_SUP,MATCH(F21,RSK_ID,0)),"")&lt;&gt;B21),"CHECK: Risk belongs to a different supplier",IF(AND(N21="Accepted - exception approved",O21=""),"CHECK: exception approval reference missing","OK")))))))</f>
        <v/>
      </c>
      <c r="S21" s="61" t="str">
        <f aca="false">IF(OR(A21="",B21=""),"",IF(AND(Q21="Open gap",B21=RptSup),B21&amp;"|"&amp;COUNTIFS($B$7:B21,B21,$Q$7:Q21,"Open gap"),""))</f>
        <v/>
      </c>
    </row>
    <row r="22" customFormat="false" ht="15" hidden="false" customHeight="false" outlineLevel="0" collapsed="false">
      <c r="A22" s="50"/>
      <c r="B22" s="50"/>
      <c r="C22" s="59" t="str">
        <f aca="false">IF(B22="","",IFERROR(INDEX(INV_NAME,MATCH(B22,INV_ID,0)),"CHECK: Supplier ID not found"))</f>
        <v/>
      </c>
      <c r="D22" s="34"/>
      <c r="E22" s="34"/>
      <c r="F22" s="50"/>
      <c r="G22" s="34"/>
      <c r="H22" s="34"/>
      <c r="I22" s="34"/>
      <c r="J22" s="34"/>
      <c r="K22" s="34"/>
      <c r="L22" s="34"/>
      <c r="M22" s="34"/>
      <c r="N22" s="34"/>
      <c r="O22" s="34"/>
      <c r="P22" s="51"/>
      <c r="Q22" s="54" t="str">
        <f aca="false">IF(A22="","",IF(I22="Gap identified",IF(OR(N22="Amended",N22="Accepted - exception approved",N22="No action required",N22="Not applicable",N22="Withdrawn"),"Gap dispositioned","Open gap"),IF(I22="Not reviewed","Not reviewed",IF(I22="Clause present - legal review pending","Present - legal review pending",IF(I22="Clause reviewed - no gap noted","Reviewed - no gap noted (not a legal compliance conclusion)",IF(I22="Not applicable","Not applicable","Not reviewed"))))))</f>
        <v/>
      </c>
      <c r="R22" s="54" t="str">
        <f aca="false">IF(A22="","",IF(COUNTIF(CON_ID,A22)&gt;1,"CHECK: duplicate ID",IF(B22="","CHECK: Supplier ID missing",IF(COUNTIF(INV_ID,B22)=0,"CHECK: Supplier ID not in inventory",IF(AND(F22&lt;&gt;"",COUNTIF(RSK_ID,F22)=0),"CHECK: Risk ID not found",IF(AND(F22&lt;&gt;"",COUNTIF(RSK_ID,F22)&gt;0,IFERROR(INDEX(RSK_SUP,MATCH(F22,RSK_ID,0)),"")&lt;&gt;B22),"CHECK: Risk belongs to a different supplier",IF(AND(N22="Accepted - exception approved",O22=""),"CHECK: exception approval reference missing","OK")))))))</f>
        <v/>
      </c>
      <c r="S22" s="61" t="str">
        <f aca="false">IF(OR(A22="",B22=""),"",IF(AND(Q22="Open gap",B22=RptSup),B22&amp;"|"&amp;COUNTIFS($B$7:B22,B22,$Q$7:Q22,"Open gap"),""))</f>
        <v/>
      </c>
    </row>
    <row r="23" customFormat="false" ht="15" hidden="false" customHeight="false" outlineLevel="0" collapsed="false">
      <c r="A23" s="50"/>
      <c r="B23" s="50"/>
      <c r="C23" s="59" t="str">
        <f aca="false">IF(B23="","",IFERROR(INDEX(INV_NAME,MATCH(B23,INV_ID,0)),"CHECK: Supplier ID not found"))</f>
        <v/>
      </c>
      <c r="D23" s="34"/>
      <c r="E23" s="34"/>
      <c r="F23" s="50"/>
      <c r="G23" s="34"/>
      <c r="H23" s="34"/>
      <c r="I23" s="34"/>
      <c r="J23" s="34"/>
      <c r="K23" s="34"/>
      <c r="L23" s="34"/>
      <c r="M23" s="34"/>
      <c r="N23" s="34"/>
      <c r="O23" s="34"/>
      <c r="P23" s="51"/>
      <c r="Q23" s="54" t="str">
        <f aca="false">IF(A23="","",IF(I23="Gap identified",IF(OR(N23="Amended",N23="Accepted - exception approved",N23="No action required",N23="Not applicable",N23="Withdrawn"),"Gap dispositioned","Open gap"),IF(I23="Not reviewed","Not reviewed",IF(I23="Clause present - legal review pending","Present - legal review pending",IF(I23="Clause reviewed - no gap noted","Reviewed - no gap noted (not a legal compliance conclusion)",IF(I23="Not applicable","Not applicable","Not reviewed"))))))</f>
        <v/>
      </c>
      <c r="R23" s="54" t="str">
        <f aca="false">IF(A23="","",IF(COUNTIF(CON_ID,A23)&gt;1,"CHECK: duplicate ID",IF(B23="","CHECK: Supplier ID missing",IF(COUNTIF(INV_ID,B23)=0,"CHECK: Supplier ID not in inventory",IF(AND(F23&lt;&gt;"",COUNTIF(RSK_ID,F23)=0),"CHECK: Risk ID not found",IF(AND(F23&lt;&gt;"",COUNTIF(RSK_ID,F23)&gt;0,IFERROR(INDEX(RSK_SUP,MATCH(F23,RSK_ID,0)),"")&lt;&gt;B23),"CHECK: Risk belongs to a different supplier",IF(AND(N23="Accepted - exception approved",O23=""),"CHECK: exception approval reference missing","OK")))))))</f>
        <v/>
      </c>
      <c r="S23" s="61" t="str">
        <f aca="false">IF(OR(A23="",B23=""),"",IF(AND(Q23="Open gap",B23=RptSup),B23&amp;"|"&amp;COUNTIFS($B$7:B23,B23,$Q$7:Q23,"Open gap"),""))</f>
        <v/>
      </c>
    </row>
    <row r="24" customFormat="false" ht="15" hidden="false" customHeight="false" outlineLevel="0" collapsed="false">
      <c r="A24" s="50"/>
      <c r="B24" s="50"/>
      <c r="C24" s="59" t="str">
        <f aca="false">IF(B24="","",IFERROR(INDEX(INV_NAME,MATCH(B24,INV_ID,0)),"CHECK: Supplier ID not found"))</f>
        <v/>
      </c>
      <c r="D24" s="34"/>
      <c r="E24" s="34"/>
      <c r="F24" s="50"/>
      <c r="G24" s="34"/>
      <c r="H24" s="34"/>
      <c r="I24" s="34"/>
      <c r="J24" s="34"/>
      <c r="K24" s="34"/>
      <c r="L24" s="34"/>
      <c r="M24" s="34"/>
      <c r="N24" s="34"/>
      <c r="O24" s="34"/>
      <c r="P24" s="51"/>
      <c r="Q24" s="54" t="str">
        <f aca="false">IF(A24="","",IF(I24="Gap identified",IF(OR(N24="Amended",N24="Accepted - exception approved",N24="No action required",N24="Not applicable",N24="Withdrawn"),"Gap dispositioned","Open gap"),IF(I24="Not reviewed","Not reviewed",IF(I24="Clause present - legal review pending","Present - legal review pending",IF(I24="Clause reviewed - no gap noted","Reviewed - no gap noted (not a legal compliance conclusion)",IF(I24="Not applicable","Not applicable","Not reviewed"))))))</f>
        <v/>
      </c>
      <c r="R24" s="54" t="str">
        <f aca="false">IF(A24="","",IF(COUNTIF(CON_ID,A24)&gt;1,"CHECK: duplicate ID",IF(B24="","CHECK: Supplier ID missing",IF(COUNTIF(INV_ID,B24)=0,"CHECK: Supplier ID not in inventory",IF(AND(F24&lt;&gt;"",COUNTIF(RSK_ID,F24)=0),"CHECK: Risk ID not found",IF(AND(F24&lt;&gt;"",COUNTIF(RSK_ID,F24)&gt;0,IFERROR(INDEX(RSK_SUP,MATCH(F24,RSK_ID,0)),"")&lt;&gt;B24),"CHECK: Risk belongs to a different supplier",IF(AND(N24="Accepted - exception approved",O24=""),"CHECK: exception approval reference missing","OK")))))))</f>
        <v/>
      </c>
      <c r="S24" s="61" t="str">
        <f aca="false">IF(OR(A24="",B24=""),"",IF(AND(Q24="Open gap",B24=RptSup),B24&amp;"|"&amp;COUNTIFS($B$7:B24,B24,$Q$7:Q24,"Open gap"),""))</f>
        <v/>
      </c>
    </row>
    <row r="25" customFormat="false" ht="15" hidden="false" customHeight="false" outlineLevel="0" collapsed="false">
      <c r="A25" s="50"/>
      <c r="B25" s="50"/>
      <c r="C25" s="59" t="str">
        <f aca="false">IF(B25="","",IFERROR(INDEX(INV_NAME,MATCH(B25,INV_ID,0)),"CHECK: Supplier ID not found"))</f>
        <v/>
      </c>
      <c r="D25" s="34"/>
      <c r="E25" s="34"/>
      <c r="F25" s="50"/>
      <c r="G25" s="34"/>
      <c r="H25" s="34"/>
      <c r="I25" s="34"/>
      <c r="J25" s="34"/>
      <c r="K25" s="34"/>
      <c r="L25" s="34"/>
      <c r="M25" s="34"/>
      <c r="N25" s="34"/>
      <c r="O25" s="34"/>
      <c r="P25" s="51"/>
      <c r="Q25" s="54" t="str">
        <f aca="false">IF(A25="","",IF(I25="Gap identified",IF(OR(N25="Amended",N25="Accepted - exception approved",N25="No action required",N25="Not applicable",N25="Withdrawn"),"Gap dispositioned","Open gap"),IF(I25="Not reviewed","Not reviewed",IF(I25="Clause present - legal review pending","Present - legal review pending",IF(I25="Clause reviewed - no gap noted","Reviewed - no gap noted (not a legal compliance conclusion)",IF(I25="Not applicable","Not applicable","Not reviewed"))))))</f>
        <v/>
      </c>
      <c r="R25" s="54" t="str">
        <f aca="false">IF(A25="","",IF(COUNTIF(CON_ID,A25)&gt;1,"CHECK: duplicate ID",IF(B25="","CHECK: Supplier ID missing",IF(COUNTIF(INV_ID,B25)=0,"CHECK: Supplier ID not in inventory",IF(AND(F25&lt;&gt;"",COUNTIF(RSK_ID,F25)=0),"CHECK: Risk ID not found",IF(AND(F25&lt;&gt;"",COUNTIF(RSK_ID,F25)&gt;0,IFERROR(INDEX(RSK_SUP,MATCH(F25,RSK_ID,0)),"")&lt;&gt;B25),"CHECK: Risk belongs to a different supplier",IF(AND(N25="Accepted - exception approved",O25=""),"CHECK: exception approval reference missing","OK")))))))</f>
        <v/>
      </c>
      <c r="S25" s="61" t="str">
        <f aca="false">IF(OR(A25="",B25=""),"",IF(AND(Q25="Open gap",B25=RptSup),B25&amp;"|"&amp;COUNTIFS($B$7:B25,B25,$Q$7:Q25,"Open gap"),""))</f>
        <v/>
      </c>
    </row>
    <row r="26" customFormat="false" ht="15" hidden="false" customHeight="false" outlineLevel="0" collapsed="false">
      <c r="A26" s="50"/>
      <c r="B26" s="50"/>
      <c r="C26" s="59" t="str">
        <f aca="false">IF(B26="","",IFERROR(INDEX(INV_NAME,MATCH(B26,INV_ID,0)),"CHECK: Supplier ID not found"))</f>
        <v/>
      </c>
      <c r="D26" s="34"/>
      <c r="E26" s="34"/>
      <c r="F26" s="50"/>
      <c r="G26" s="34"/>
      <c r="H26" s="34"/>
      <c r="I26" s="34"/>
      <c r="J26" s="34"/>
      <c r="K26" s="34"/>
      <c r="L26" s="34"/>
      <c r="M26" s="34"/>
      <c r="N26" s="34"/>
      <c r="O26" s="34"/>
      <c r="P26" s="51"/>
      <c r="Q26" s="54" t="str">
        <f aca="false">IF(A26="","",IF(I26="Gap identified",IF(OR(N26="Amended",N26="Accepted - exception approved",N26="No action required",N26="Not applicable",N26="Withdrawn"),"Gap dispositioned","Open gap"),IF(I26="Not reviewed","Not reviewed",IF(I26="Clause present - legal review pending","Present - legal review pending",IF(I26="Clause reviewed - no gap noted","Reviewed - no gap noted (not a legal compliance conclusion)",IF(I26="Not applicable","Not applicable","Not reviewed"))))))</f>
        <v/>
      </c>
      <c r="R26" s="54" t="str">
        <f aca="false">IF(A26="","",IF(COUNTIF(CON_ID,A26)&gt;1,"CHECK: duplicate ID",IF(B26="","CHECK: Supplier ID missing",IF(COUNTIF(INV_ID,B26)=0,"CHECK: Supplier ID not in inventory",IF(AND(F26&lt;&gt;"",COUNTIF(RSK_ID,F26)=0),"CHECK: Risk ID not found",IF(AND(F26&lt;&gt;"",COUNTIF(RSK_ID,F26)&gt;0,IFERROR(INDEX(RSK_SUP,MATCH(F26,RSK_ID,0)),"")&lt;&gt;B26),"CHECK: Risk belongs to a different supplier",IF(AND(N26="Accepted - exception approved",O26=""),"CHECK: exception approval reference missing","OK")))))))</f>
        <v/>
      </c>
      <c r="S26" s="61" t="str">
        <f aca="false">IF(OR(A26="",B26=""),"",IF(AND(Q26="Open gap",B26=RptSup),B26&amp;"|"&amp;COUNTIFS($B$7:B26,B26,$Q$7:Q26,"Open gap"),""))</f>
        <v/>
      </c>
    </row>
    <row r="27" customFormat="false" ht="15" hidden="false" customHeight="false" outlineLevel="0" collapsed="false">
      <c r="A27" s="50"/>
      <c r="B27" s="50"/>
      <c r="C27" s="59" t="str">
        <f aca="false">IF(B27="","",IFERROR(INDEX(INV_NAME,MATCH(B27,INV_ID,0)),"CHECK: Supplier ID not found"))</f>
        <v/>
      </c>
      <c r="D27" s="34"/>
      <c r="E27" s="34"/>
      <c r="F27" s="50"/>
      <c r="G27" s="34"/>
      <c r="H27" s="34"/>
      <c r="I27" s="34"/>
      <c r="J27" s="34"/>
      <c r="K27" s="34"/>
      <c r="L27" s="34"/>
      <c r="M27" s="34"/>
      <c r="N27" s="34"/>
      <c r="O27" s="34"/>
      <c r="P27" s="51"/>
      <c r="Q27" s="54" t="str">
        <f aca="false">IF(A27="","",IF(I27="Gap identified",IF(OR(N27="Amended",N27="Accepted - exception approved",N27="No action required",N27="Not applicable",N27="Withdrawn"),"Gap dispositioned","Open gap"),IF(I27="Not reviewed","Not reviewed",IF(I27="Clause present - legal review pending","Present - legal review pending",IF(I27="Clause reviewed - no gap noted","Reviewed - no gap noted (not a legal compliance conclusion)",IF(I27="Not applicable","Not applicable","Not reviewed"))))))</f>
        <v/>
      </c>
      <c r="R27" s="54" t="str">
        <f aca="false">IF(A27="","",IF(COUNTIF(CON_ID,A27)&gt;1,"CHECK: duplicate ID",IF(B27="","CHECK: Supplier ID missing",IF(COUNTIF(INV_ID,B27)=0,"CHECK: Supplier ID not in inventory",IF(AND(F27&lt;&gt;"",COUNTIF(RSK_ID,F27)=0),"CHECK: Risk ID not found",IF(AND(F27&lt;&gt;"",COUNTIF(RSK_ID,F27)&gt;0,IFERROR(INDEX(RSK_SUP,MATCH(F27,RSK_ID,0)),"")&lt;&gt;B27),"CHECK: Risk belongs to a different supplier",IF(AND(N27="Accepted - exception approved",O27=""),"CHECK: exception approval reference missing","OK")))))))</f>
        <v/>
      </c>
      <c r="S27" s="61" t="str">
        <f aca="false">IF(OR(A27="",B27=""),"",IF(AND(Q27="Open gap",B27=RptSup),B27&amp;"|"&amp;COUNTIFS($B$7:B27,B27,$Q$7:Q27,"Open gap"),""))</f>
        <v/>
      </c>
    </row>
    <row r="28" customFormat="false" ht="15" hidden="false" customHeight="false" outlineLevel="0" collapsed="false">
      <c r="A28" s="50"/>
      <c r="B28" s="50"/>
      <c r="C28" s="59" t="str">
        <f aca="false">IF(B28="","",IFERROR(INDEX(INV_NAME,MATCH(B28,INV_ID,0)),"CHECK: Supplier ID not found"))</f>
        <v/>
      </c>
      <c r="D28" s="34"/>
      <c r="E28" s="34"/>
      <c r="F28" s="50"/>
      <c r="G28" s="34"/>
      <c r="H28" s="34"/>
      <c r="I28" s="34"/>
      <c r="J28" s="34"/>
      <c r="K28" s="34"/>
      <c r="L28" s="34"/>
      <c r="M28" s="34"/>
      <c r="N28" s="34"/>
      <c r="O28" s="34"/>
      <c r="P28" s="51"/>
      <c r="Q28" s="54" t="str">
        <f aca="false">IF(A28="","",IF(I28="Gap identified",IF(OR(N28="Amended",N28="Accepted - exception approved",N28="No action required",N28="Not applicable",N28="Withdrawn"),"Gap dispositioned","Open gap"),IF(I28="Not reviewed","Not reviewed",IF(I28="Clause present - legal review pending","Present - legal review pending",IF(I28="Clause reviewed - no gap noted","Reviewed - no gap noted (not a legal compliance conclusion)",IF(I28="Not applicable","Not applicable","Not reviewed"))))))</f>
        <v/>
      </c>
      <c r="R28" s="54" t="str">
        <f aca="false">IF(A28="","",IF(COUNTIF(CON_ID,A28)&gt;1,"CHECK: duplicate ID",IF(B28="","CHECK: Supplier ID missing",IF(COUNTIF(INV_ID,B28)=0,"CHECK: Supplier ID not in inventory",IF(AND(F28&lt;&gt;"",COUNTIF(RSK_ID,F28)=0),"CHECK: Risk ID not found",IF(AND(F28&lt;&gt;"",COUNTIF(RSK_ID,F28)&gt;0,IFERROR(INDEX(RSK_SUP,MATCH(F28,RSK_ID,0)),"")&lt;&gt;B28),"CHECK: Risk belongs to a different supplier",IF(AND(N28="Accepted - exception approved",O28=""),"CHECK: exception approval reference missing","OK")))))))</f>
        <v/>
      </c>
      <c r="S28" s="61" t="str">
        <f aca="false">IF(OR(A28="",B28=""),"",IF(AND(Q28="Open gap",B28=RptSup),B28&amp;"|"&amp;COUNTIFS($B$7:B28,B28,$Q$7:Q28,"Open gap"),""))</f>
        <v/>
      </c>
    </row>
    <row r="29" customFormat="false" ht="15" hidden="false" customHeight="false" outlineLevel="0" collapsed="false">
      <c r="A29" s="50"/>
      <c r="B29" s="50"/>
      <c r="C29" s="59" t="str">
        <f aca="false">IF(B29="","",IFERROR(INDEX(INV_NAME,MATCH(B29,INV_ID,0)),"CHECK: Supplier ID not found"))</f>
        <v/>
      </c>
      <c r="D29" s="34"/>
      <c r="E29" s="34"/>
      <c r="F29" s="50"/>
      <c r="G29" s="34"/>
      <c r="H29" s="34"/>
      <c r="I29" s="34"/>
      <c r="J29" s="34"/>
      <c r="K29" s="34"/>
      <c r="L29" s="34"/>
      <c r="M29" s="34"/>
      <c r="N29" s="34"/>
      <c r="O29" s="34"/>
      <c r="P29" s="51"/>
      <c r="Q29" s="54" t="str">
        <f aca="false">IF(A29="","",IF(I29="Gap identified",IF(OR(N29="Amended",N29="Accepted - exception approved",N29="No action required",N29="Not applicable",N29="Withdrawn"),"Gap dispositioned","Open gap"),IF(I29="Not reviewed","Not reviewed",IF(I29="Clause present - legal review pending","Present - legal review pending",IF(I29="Clause reviewed - no gap noted","Reviewed - no gap noted (not a legal compliance conclusion)",IF(I29="Not applicable","Not applicable","Not reviewed"))))))</f>
        <v/>
      </c>
      <c r="R29" s="54" t="str">
        <f aca="false">IF(A29="","",IF(COUNTIF(CON_ID,A29)&gt;1,"CHECK: duplicate ID",IF(B29="","CHECK: Supplier ID missing",IF(COUNTIF(INV_ID,B29)=0,"CHECK: Supplier ID not in inventory",IF(AND(F29&lt;&gt;"",COUNTIF(RSK_ID,F29)=0),"CHECK: Risk ID not found",IF(AND(F29&lt;&gt;"",COUNTIF(RSK_ID,F29)&gt;0,IFERROR(INDEX(RSK_SUP,MATCH(F29,RSK_ID,0)),"")&lt;&gt;B29),"CHECK: Risk belongs to a different supplier",IF(AND(N29="Accepted - exception approved",O29=""),"CHECK: exception approval reference missing","OK")))))))</f>
        <v/>
      </c>
      <c r="S29" s="61" t="str">
        <f aca="false">IF(OR(A29="",B29=""),"",IF(AND(Q29="Open gap",B29=RptSup),B29&amp;"|"&amp;COUNTIFS($B$7:B29,B29,$Q$7:Q29,"Open gap"),""))</f>
        <v/>
      </c>
    </row>
    <row r="30" customFormat="false" ht="15" hidden="false" customHeight="false" outlineLevel="0" collapsed="false">
      <c r="A30" s="50"/>
      <c r="B30" s="50"/>
      <c r="C30" s="59" t="str">
        <f aca="false">IF(B30="","",IFERROR(INDEX(INV_NAME,MATCH(B30,INV_ID,0)),"CHECK: Supplier ID not found"))</f>
        <v/>
      </c>
      <c r="D30" s="34"/>
      <c r="E30" s="34"/>
      <c r="F30" s="50"/>
      <c r="G30" s="34"/>
      <c r="H30" s="34"/>
      <c r="I30" s="34"/>
      <c r="J30" s="34"/>
      <c r="K30" s="34"/>
      <c r="L30" s="34"/>
      <c r="M30" s="34"/>
      <c r="N30" s="34"/>
      <c r="O30" s="34"/>
      <c r="P30" s="51"/>
      <c r="Q30" s="54" t="str">
        <f aca="false">IF(A30="","",IF(I30="Gap identified",IF(OR(N30="Amended",N30="Accepted - exception approved",N30="No action required",N30="Not applicable",N30="Withdrawn"),"Gap dispositioned","Open gap"),IF(I30="Not reviewed","Not reviewed",IF(I30="Clause present - legal review pending","Present - legal review pending",IF(I30="Clause reviewed - no gap noted","Reviewed - no gap noted (not a legal compliance conclusion)",IF(I30="Not applicable","Not applicable","Not reviewed"))))))</f>
        <v/>
      </c>
      <c r="R30" s="54" t="str">
        <f aca="false">IF(A30="","",IF(COUNTIF(CON_ID,A30)&gt;1,"CHECK: duplicate ID",IF(B30="","CHECK: Supplier ID missing",IF(COUNTIF(INV_ID,B30)=0,"CHECK: Supplier ID not in inventory",IF(AND(F30&lt;&gt;"",COUNTIF(RSK_ID,F30)=0),"CHECK: Risk ID not found",IF(AND(F30&lt;&gt;"",COUNTIF(RSK_ID,F30)&gt;0,IFERROR(INDEX(RSK_SUP,MATCH(F30,RSK_ID,0)),"")&lt;&gt;B30),"CHECK: Risk belongs to a different supplier",IF(AND(N30="Accepted - exception approved",O30=""),"CHECK: exception approval reference missing","OK")))))))</f>
        <v/>
      </c>
      <c r="S30" s="61" t="str">
        <f aca="false">IF(OR(A30="",B30=""),"",IF(AND(Q30="Open gap",B30=RptSup),B30&amp;"|"&amp;COUNTIFS($B$7:B30,B30,$Q$7:Q30,"Open gap"),""))</f>
        <v/>
      </c>
    </row>
    <row r="31" customFormat="false" ht="15" hidden="false" customHeight="false" outlineLevel="0" collapsed="false">
      <c r="A31" s="50"/>
      <c r="B31" s="50"/>
      <c r="C31" s="59" t="str">
        <f aca="false">IF(B31="","",IFERROR(INDEX(INV_NAME,MATCH(B31,INV_ID,0)),"CHECK: Supplier ID not found"))</f>
        <v/>
      </c>
      <c r="D31" s="34"/>
      <c r="E31" s="34"/>
      <c r="F31" s="50"/>
      <c r="G31" s="34"/>
      <c r="H31" s="34"/>
      <c r="I31" s="34"/>
      <c r="J31" s="34"/>
      <c r="K31" s="34"/>
      <c r="L31" s="34"/>
      <c r="M31" s="34"/>
      <c r="N31" s="34"/>
      <c r="O31" s="34"/>
      <c r="P31" s="51"/>
      <c r="Q31" s="54" t="str">
        <f aca="false">IF(A31="","",IF(I31="Gap identified",IF(OR(N31="Amended",N31="Accepted - exception approved",N31="No action required",N31="Not applicable",N31="Withdrawn"),"Gap dispositioned","Open gap"),IF(I31="Not reviewed","Not reviewed",IF(I31="Clause present - legal review pending","Present - legal review pending",IF(I31="Clause reviewed - no gap noted","Reviewed - no gap noted (not a legal compliance conclusion)",IF(I31="Not applicable","Not applicable","Not reviewed"))))))</f>
        <v/>
      </c>
      <c r="R31" s="54" t="str">
        <f aca="false">IF(A31="","",IF(COUNTIF(CON_ID,A31)&gt;1,"CHECK: duplicate ID",IF(B31="","CHECK: Supplier ID missing",IF(COUNTIF(INV_ID,B31)=0,"CHECK: Supplier ID not in inventory",IF(AND(F31&lt;&gt;"",COUNTIF(RSK_ID,F31)=0),"CHECK: Risk ID not found",IF(AND(F31&lt;&gt;"",COUNTIF(RSK_ID,F31)&gt;0,IFERROR(INDEX(RSK_SUP,MATCH(F31,RSK_ID,0)),"")&lt;&gt;B31),"CHECK: Risk belongs to a different supplier",IF(AND(N31="Accepted - exception approved",O31=""),"CHECK: exception approval reference missing","OK")))))))</f>
        <v/>
      </c>
      <c r="S31" s="61" t="str">
        <f aca="false">IF(OR(A31="",B31=""),"",IF(AND(Q31="Open gap",B31=RptSup),B31&amp;"|"&amp;COUNTIFS($B$7:B31,B31,$Q$7:Q31,"Open gap"),""))</f>
        <v/>
      </c>
    </row>
    <row r="32" customFormat="false" ht="15" hidden="false" customHeight="false" outlineLevel="0" collapsed="false">
      <c r="A32" s="50"/>
      <c r="B32" s="50"/>
      <c r="C32" s="59" t="str">
        <f aca="false">IF(B32="","",IFERROR(INDEX(INV_NAME,MATCH(B32,INV_ID,0)),"CHECK: Supplier ID not found"))</f>
        <v/>
      </c>
      <c r="D32" s="34"/>
      <c r="E32" s="34"/>
      <c r="F32" s="50"/>
      <c r="G32" s="34"/>
      <c r="H32" s="34"/>
      <c r="I32" s="34"/>
      <c r="J32" s="34"/>
      <c r="K32" s="34"/>
      <c r="L32" s="34"/>
      <c r="M32" s="34"/>
      <c r="N32" s="34"/>
      <c r="O32" s="34"/>
      <c r="P32" s="51"/>
      <c r="Q32" s="54" t="str">
        <f aca="false">IF(A32="","",IF(I32="Gap identified",IF(OR(N32="Amended",N32="Accepted - exception approved",N32="No action required",N32="Not applicable",N32="Withdrawn"),"Gap dispositioned","Open gap"),IF(I32="Not reviewed","Not reviewed",IF(I32="Clause present - legal review pending","Present - legal review pending",IF(I32="Clause reviewed - no gap noted","Reviewed - no gap noted (not a legal compliance conclusion)",IF(I32="Not applicable","Not applicable","Not reviewed"))))))</f>
        <v/>
      </c>
      <c r="R32" s="54" t="str">
        <f aca="false">IF(A32="","",IF(COUNTIF(CON_ID,A32)&gt;1,"CHECK: duplicate ID",IF(B32="","CHECK: Supplier ID missing",IF(COUNTIF(INV_ID,B32)=0,"CHECK: Supplier ID not in inventory",IF(AND(F32&lt;&gt;"",COUNTIF(RSK_ID,F32)=0),"CHECK: Risk ID not found",IF(AND(F32&lt;&gt;"",COUNTIF(RSK_ID,F32)&gt;0,IFERROR(INDEX(RSK_SUP,MATCH(F32,RSK_ID,0)),"")&lt;&gt;B32),"CHECK: Risk belongs to a different supplier",IF(AND(N32="Accepted - exception approved",O32=""),"CHECK: exception approval reference missing","OK")))))))</f>
        <v/>
      </c>
      <c r="S32" s="61" t="str">
        <f aca="false">IF(OR(A32="",B32=""),"",IF(AND(Q32="Open gap",B32=RptSup),B32&amp;"|"&amp;COUNTIFS($B$7:B32,B32,$Q$7:Q32,"Open gap"),""))</f>
        <v/>
      </c>
    </row>
    <row r="33" customFormat="false" ht="15" hidden="false" customHeight="false" outlineLevel="0" collapsed="false">
      <c r="A33" s="50"/>
      <c r="B33" s="50"/>
      <c r="C33" s="59" t="str">
        <f aca="false">IF(B33="","",IFERROR(INDEX(INV_NAME,MATCH(B33,INV_ID,0)),"CHECK: Supplier ID not found"))</f>
        <v/>
      </c>
      <c r="D33" s="34"/>
      <c r="E33" s="34"/>
      <c r="F33" s="50"/>
      <c r="G33" s="34"/>
      <c r="H33" s="34"/>
      <c r="I33" s="34"/>
      <c r="J33" s="34"/>
      <c r="K33" s="34"/>
      <c r="L33" s="34"/>
      <c r="M33" s="34"/>
      <c r="N33" s="34"/>
      <c r="O33" s="34"/>
      <c r="P33" s="51"/>
      <c r="Q33" s="54" t="str">
        <f aca="false">IF(A33="","",IF(I33="Gap identified",IF(OR(N33="Amended",N33="Accepted - exception approved",N33="No action required",N33="Not applicable",N33="Withdrawn"),"Gap dispositioned","Open gap"),IF(I33="Not reviewed","Not reviewed",IF(I33="Clause present - legal review pending","Present - legal review pending",IF(I33="Clause reviewed - no gap noted","Reviewed - no gap noted (not a legal compliance conclusion)",IF(I33="Not applicable","Not applicable","Not reviewed"))))))</f>
        <v/>
      </c>
      <c r="R33" s="54" t="str">
        <f aca="false">IF(A33="","",IF(COUNTIF(CON_ID,A33)&gt;1,"CHECK: duplicate ID",IF(B33="","CHECK: Supplier ID missing",IF(COUNTIF(INV_ID,B33)=0,"CHECK: Supplier ID not in inventory",IF(AND(F33&lt;&gt;"",COUNTIF(RSK_ID,F33)=0),"CHECK: Risk ID not found",IF(AND(F33&lt;&gt;"",COUNTIF(RSK_ID,F33)&gt;0,IFERROR(INDEX(RSK_SUP,MATCH(F33,RSK_ID,0)),"")&lt;&gt;B33),"CHECK: Risk belongs to a different supplier",IF(AND(N33="Accepted - exception approved",O33=""),"CHECK: exception approval reference missing","OK")))))))</f>
        <v/>
      </c>
      <c r="S33" s="61" t="str">
        <f aca="false">IF(OR(A33="",B33=""),"",IF(AND(Q33="Open gap",B33=RptSup),B33&amp;"|"&amp;COUNTIFS($B$7:B33,B33,$Q$7:Q33,"Open gap"),""))</f>
        <v/>
      </c>
    </row>
    <row r="34" customFormat="false" ht="15" hidden="false" customHeight="false" outlineLevel="0" collapsed="false">
      <c r="A34" s="50"/>
      <c r="B34" s="50"/>
      <c r="C34" s="59" t="str">
        <f aca="false">IF(B34="","",IFERROR(INDEX(INV_NAME,MATCH(B34,INV_ID,0)),"CHECK: Supplier ID not found"))</f>
        <v/>
      </c>
      <c r="D34" s="34"/>
      <c r="E34" s="34"/>
      <c r="F34" s="50"/>
      <c r="G34" s="34"/>
      <c r="H34" s="34"/>
      <c r="I34" s="34"/>
      <c r="J34" s="34"/>
      <c r="K34" s="34"/>
      <c r="L34" s="34"/>
      <c r="M34" s="34"/>
      <c r="N34" s="34"/>
      <c r="O34" s="34"/>
      <c r="P34" s="51"/>
      <c r="Q34" s="54" t="str">
        <f aca="false">IF(A34="","",IF(I34="Gap identified",IF(OR(N34="Amended",N34="Accepted - exception approved",N34="No action required",N34="Not applicable",N34="Withdrawn"),"Gap dispositioned","Open gap"),IF(I34="Not reviewed","Not reviewed",IF(I34="Clause present - legal review pending","Present - legal review pending",IF(I34="Clause reviewed - no gap noted","Reviewed - no gap noted (not a legal compliance conclusion)",IF(I34="Not applicable","Not applicable","Not reviewed"))))))</f>
        <v/>
      </c>
      <c r="R34" s="54" t="str">
        <f aca="false">IF(A34="","",IF(COUNTIF(CON_ID,A34)&gt;1,"CHECK: duplicate ID",IF(B34="","CHECK: Supplier ID missing",IF(COUNTIF(INV_ID,B34)=0,"CHECK: Supplier ID not in inventory",IF(AND(F34&lt;&gt;"",COUNTIF(RSK_ID,F34)=0),"CHECK: Risk ID not found",IF(AND(F34&lt;&gt;"",COUNTIF(RSK_ID,F34)&gt;0,IFERROR(INDEX(RSK_SUP,MATCH(F34,RSK_ID,0)),"")&lt;&gt;B34),"CHECK: Risk belongs to a different supplier",IF(AND(N34="Accepted - exception approved",O34=""),"CHECK: exception approval reference missing","OK")))))))</f>
        <v/>
      </c>
      <c r="S34" s="61" t="str">
        <f aca="false">IF(OR(A34="",B34=""),"",IF(AND(Q34="Open gap",B34=RptSup),B34&amp;"|"&amp;COUNTIFS($B$7:B34,B34,$Q$7:Q34,"Open gap"),""))</f>
        <v/>
      </c>
    </row>
    <row r="35" customFormat="false" ht="15" hidden="false" customHeight="false" outlineLevel="0" collapsed="false">
      <c r="A35" s="50"/>
      <c r="B35" s="50"/>
      <c r="C35" s="59" t="str">
        <f aca="false">IF(B35="","",IFERROR(INDEX(INV_NAME,MATCH(B35,INV_ID,0)),"CHECK: Supplier ID not found"))</f>
        <v/>
      </c>
      <c r="D35" s="34"/>
      <c r="E35" s="34"/>
      <c r="F35" s="50"/>
      <c r="G35" s="34"/>
      <c r="H35" s="34"/>
      <c r="I35" s="34"/>
      <c r="J35" s="34"/>
      <c r="K35" s="34"/>
      <c r="L35" s="34"/>
      <c r="M35" s="34"/>
      <c r="N35" s="34"/>
      <c r="O35" s="34"/>
      <c r="P35" s="51"/>
      <c r="Q35" s="54" t="str">
        <f aca="false">IF(A35="","",IF(I35="Gap identified",IF(OR(N35="Amended",N35="Accepted - exception approved",N35="No action required",N35="Not applicable",N35="Withdrawn"),"Gap dispositioned","Open gap"),IF(I35="Not reviewed","Not reviewed",IF(I35="Clause present - legal review pending","Present - legal review pending",IF(I35="Clause reviewed - no gap noted","Reviewed - no gap noted (not a legal compliance conclusion)",IF(I35="Not applicable","Not applicable","Not reviewed"))))))</f>
        <v/>
      </c>
      <c r="R35" s="54" t="str">
        <f aca="false">IF(A35="","",IF(COUNTIF(CON_ID,A35)&gt;1,"CHECK: duplicate ID",IF(B35="","CHECK: Supplier ID missing",IF(COUNTIF(INV_ID,B35)=0,"CHECK: Supplier ID not in inventory",IF(AND(F35&lt;&gt;"",COUNTIF(RSK_ID,F35)=0),"CHECK: Risk ID not found",IF(AND(F35&lt;&gt;"",COUNTIF(RSK_ID,F35)&gt;0,IFERROR(INDEX(RSK_SUP,MATCH(F35,RSK_ID,0)),"")&lt;&gt;B35),"CHECK: Risk belongs to a different supplier",IF(AND(N35="Accepted - exception approved",O35=""),"CHECK: exception approval reference missing","OK")))))))</f>
        <v/>
      </c>
      <c r="S35" s="61" t="str">
        <f aca="false">IF(OR(A35="",B35=""),"",IF(AND(Q35="Open gap",B35=RptSup),B35&amp;"|"&amp;COUNTIFS($B$7:B35,B35,$Q$7:Q35,"Open gap"),""))</f>
        <v/>
      </c>
    </row>
    <row r="36" customFormat="false" ht="15" hidden="false" customHeight="false" outlineLevel="0" collapsed="false">
      <c r="A36" s="50"/>
      <c r="B36" s="50"/>
      <c r="C36" s="59" t="str">
        <f aca="false">IF(B36="","",IFERROR(INDEX(INV_NAME,MATCH(B36,INV_ID,0)),"CHECK: Supplier ID not found"))</f>
        <v/>
      </c>
      <c r="D36" s="34"/>
      <c r="E36" s="34"/>
      <c r="F36" s="50"/>
      <c r="G36" s="34"/>
      <c r="H36" s="34"/>
      <c r="I36" s="34"/>
      <c r="J36" s="34"/>
      <c r="K36" s="34"/>
      <c r="L36" s="34"/>
      <c r="M36" s="34"/>
      <c r="N36" s="34"/>
      <c r="O36" s="34"/>
      <c r="P36" s="51"/>
      <c r="Q36" s="54" t="str">
        <f aca="false">IF(A36="","",IF(I36="Gap identified",IF(OR(N36="Amended",N36="Accepted - exception approved",N36="No action required",N36="Not applicable",N36="Withdrawn"),"Gap dispositioned","Open gap"),IF(I36="Not reviewed","Not reviewed",IF(I36="Clause present - legal review pending","Present - legal review pending",IF(I36="Clause reviewed - no gap noted","Reviewed - no gap noted (not a legal compliance conclusion)",IF(I36="Not applicable","Not applicable","Not reviewed"))))))</f>
        <v/>
      </c>
      <c r="R36" s="54" t="str">
        <f aca="false">IF(A36="","",IF(COUNTIF(CON_ID,A36)&gt;1,"CHECK: duplicate ID",IF(B36="","CHECK: Supplier ID missing",IF(COUNTIF(INV_ID,B36)=0,"CHECK: Supplier ID not in inventory",IF(AND(F36&lt;&gt;"",COUNTIF(RSK_ID,F36)=0),"CHECK: Risk ID not found",IF(AND(F36&lt;&gt;"",COUNTIF(RSK_ID,F36)&gt;0,IFERROR(INDEX(RSK_SUP,MATCH(F36,RSK_ID,0)),"")&lt;&gt;B36),"CHECK: Risk belongs to a different supplier",IF(AND(N36="Accepted - exception approved",O36=""),"CHECK: exception approval reference missing","OK")))))))</f>
        <v/>
      </c>
      <c r="S36" s="61" t="str">
        <f aca="false">IF(OR(A36="",B36=""),"",IF(AND(Q36="Open gap",B36=RptSup),B36&amp;"|"&amp;COUNTIFS($B$7:B36,B36,$Q$7:Q36,"Open gap"),""))</f>
        <v/>
      </c>
    </row>
    <row r="37" customFormat="false" ht="15" hidden="false" customHeight="false" outlineLevel="0" collapsed="false">
      <c r="A37" s="50"/>
      <c r="B37" s="50"/>
      <c r="C37" s="59" t="str">
        <f aca="false">IF(B37="","",IFERROR(INDEX(INV_NAME,MATCH(B37,INV_ID,0)),"CHECK: Supplier ID not found"))</f>
        <v/>
      </c>
      <c r="D37" s="34"/>
      <c r="E37" s="34"/>
      <c r="F37" s="50"/>
      <c r="G37" s="34"/>
      <c r="H37" s="34"/>
      <c r="I37" s="34"/>
      <c r="J37" s="34"/>
      <c r="K37" s="34"/>
      <c r="L37" s="34"/>
      <c r="M37" s="34"/>
      <c r="N37" s="34"/>
      <c r="O37" s="34"/>
      <c r="P37" s="51"/>
      <c r="Q37" s="54" t="str">
        <f aca="false">IF(A37="","",IF(I37="Gap identified",IF(OR(N37="Amended",N37="Accepted - exception approved",N37="No action required",N37="Not applicable",N37="Withdrawn"),"Gap dispositioned","Open gap"),IF(I37="Not reviewed","Not reviewed",IF(I37="Clause present - legal review pending","Present - legal review pending",IF(I37="Clause reviewed - no gap noted","Reviewed - no gap noted (not a legal compliance conclusion)",IF(I37="Not applicable","Not applicable","Not reviewed"))))))</f>
        <v/>
      </c>
      <c r="R37" s="54" t="str">
        <f aca="false">IF(A37="","",IF(COUNTIF(CON_ID,A37)&gt;1,"CHECK: duplicate ID",IF(B37="","CHECK: Supplier ID missing",IF(COUNTIF(INV_ID,B37)=0,"CHECK: Supplier ID not in inventory",IF(AND(F37&lt;&gt;"",COUNTIF(RSK_ID,F37)=0),"CHECK: Risk ID not found",IF(AND(F37&lt;&gt;"",COUNTIF(RSK_ID,F37)&gt;0,IFERROR(INDEX(RSK_SUP,MATCH(F37,RSK_ID,0)),"")&lt;&gt;B37),"CHECK: Risk belongs to a different supplier",IF(AND(N37="Accepted - exception approved",O37=""),"CHECK: exception approval reference missing","OK")))))))</f>
        <v/>
      </c>
      <c r="S37" s="61" t="str">
        <f aca="false">IF(OR(A37="",B37=""),"",IF(AND(Q37="Open gap",B37=RptSup),B37&amp;"|"&amp;COUNTIFS($B$7:B37,B37,$Q$7:Q37,"Open gap"),""))</f>
        <v/>
      </c>
    </row>
    <row r="38" customFormat="false" ht="15" hidden="false" customHeight="false" outlineLevel="0" collapsed="false">
      <c r="A38" s="50"/>
      <c r="B38" s="50"/>
      <c r="C38" s="59" t="str">
        <f aca="false">IF(B38="","",IFERROR(INDEX(INV_NAME,MATCH(B38,INV_ID,0)),"CHECK: Supplier ID not found"))</f>
        <v/>
      </c>
      <c r="D38" s="34"/>
      <c r="E38" s="34"/>
      <c r="F38" s="50"/>
      <c r="G38" s="34"/>
      <c r="H38" s="34"/>
      <c r="I38" s="34"/>
      <c r="J38" s="34"/>
      <c r="K38" s="34"/>
      <c r="L38" s="34"/>
      <c r="M38" s="34"/>
      <c r="N38" s="34"/>
      <c r="O38" s="34"/>
      <c r="P38" s="51"/>
      <c r="Q38" s="54" t="str">
        <f aca="false">IF(A38="","",IF(I38="Gap identified",IF(OR(N38="Amended",N38="Accepted - exception approved",N38="No action required",N38="Not applicable",N38="Withdrawn"),"Gap dispositioned","Open gap"),IF(I38="Not reviewed","Not reviewed",IF(I38="Clause present - legal review pending","Present - legal review pending",IF(I38="Clause reviewed - no gap noted","Reviewed - no gap noted (not a legal compliance conclusion)",IF(I38="Not applicable","Not applicable","Not reviewed"))))))</f>
        <v/>
      </c>
      <c r="R38" s="54" t="str">
        <f aca="false">IF(A38="","",IF(COUNTIF(CON_ID,A38)&gt;1,"CHECK: duplicate ID",IF(B38="","CHECK: Supplier ID missing",IF(COUNTIF(INV_ID,B38)=0,"CHECK: Supplier ID not in inventory",IF(AND(F38&lt;&gt;"",COUNTIF(RSK_ID,F38)=0),"CHECK: Risk ID not found",IF(AND(F38&lt;&gt;"",COUNTIF(RSK_ID,F38)&gt;0,IFERROR(INDEX(RSK_SUP,MATCH(F38,RSK_ID,0)),"")&lt;&gt;B38),"CHECK: Risk belongs to a different supplier",IF(AND(N38="Accepted - exception approved",O38=""),"CHECK: exception approval reference missing","OK")))))))</f>
        <v/>
      </c>
      <c r="S38" s="61" t="str">
        <f aca="false">IF(OR(A38="",B38=""),"",IF(AND(Q38="Open gap",B38=RptSup),B38&amp;"|"&amp;COUNTIFS($B$7:B38,B38,$Q$7:Q38,"Open gap"),""))</f>
        <v/>
      </c>
    </row>
    <row r="39" customFormat="false" ht="15" hidden="false" customHeight="false" outlineLevel="0" collapsed="false">
      <c r="A39" s="50"/>
      <c r="B39" s="50"/>
      <c r="C39" s="59" t="str">
        <f aca="false">IF(B39="","",IFERROR(INDEX(INV_NAME,MATCH(B39,INV_ID,0)),"CHECK: Supplier ID not found"))</f>
        <v/>
      </c>
      <c r="D39" s="34"/>
      <c r="E39" s="34"/>
      <c r="F39" s="50"/>
      <c r="G39" s="34"/>
      <c r="H39" s="34"/>
      <c r="I39" s="34"/>
      <c r="J39" s="34"/>
      <c r="K39" s="34"/>
      <c r="L39" s="34"/>
      <c r="M39" s="34"/>
      <c r="N39" s="34"/>
      <c r="O39" s="34"/>
      <c r="P39" s="51"/>
      <c r="Q39" s="54" t="str">
        <f aca="false">IF(A39="","",IF(I39="Gap identified",IF(OR(N39="Amended",N39="Accepted - exception approved",N39="No action required",N39="Not applicable",N39="Withdrawn"),"Gap dispositioned","Open gap"),IF(I39="Not reviewed","Not reviewed",IF(I39="Clause present - legal review pending","Present - legal review pending",IF(I39="Clause reviewed - no gap noted","Reviewed - no gap noted (not a legal compliance conclusion)",IF(I39="Not applicable","Not applicable","Not reviewed"))))))</f>
        <v/>
      </c>
      <c r="R39" s="54" t="str">
        <f aca="false">IF(A39="","",IF(COUNTIF(CON_ID,A39)&gt;1,"CHECK: duplicate ID",IF(B39="","CHECK: Supplier ID missing",IF(COUNTIF(INV_ID,B39)=0,"CHECK: Supplier ID not in inventory",IF(AND(F39&lt;&gt;"",COUNTIF(RSK_ID,F39)=0),"CHECK: Risk ID not found",IF(AND(F39&lt;&gt;"",COUNTIF(RSK_ID,F39)&gt;0,IFERROR(INDEX(RSK_SUP,MATCH(F39,RSK_ID,0)),"")&lt;&gt;B39),"CHECK: Risk belongs to a different supplier",IF(AND(N39="Accepted - exception approved",O39=""),"CHECK: exception approval reference missing","OK")))))))</f>
        <v/>
      </c>
      <c r="S39" s="61" t="str">
        <f aca="false">IF(OR(A39="",B39=""),"",IF(AND(Q39="Open gap",B39=RptSup),B39&amp;"|"&amp;COUNTIFS($B$7:B39,B39,$Q$7:Q39,"Open gap"),""))</f>
        <v/>
      </c>
    </row>
    <row r="40" customFormat="false" ht="15" hidden="false" customHeight="false" outlineLevel="0" collapsed="false">
      <c r="A40" s="50"/>
      <c r="B40" s="50"/>
      <c r="C40" s="59" t="str">
        <f aca="false">IF(B40="","",IFERROR(INDEX(INV_NAME,MATCH(B40,INV_ID,0)),"CHECK: Supplier ID not found"))</f>
        <v/>
      </c>
      <c r="D40" s="34"/>
      <c r="E40" s="34"/>
      <c r="F40" s="50"/>
      <c r="G40" s="34"/>
      <c r="H40" s="34"/>
      <c r="I40" s="34"/>
      <c r="J40" s="34"/>
      <c r="K40" s="34"/>
      <c r="L40" s="34"/>
      <c r="M40" s="34"/>
      <c r="N40" s="34"/>
      <c r="O40" s="34"/>
      <c r="P40" s="51"/>
      <c r="Q40" s="54" t="str">
        <f aca="false">IF(A40="","",IF(I40="Gap identified",IF(OR(N40="Amended",N40="Accepted - exception approved",N40="No action required",N40="Not applicable",N40="Withdrawn"),"Gap dispositioned","Open gap"),IF(I40="Not reviewed","Not reviewed",IF(I40="Clause present - legal review pending","Present - legal review pending",IF(I40="Clause reviewed - no gap noted","Reviewed - no gap noted (not a legal compliance conclusion)",IF(I40="Not applicable","Not applicable","Not reviewed"))))))</f>
        <v/>
      </c>
      <c r="R40" s="54" t="str">
        <f aca="false">IF(A40="","",IF(COUNTIF(CON_ID,A40)&gt;1,"CHECK: duplicate ID",IF(B40="","CHECK: Supplier ID missing",IF(COUNTIF(INV_ID,B40)=0,"CHECK: Supplier ID not in inventory",IF(AND(F40&lt;&gt;"",COUNTIF(RSK_ID,F40)=0),"CHECK: Risk ID not found",IF(AND(F40&lt;&gt;"",COUNTIF(RSK_ID,F40)&gt;0,IFERROR(INDEX(RSK_SUP,MATCH(F40,RSK_ID,0)),"")&lt;&gt;B40),"CHECK: Risk belongs to a different supplier",IF(AND(N40="Accepted - exception approved",O40=""),"CHECK: exception approval reference missing","OK")))))))</f>
        <v/>
      </c>
      <c r="S40" s="61" t="str">
        <f aca="false">IF(OR(A40="",B40=""),"",IF(AND(Q40="Open gap",B40=RptSup),B40&amp;"|"&amp;COUNTIFS($B$7:B40,B40,$Q$7:Q40,"Open gap"),""))</f>
        <v/>
      </c>
    </row>
    <row r="41" customFormat="false" ht="15" hidden="false" customHeight="false" outlineLevel="0" collapsed="false">
      <c r="A41" s="50"/>
      <c r="B41" s="50"/>
      <c r="C41" s="59" t="str">
        <f aca="false">IF(B41="","",IFERROR(INDEX(INV_NAME,MATCH(B41,INV_ID,0)),"CHECK: Supplier ID not found"))</f>
        <v/>
      </c>
      <c r="D41" s="34"/>
      <c r="E41" s="34"/>
      <c r="F41" s="50"/>
      <c r="G41" s="34"/>
      <c r="H41" s="34"/>
      <c r="I41" s="34"/>
      <c r="J41" s="34"/>
      <c r="K41" s="34"/>
      <c r="L41" s="34"/>
      <c r="M41" s="34"/>
      <c r="N41" s="34"/>
      <c r="O41" s="34"/>
      <c r="P41" s="51"/>
      <c r="Q41" s="54" t="str">
        <f aca="false">IF(A41="","",IF(I41="Gap identified",IF(OR(N41="Amended",N41="Accepted - exception approved",N41="No action required",N41="Not applicable",N41="Withdrawn"),"Gap dispositioned","Open gap"),IF(I41="Not reviewed","Not reviewed",IF(I41="Clause present - legal review pending","Present - legal review pending",IF(I41="Clause reviewed - no gap noted","Reviewed - no gap noted (not a legal compliance conclusion)",IF(I41="Not applicable","Not applicable","Not reviewed"))))))</f>
        <v/>
      </c>
      <c r="R41" s="54" t="str">
        <f aca="false">IF(A41="","",IF(COUNTIF(CON_ID,A41)&gt;1,"CHECK: duplicate ID",IF(B41="","CHECK: Supplier ID missing",IF(COUNTIF(INV_ID,B41)=0,"CHECK: Supplier ID not in inventory",IF(AND(F41&lt;&gt;"",COUNTIF(RSK_ID,F41)=0),"CHECK: Risk ID not found",IF(AND(F41&lt;&gt;"",COUNTIF(RSK_ID,F41)&gt;0,IFERROR(INDEX(RSK_SUP,MATCH(F41,RSK_ID,0)),"")&lt;&gt;B41),"CHECK: Risk belongs to a different supplier",IF(AND(N41="Accepted - exception approved",O41=""),"CHECK: exception approval reference missing","OK")))))))</f>
        <v/>
      </c>
      <c r="S41" s="61" t="str">
        <f aca="false">IF(OR(A41="",B41=""),"",IF(AND(Q41="Open gap",B41=RptSup),B41&amp;"|"&amp;COUNTIFS($B$7:B41,B41,$Q$7:Q41,"Open gap"),""))</f>
        <v/>
      </c>
    </row>
    <row r="42" customFormat="false" ht="15" hidden="false" customHeight="false" outlineLevel="0" collapsed="false">
      <c r="A42" s="50"/>
      <c r="B42" s="50"/>
      <c r="C42" s="59" t="str">
        <f aca="false">IF(B42="","",IFERROR(INDEX(INV_NAME,MATCH(B42,INV_ID,0)),"CHECK: Supplier ID not found"))</f>
        <v/>
      </c>
      <c r="D42" s="34"/>
      <c r="E42" s="34"/>
      <c r="F42" s="50"/>
      <c r="G42" s="34"/>
      <c r="H42" s="34"/>
      <c r="I42" s="34"/>
      <c r="J42" s="34"/>
      <c r="K42" s="34"/>
      <c r="L42" s="34"/>
      <c r="M42" s="34"/>
      <c r="N42" s="34"/>
      <c r="O42" s="34"/>
      <c r="P42" s="51"/>
      <c r="Q42" s="54" t="str">
        <f aca="false">IF(A42="","",IF(I42="Gap identified",IF(OR(N42="Amended",N42="Accepted - exception approved",N42="No action required",N42="Not applicable",N42="Withdrawn"),"Gap dispositioned","Open gap"),IF(I42="Not reviewed","Not reviewed",IF(I42="Clause present - legal review pending","Present - legal review pending",IF(I42="Clause reviewed - no gap noted","Reviewed - no gap noted (not a legal compliance conclusion)",IF(I42="Not applicable","Not applicable","Not reviewed"))))))</f>
        <v/>
      </c>
      <c r="R42" s="54" t="str">
        <f aca="false">IF(A42="","",IF(COUNTIF(CON_ID,A42)&gt;1,"CHECK: duplicate ID",IF(B42="","CHECK: Supplier ID missing",IF(COUNTIF(INV_ID,B42)=0,"CHECK: Supplier ID not in inventory",IF(AND(F42&lt;&gt;"",COUNTIF(RSK_ID,F42)=0),"CHECK: Risk ID not found",IF(AND(F42&lt;&gt;"",COUNTIF(RSK_ID,F42)&gt;0,IFERROR(INDEX(RSK_SUP,MATCH(F42,RSK_ID,0)),"")&lt;&gt;B42),"CHECK: Risk belongs to a different supplier",IF(AND(N42="Accepted - exception approved",O42=""),"CHECK: exception approval reference missing","OK")))))))</f>
        <v/>
      </c>
      <c r="S42" s="61" t="str">
        <f aca="false">IF(OR(A42="",B42=""),"",IF(AND(Q42="Open gap",B42=RptSup),B42&amp;"|"&amp;COUNTIFS($B$7:B42,B42,$Q$7:Q42,"Open gap"),""))</f>
        <v/>
      </c>
    </row>
    <row r="43" customFormat="false" ht="15" hidden="false" customHeight="false" outlineLevel="0" collapsed="false">
      <c r="A43" s="50"/>
      <c r="B43" s="50"/>
      <c r="C43" s="59" t="str">
        <f aca="false">IF(B43="","",IFERROR(INDEX(INV_NAME,MATCH(B43,INV_ID,0)),"CHECK: Supplier ID not found"))</f>
        <v/>
      </c>
      <c r="D43" s="34"/>
      <c r="E43" s="34"/>
      <c r="F43" s="50"/>
      <c r="G43" s="34"/>
      <c r="H43" s="34"/>
      <c r="I43" s="34"/>
      <c r="J43" s="34"/>
      <c r="K43" s="34"/>
      <c r="L43" s="34"/>
      <c r="M43" s="34"/>
      <c r="N43" s="34"/>
      <c r="O43" s="34"/>
      <c r="P43" s="51"/>
      <c r="Q43" s="54" t="str">
        <f aca="false">IF(A43="","",IF(I43="Gap identified",IF(OR(N43="Amended",N43="Accepted - exception approved",N43="No action required",N43="Not applicable",N43="Withdrawn"),"Gap dispositioned","Open gap"),IF(I43="Not reviewed","Not reviewed",IF(I43="Clause present - legal review pending","Present - legal review pending",IF(I43="Clause reviewed - no gap noted","Reviewed - no gap noted (not a legal compliance conclusion)",IF(I43="Not applicable","Not applicable","Not reviewed"))))))</f>
        <v/>
      </c>
      <c r="R43" s="54" t="str">
        <f aca="false">IF(A43="","",IF(COUNTIF(CON_ID,A43)&gt;1,"CHECK: duplicate ID",IF(B43="","CHECK: Supplier ID missing",IF(COUNTIF(INV_ID,B43)=0,"CHECK: Supplier ID not in inventory",IF(AND(F43&lt;&gt;"",COUNTIF(RSK_ID,F43)=0),"CHECK: Risk ID not found",IF(AND(F43&lt;&gt;"",COUNTIF(RSK_ID,F43)&gt;0,IFERROR(INDEX(RSK_SUP,MATCH(F43,RSK_ID,0)),"")&lt;&gt;B43),"CHECK: Risk belongs to a different supplier",IF(AND(N43="Accepted - exception approved",O43=""),"CHECK: exception approval reference missing","OK")))))))</f>
        <v/>
      </c>
      <c r="S43" s="61" t="str">
        <f aca="false">IF(OR(A43="",B43=""),"",IF(AND(Q43="Open gap",B43=RptSup),B43&amp;"|"&amp;COUNTIFS($B$7:B43,B43,$Q$7:Q43,"Open gap"),""))</f>
        <v/>
      </c>
    </row>
    <row r="44" customFormat="false" ht="15" hidden="false" customHeight="false" outlineLevel="0" collapsed="false">
      <c r="A44" s="50"/>
      <c r="B44" s="50"/>
      <c r="C44" s="59" t="str">
        <f aca="false">IF(B44="","",IFERROR(INDEX(INV_NAME,MATCH(B44,INV_ID,0)),"CHECK: Supplier ID not found"))</f>
        <v/>
      </c>
      <c r="D44" s="34"/>
      <c r="E44" s="34"/>
      <c r="F44" s="50"/>
      <c r="G44" s="34"/>
      <c r="H44" s="34"/>
      <c r="I44" s="34"/>
      <c r="J44" s="34"/>
      <c r="K44" s="34"/>
      <c r="L44" s="34"/>
      <c r="M44" s="34"/>
      <c r="N44" s="34"/>
      <c r="O44" s="34"/>
      <c r="P44" s="51"/>
      <c r="Q44" s="54" t="str">
        <f aca="false">IF(A44="","",IF(I44="Gap identified",IF(OR(N44="Amended",N44="Accepted - exception approved",N44="No action required",N44="Not applicable",N44="Withdrawn"),"Gap dispositioned","Open gap"),IF(I44="Not reviewed","Not reviewed",IF(I44="Clause present - legal review pending","Present - legal review pending",IF(I44="Clause reviewed - no gap noted","Reviewed - no gap noted (not a legal compliance conclusion)",IF(I44="Not applicable","Not applicable","Not reviewed"))))))</f>
        <v/>
      </c>
      <c r="R44" s="54" t="str">
        <f aca="false">IF(A44="","",IF(COUNTIF(CON_ID,A44)&gt;1,"CHECK: duplicate ID",IF(B44="","CHECK: Supplier ID missing",IF(COUNTIF(INV_ID,B44)=0,"CHECK: Supplier ID not in inventory",IF(AND(F44&lt;&gt;"",COUNTIF(RSK_ID,F44)=0),"CHECK: Risk ID not found",IF(AND(F44&lt;&gt;"",COUNTIF(RSK_ID,F44)&gt;0,IFERROR(INDEX(RSK_SUP,MATCH(F44,RSK_ID,0)),"")&lt;&gt;B44),"CHECK: Risk belongs to a different supplier",IF(AND(N44="Accepted - exception approved",O44=""),"CHECK: exception approval reference missing","OK")))))))</f>
        <v/>
      </c>
      <c r="S44" s="61" t="str">
        <f aca="false">IF(OR(A44="",B44=""),"",IF(AND(Q44="Open gap",B44=RptSup),B44&amp;"|"&amp;COUNTIFS($B$7:B44,B44,$Q$7:Q44,"Open gap"),""))</f>
        <v/>
      </c>
    </row>
    <row r="45" customFormat="false" ht="15" hidden="false" customHeight="false" outlineLevel="0" collapsed="false">
      <c r="A45" s="50"/>
      <c r="B45" s="50"/>
      <c r="C45" s="59" t="str">
        <f aca="false">IF(B45="","",IFERROR(INDEX(INV_NAME,MATCH(B45,INV_ID,0)),"CHECK: Supplier ID not found"))</f>
        <v/>
      </c>
      <c r="D45" s="34"/>
      <c r="E45" s="34"/>
      <c r="F45" s="50"/>
      <c r="G45" s="34"/>
      <c r="H45" s="34"/>
      <c r="I45" s="34"/>
      <c r="J45" s="34"/>
      <c r="K45" s="34"/>
      <c r="L45" s="34"/>
      <c r="M45" s="34"/>
      <c r="N45" s="34"/>
      <c r="O45" s="34"/>
      <c r="P45" s="51"/>
      <c r="Q45" s="54" t="str">
        <f aca="false">IF(A45="","",IF(I45="Gap identified",IF(OR(N45="Amended",N45="Accepted - exception approved",N45="No action required",N45="Not applicable",N45="Withdrawn"),"Gap dispositioned","Open gap"),IF(I45="Not reviewed","Not reviewed",IF(I45="Clause present - legal review pending","Present - legal review pending",IF(I45="Clause reviewed - no gap noted","Reviewed - no gap noted (not a legal compliance conclusion)",IF(I45="Not applicable","Not applicable","Not reviewed"))))))</f>
        <v/>
      </c>
      <c r="R45" s="54" t="str">
        <f aca="false">IF(A45="","",IF(COUNTIF(CON_ID,A45)&gt;1,"CHECK: duplicate ID",IF(B45="","CHECK: Supplier ID missing",IF(COUNTIF(INV_ID,B45)=0,"CHECK: Supplier ID not in inventory",IF(AND(F45&lt;&gt;"",COUNTIF(RSK_ID,F45)=0),"CHECK: Risk ID not found",IF(AND(F45&lt;&gt;"",COUNTIF(RSK_ID,F45)&gt;0,IFERROR(INDEX(RSK_SUP,MATCH(F45,RSK_ID,0)),"")&lt;&gt;B45),"CHECK: Risk belongs to a different supplier",IF(AND(N45="Accepted - exception approved",O45=""),"CHECK: exception approval reference missing","OK")))))))</f>
        <v/>
      </c>
      <c r="S45" s="61" t="str">
        <f aca="false">IF(OR(A45="",B45=""),"",IF(AND(Q45="Open gap",B45=RptSup),B45&amp;"|"&amp;COUNTIFS($B$7:B45,B45,$Q$7:Q45,"Open gap"),""))</f>
        <v/>
      </c>
    </row>
    <row r="46" customFormat="false" ht="15" hidden="false" customHeight="false" outlineLevel="0" collapsed="false">
      <c r="A46" s="50"/>
      <c r="B46" s="50"/>
      <c r="C46" s="59" t="str">
        <f aca="false">IF(B46="","",IFERROR(INDEX(INV_NAME,MATCH(B46,INV_ID,0)),"CHECK: Supplier ID not found"))</f>
        <v/>
      </c>
      <c r="D46" s="34"/>
      <c r="E46" s="34"/>
      <c r="F46" s="50"/>
      <c r="G46" s="34"/>
      <c r="H46" s="34"/>
      <c r="I46" s="34"/>
      <c r="J46" s="34"/>
      <c r="K46" s="34"/>
      <c r="L46" s="34"/>
      <c r="M46" s="34"/>
      <c r="N46" s="34"/>
      <c r="O46" s="34"/>
      <c r="P46" s="51"/>
      <c r="Q46" s="54" t="str">
        <f aca="false">IF(A46="","",IF(I46="Gap identified",IF(OR(N46="Amended",N46="Accepted - exception approved",N46="No action required",N46="Not applicable",N46="Withdrawn"),"Gap dispositioned","Open gap"),IF(I46="Not reviewed","Not reviewed",IF(I46="Clause present - legal review pending","Present - legal review pending",IF(I46="Clause reviewed - no gap noted","Reviewed - no gap noted (not a legal compliance conclusion)",IF(I46="Not applicable","Not applicable","Not reviewed"))))))</f>
        <v/>
      </c>
      <c r="R46" s="54" t="str">
        <f aca="false">IF(A46="","",IF(COUNTIF(CON_ID,A46)&gt;1,"CHECK: duplicate ID",IF(B46="","CHECK: Supplier ID missing",IF(COUNTIF(INV_ID,B46)=0,"CHECK: Supplier ID not in inventory",IF(AND(F46&lt;&gt;"",COUNTIF(RSK_ID,F46)=0),"CHECK: Risk ID not found",IF(AND(F46&lt;&gt;"",COUNTIF(RSK_ID,F46)&gt;0,IFERROR(INDEX(RSK_SUP,MATCH(F46,RSK_ID,0)),"")&lt;&gt;B46),"CHECK: Risk belongs to a different supplier",IF(AND(N46="Accepted - exception approved",O46=""),"CHECK: exception approval reference missing","OK")))))))</f>
        <v/>
      </c>
      <c r="S46" s="61" t="str">
        <f aca="false">IF(OR(A46="",B46=""),"",IF(AND(Q46="Open gap",B46=RptSup),B46&amp;"|"&amp;COUNTIFS($B$7:B46,B46,$Q$7:Q46,"Open gap"),""))</f>
        <v/>
      </c>
    </row>
    <row r="47" customFormat="false" ht="15" hidden="false" customHeight="false" outlineLevel="0" collapsed="false">
      <c r="A47" s="50"/>
      <c r="B47" s="50"/>
      <c r="C47" s="59" t="str">
        <f aca="false">IF(B47="","",IFERROR(INDEX(INV_NAME,MATCH(B47,INV_ID,0)),"CHECK: Supplier ID not found"))</f>
        <v/>
      </c>
      <c r="D47" s="34"/>
      <c r="E47" s="34"/>
      <c r="F47" s="50"/>
      <c r="G47" s="34"/>
      <c r="H47" s="34"/>
      <c r="I47" s="34"/>
      <c r="J47" s="34"/>
      <c r="K47" s="34"/>
      <c r="L47" s="34"/>
      <c r="M47" s="34"/>
      <c r="N47" s="34"/>
      <c r="O47" s="34"/>
      <c r="P47" s="51"/>
      <c r="Q47" s="54" t="str">
        <f aca="false">IF(A47="","",IF(I47="Gap identified",IF(OR(N47="Amended",N47="Accepted - exception approved",N47="No action required",N47="Not applicable",N47="Withdrawn"),"Gap dispositioned","Open gap"),IF(I47="Not reviewed","Not reviewed",IF(I47="Clause present - legal review pending","Present - legal review pending",IF(I47="Clause reviewed - no gap noted","Reviewed - no gap noted (not a legal compliance conclusion)",IF(I47="Not applicable","Not applicable","Not reviewed"))))))</f>
        <v/>
      </c>
      <c r="R47" s="54" t="str">
        <f aca="false">IF(A47="","",IF(COUNTIF(CON_ID,A47)&gt;1,"CHECK: duplicate ID",IF(B47="","CHECK: Supplier ID missing",IF(COUNTIF(INV_ID,B47)=0,"CHECK: Supplier ID not in inventory",IF(AND(F47&lt;&gt;"",COUNTIF(RSK_ID,F47)=0),"CHECK: Risk ID not found",IF(AND(F47&lt;&gt;"",COUNTIF(RSK_ID,F47)&gt;0,IFERROR(INDEX(RSK_SUP,MATCH(F47,RSK_ID,0)),"")&lt;&gt;B47),"CHECK: Risk belongs to a different supplier",IF(AND(N47="Accepted - exception approved",O47=""),"CHECK: exception approval reference missing","OK")))))))</f>
        <v/>
      </c>
      <c r="S47" s="61" t="str">
        <f aca="false">IF(OR(A47="",B47=""),"",IF(AND(Q47="Open gap",B47=RptSup),B47&amp;"|"&amp;COUNTIFS($B$7:B47,B47,$Q$7:Q47,"Open gap"),""))</f>
        <v/>
      </c>
    </row>
    <row r="48" customFormat="false" ht="15" hidden="false" customHeight="false" outlineLevel="0" collapsed="false">
      <c r="A48" s="50"/>
      <c r="B48" s="50"/>
      <c r="C48" s="59" t="str">
        <f aca="false">IF(B48="","",IFERROR(INDEX(INV_NAME,MATCH(B48,INV_ID,0)),"CHECK: Supplier ID not found"))</f>
        <v/>
      </c>
      <c r="D48" s="34"/>
      <c r="E48" s="34"/>
      <c r="F48" s="50"/>
      <c r="G48" s="34"/>
      <c r="H48" s="34"/>
      <c r="I48" s="34"/>
      <c r="J48" s="34"/>
      <c r="K48" s="34"/>
      <c r="L48" s="34"/>
      <c r="M48" s="34"/>
      <c r="N48" s="34"/>
      <c r="O48" s="34"/>
      <c r="P48" s="51"/>
      <c r="Q48" s="54" t="str">
        <f aca="false">IF(A48="","",IF(I48="Gap identified",IF(OR(N48="Amended",N48="Accepted - exception approved",N48="No action required",N48="Not applicable",N48="Withdrawn"),"Gap dispositioned","Open gap"),IF(I48="Not reviewed","Not reviewed",IF(I48="Clause present - legal review pending","Present - legal review pending",IF(I48="Clause reviewed - no gap noted","Reviewed - no gap noted (not a legal compliance conclusion)",IF(I48="Not applicable","Not applicable","Not reviewed"))))))</f>
        <v/>
      </c>
      <c r="R48" s="54" t="str">
        <f aca="false">IF(A48="","",IF(COUNTIF(CON_ID,A48)&gt;1,"CHECK: duplicate ID",IF(B48="","CHECK: Supplier ID missing",IF(COUNTIF(INV_ID,B48)=0,"CHECK: Supplier ID not in inventory",IF(AND(F48&lt;&gt;"",COUNTIF(RSK_ID,F48)=0),"CHECK: Risk ID not found",IF(AND(F48&lt;&gt;"",COUNTIF(RSK_ID,F48)&gt;0,IFERROR(INDEX(RSK_SUP,MATCH(F48,RSK_ID,0)),"")&lt;&gt;B48),"CHECK: Risk belongs to a different supplier",IF(AND(N48="Accepted - exception approved",O48=""),"CHECK: exception approval reference missing","OK")))))))</f>
        <v/>
      </c>
      <c r="S48" s="61" t="str">
        <f aca="false">IF(OR(A48="",B48=""),"",IF(AND(Q48="Open gap",B48=RptSup),B48&amp;"|"&amp;COUNTIFS($B$7:B48,B48,$Q$7:Q48,"Open gap"),""))</f>
        <v/>
      </c>
    </row>
    <row r="49" customFormat="false" ht="15" hidden="false" customHeight="false" outlineLevel="0" collapsed="false">
      <c r="A49" s="50"/>
      <c r="B49" s="50"/>
      <c r="C49" s="59" t="str">
        <f aca="false">IF(B49="","",IFERROR(INDEX(INV_NAME,MATCH(B49,INV_ID,0)),"CHECK: Supplier ID not found"))</f>
        <v/>
      </c>
      <c r="D49" s="34"/>
      <c r="E49" s="34"/>
      <c r="F49" s="50"/>
      <c r="G49" s="34"/>
      <c r="H49" s="34"/>
      <c r="I49" s="34"/>
      <c r="J49" s="34"/>
      <c r="K49" s="34"/>
      <c r="L49" s="34"/>
      <c r="M49" s="34"/>
      <c r="N49" s="34"/>
      <c r="O49" s="34"/>
      <c r="P49" s="51"/>
      <c r="Q49" s="54" t="str">
        <f aca="false">IF(A49="","",IF(I49="Gap identified",IF(OR(N49="Amended",N49="Accepted - exception approved",N49="No action required",N49="Not applicable",N49="Withdrawn"),"Gap dispositioned","Open gap"),IF(I49="Not reviewed","Not reviewed",IF(I49="Clause present - legal review pending","Present - legal review pending",IF(I49="Clause reviewed - no gap noted","Reviewed - no gap noted (not a legal compliance conclusion)",IF(I49="Not applicable","Not applicable","Not reviewed"))))))</f>
        <v/>
      </c>
      <c r="R49" s="54" t="str">
        <f aca="false">IF(A49="","",IF(COUNTIF(CON_ID,A49)&gt;1,"CHECK: duplicate ID",IF(B49="","CHECK: Supplier ID missing",IF(COUNTIF(INV_ID,B49)=0,"CHECK: Supplier ID not in inventory",IF(AND(F49&lt;&gt;"",COUNTIF(RSK_ID,F49)=0),"CHECK: Risk ID not found",IF(AND(F49&lt;&gt;"",COUNTIF(RSK_ID,F49)&gt;0,IFERROR(INDEX(RSK_SUP,MATCH(F49,RSK_ID,0)),"")&lt;&gt;B49),"CHECK: Risk belongs to a different supplier",IF(AND(N49="Accepted - exception approved",O49=""),"CHECK: exception approval reference missing","OK")))))))</f>
        <v/>
      </c>
      <c r="S49" s="61" t="str">
        <f aca="false">IF(OR(A49="",B49=""),"",IF(AND(Q49="Open gap",B49=RptSup),B49&amp;"|"&amp;COUNTIFS($B$7:B49,B49,$Q$7:Q49,"Open gap"),""))</f>
        <v/>
      </c>
    </row>
    <row r="50" customFormat="false" ht="15" hidden="false" customHeight="false" outlineLevel="0" collapsed="false">
      <c r="A50" s="50"/>
      <c r="B50" s="50"/>
      <c r="C50" s="59" t="str">
        <f aca="false">IF(B50="","",IFERROR(INDEX(INV_NAME,MATCH(B50,INV_ID,0)),"CHECK: Supplier ID not found"))</f>
        <v/>
      </c>
      <c r="D50" s="34"/>
      <c r="E50" s="34"/>
      <c r="F50" s="50"/>
      <c r="G50" s="34"/>
      <c r="H50" s="34"/>
      <c r="I50" s="34"/>
      <c r="J50" s="34"/>
      <c r="K50" s="34"/>
      <c r="L50" s="34"/>
      <c r="M50" s="34"/>
      <c r="N50" s="34"/>
      <c r="O50" s="34"/>
      <c r="P50" s="51"/>
      <c r="Q50" s="54" t="str">
        <f aca="false">IF(A50="","",IF(I50="Gap identified",IF(OR(N50="Amended",N50="Accepted - exception approved",N50="No action required",N50="Not applicable",N50="Withdrawn"),"Gap dispositioned","Open gap"),IF(I50="Not reviewed","Not reviewed",IF(I50="Clause present - legal review pending","Present - legal review pending",IF(I50="Clause reviewed - no gap noted","Reviewed - no gap noted (not a legal compliance conclusion)",IF(I50="Not applicable","Not applicable","Not reviewed"))))))</f>
        <v/>
      </c>
      <c r="R50" s="54" t="str">
        <f aca="false">IF(A50="","",IF(COUNTIF(CON_ID,A50)&gt;1,"CHECK: duplicate ID",IF(B50="","CHECK: Supplier ID missing",IF(COUNTIF(INV_ID,B50)=0,"CHECK: Supplier ID not in inventory",IF(AND(F50&lt;&gt;"",COUNTIF(RSK_ID,F50)=0),"CHECK: Risk ID not found",IF(AND(F50&lt;&gt;"",COUNTIF(RSK_ID,F50)&gt;0,IFERROR(INDEX(RSK_SUP,MATCH(F50,RSK_ID,0)),"")&lt;&gt;B50),"CHECK: Risk belongs to a different supplier",IF(AND(N50="Accepted - exception approved",O50=""),"CHECK: exception approval reference missing","OK")))))))</f>
        <v/>
      </c>
      <c r="S50" s="61" t="str">
        <f aca="false">IF(OR(A50="",B50=""),"",IF(AND(Q50="Open gap",B50=RptSup),B50&amp;"|"&amp;COUNTIFS($B$7:B50,B50,$Q$7:Q50,"Open gap"),""))</f>
        <v/>
      </c>
    </row>
    <row r="51" customFormat="false" ht="15" hidden="false" customHeight="false" outlineLevel="0" collapsed="false">
      <c r="A51" s="50"/>
      <c r="B51" s="50"/>
      <c r="C51" s="59" t="str">
        <f aca="false">IF(B51="","",IFERROR(INDEX(INV_NAME,MATCH(B51,INV_ID,0)),"CHECK: Supplier ID not found"))</f>
        <v/>
      </c>
      <c r="D51" s="34"/>
      <c r="E51" s="34"/>
      <c r="F51" s="50"/>
      <c r="G51" s="34"/>
      <c r="H51" s="34"/>
      <c r="I51" s="34"/>
      <c r="J51" s="34"/>
      <c r="K51" s="34"/>
      <c r="L51" s="34"/>
      <c r="M51" s="34"/>
      <c r="N51" s="34"/>
      <c r="O51" s="34"/>
      <c r="P51" s="51"/>
      <c r="Q51" s="54" t="str">
        <f aca="false">IF(A51="","",IF(I51="Gap identified",IF(OR(N51="Amended",N51="Accepted - exception approved",N51="No action required",N51="Not applicable",N51="Withdrawn"),"Gap dispositioned","Open gap"),IF(I51="Not reviewed","Not reviewed",IF(I51="Clause present - legal review pending","Present - legal review pending",IF(I51="Clause reviewed - no gap noted","Reviewed - no gap noted (not a legal compliance conclusion)",IF(I51="Not applicable","Not applicable","Not reviewed"))))))</f>
        <v/>
      </c>
      <c r="R51" s="54" t="str">
        <f aca="false">IF(A51="","",IF(COUNTIF(CON_ID,A51)&gt;1,"CHECK: duplicate ID",IF(B51="","CHECK: Supplier ID missing",IF(COUNTIF(INV_ID,B51)=0,"CHECK: Supplier ID not in inventory",IF(AND(F51&lt;&gt;"",COUNTIF(RSK_ID,F51)=0),"CHECK: Risk ID not found",IF(AND(F51&lt;&gt;"",COUNTIF(RSK_ID,F51)&gt;0,IFERROR(INDEX(RSK_SUP,MATCH(F51,RSK_ID,0)),"")&lt;&gt;B51),"CHECK: Risk belongs to a different supplier",IF(AND(N51="Accepted - exception approved",O51=""),"CHECK: exception approval reference missing","OK")))))))</f>
        <v/>
      </c>
      <c r="S51" s="61" t="str">
        <f aca="false">IF(OR(A51="",B51=""),"",IF(AND(Q51="Open gap",B51=RptSup),B51&amp;"|"&amp;COUNTIFS($B$7:B51,B51,$Q$7:Q51,"Open gap"),""))</f>
        <v/>
      </c>
    </row>
    <row r="52" customFormat="false" ht="15" hidden="false" customHeight="false" outlineLevel="0" collapsed="false">
      <c r="A52" s="50"/>
      <c r="B52" s="50"/>
      <c r="C52" s="59" t="str">
        <f aca="false">IF(B52="","",IFERROR(INDEX(INV_NAME,MATCH(B52,INV_ID,0)),"CHECK: Supplier ID not found"))</f>
        <v/>
      </c>
      <c r="D52" s="34"/>
      <c r="E52" s="34"/>
      <c r="F52" s="50"/>
      <c r="G52" s="34"/>
      <c r="H52" s="34"/>
      <c r="I52" s="34"/>
      <c r="J52" s="34"/>
      <c r="K52" s="34"/>
      <c r="L52" s="34"/>
      <c r="M52" s="34"/>
      <c r="N52" s="34"/>
      <c r="O52" s="34"/>
      <c r="P52" s="51"/>
      <c r="Q52" s="54" t="str">
        <f aca="false">IF(A52="","",IF(I52="Gap identified",IF(OR(N52="Amended",N52="Accepted - exception approved",N52="No action required",N52="Not applicable",N52="Withdrawn"),"Gap dispositioned","Open gap"),IF(I52="Not reviewed","Not reviewed",IF(I52="Clause present - legal review pending","Present - legal review pending",IF(I52="Clause reviewed - no gap noted","Reviewed - no gap noted (not a legal compliance conclusion)",IF(I52="Not applicable","Not applicable","Not reviewed"))))))</f>
        <v/>
      </c>
      <c r="R52" s="54" t="str">
        <f aca="false">IF(A52="","",IF(COUNTIF(CON_ID,A52)&gt;1,"CHECK: duplicate ID",IF(B52="","CHECK: Supplier ID missing",IF(COUNTIF(INV_ID,B52)=0,"CHECK: Supplier ID not in inventory",IF(AND(F52&lt;&gt;"",COUNTIF(RSK_ID,F52)=0),"CHECK: Risk ID not found",IF(AND(F52&lt;&gt;"",COUNTIF(RSK_ID,F52)&gt;0,IFERROR(INDEX(RSK_SUP,MATCH(F52,RSK_ID,0)),"")&lt;&gt;B52),"CHECK: Risk belongs to a different supplier",IF(AND(N52="Accepted - exception approved",O52=""),"CHECK: exception approval reference missing","OK")))))))</f>
        <v/>
      </c>
      <c r="S52" s="61" t="str">
        <f aca="false">IF(OR(A52="",B52=""),"",IF(AND(Q52="Open gap",B52=RptSup),B52&amp;"|"&amp;COUNTIFS($B$7:B52,B52,$Q$7:Q52,"Open gap"),""))</f>
        <v/>
      </c>
    </row>
    <row r="53" customFormat="false" ht="15" hidden="false" customHeight="false" outlineLevel="0" collapsed="false">
      <c r="A53" s="50"/>
      <c r="B53" s="50"/>
      <c r="C53" s="59" t="str">
        <f aca="false">IF(B53="","",IFERROR(INDEX(INV_NAME,MATCH(B53,INV_ID,0)),"CHECK: Supplier ID not found"))</f>
        <v/>
      </c>
      <c r="D53" s="34"/>
      <c r="E53" s="34"/>
      <c r="F53" s="50"/>
      <c r="G53" s="34"/>
      <c r="H53" s="34"/>
      <c r="I53" s="34"/>
      <c r="J53" s="34"/>
      <c r="K53" s="34"/>
      <c r="L53" s="34"/>
      <c r="M53" s="34"/>
      <c r="N53" s="34"/>
      <c r="O53" s="34"/>
      <c r="P53" s="51"/>
      <c r="Q53" s="54" t="str">
        <f aca="false">IF(A53="","",IF(I53="Gap identified",IF(OR(N53="Amended",N53="Accepted - exception approved",N53="No action required",N53="Not applicable",N53="Withdrawn"),"Gap dispositioned","Open gap"),IF(I53="Not reviewed","Not reviewed",IF(I53="Clause present - legal review pending","Present - legal review pending",IF(I53="Clause reviewed - no gap noted","Reviewed - no gap noted (not a legal compliance conclusion)",IF(I53="Not applicable","Not applicable","Not reviewed"))))))</f>
        <v/>
      </c>
      <c r="R53" s="54" t="str">
        <f aca="false">IF(A53="","",IF(COUNTIF(CON_ID,A53)&gt;1,"CHECK: duplicate ID",IF(B53="","CHECK: Supplier ID missing",IF(COUNTIF(INV_ID,B53)=0,"CHECK: Supplier ID not in inventory",IF(AND(F53&lt;&gt;"",COUNTIF(RSK_ID,F53)=0),"CHECK: Risk ID not found",IF(AND(F53&lt;&gt;"",COUNTIF(RSK_ID,F53)&gt;0,IFERROR(INDEX(RSK_SUP,MATCH(F53,RSK_ID,0)),"")&lt;&gt;B53),"CHECK: Risk belongs to a different supplier",IF(AND(N53="Accepted - exception approved",O53=""),"CHECK: exception approval reference missing","OK")))))))</f>
        <v/>
      </c>
      <c r="S53" s="61" t="str">
        <f aca="false">IF(OR(A53="",B53=""),"",IF(AND(Q53="Open gap",B53=RptSup),B53&amp;"|"&amp;COUNTIFS($B$7:B53,B53,$Q$7:Q53,"Open gap"),""))</f>
        <v/>
      </c>
    </row>
    <row r="54" customFormat="false" ht="15" hidden="false" customHeight="false" outlineLevel="0" collapsed="false">
      <c r="A54" s="50"/>
      <c r="B54" s="50"/>
      <c r="C54" s="59" t="str">
        <f aca="false">IF(B54="","",IFERROR(INDEX(INV_NAME,MATCH(B54,INV_ID,0)),"CHECK: Supplier ID not found"))</f>
        <v/>
      </c>
      <c r="D54" s="34"/>
      <c r="E54" s="34"/>
      <c r="F54" s="50"/>
      <c r="G54" s="34"/>
      <c r="H54" s="34"/>
      <c r="I54" s="34"/>
      <c r="J54" s="34"/>
      <c r="K54" s="34"/>
      <c r="L54" s="34"/>
      <c r="M54" s="34"/>
      <c r="N54" s="34"/>
      <c r="O54" s="34"/>
      <c r="P54" s="51"/>
      <c r="Q54" s="54" t="str">
        <f aca="false">IF(A54="","",IF(I54="Gap identified",IF(OR(N54="Amended",N54="Accepted - exception approved",N54="No action required",N54="Not applicable",N54="Withdrawn"),"Gap dispositioned","Open gap"),IF(I54="Not reviewed","Not reviewed",IF(I54="Clause present - legal review pending","Present - legal review pending",IF(I54="Clause reviewed - no gap noted","Reviewed - no gap noted (not a legal compliance conclusion)",IF(I54="Not applicable","Not applicable","Not reviewed"))))))</f>
        <v/>
      </c>
      <c r="R54" s="54" t="str">
        <f aca="false">IF(A54="","",IF(COUNTIF(CON_ID,A54)&gt;1,"CHECK: duplicate ID",IF(B54="","CHECK: Supplier ID missing",IF(COUNTIF(INV_ID,B54)=0,"CHECK: Supplier ID not in inventory",IF(AND(F54&lt;&gt;"",COUNTIF(RSK_ID,F54)=0),"CHECK: Risk ID not found",IF(AND(F54&lt;&gt;"",COUNTIF(RSK_ID,F54)&gt;0,IFERROR(INDEX(RSK_SUP,MATCH(F54,RSK_ID,0)),"")&lt;&gt;B54),"CHECK: Risk belongs to a different supplier",IF(AND(N54="Accepted - exception approved",O54=""),"CHECK: exception approval reference missing","OK")))))))</f>
        <v/>
      </c>
      <c r="S54" s="61" t="str">
        <f aca="false">IF(OR(A54="",B54=""),"",IF(AND(Q54="Open gap",B54=RptSup),B54&amp;"|"&amp;COUNTIFS($B$7:B54,B54,$Q$7:Q54,"Open gap"),""))</f>
        <v/>
      </c>
    </row>
    <row r="55" customFormat="false" ht="15" hidden="false" customHeight="false" outlineLevel="0" collapsed="false">
      <c r="A55" s="50"/>
      <c r="B55" s="50"/>
      <c r="C55" s="59" t="str">
        <f aca="false">IF(B55="","",IFERROR(INDEX(INV_NAME,MATCH(B55,INV_ID,0)),"CHECK: Supplier ID not found"))</f>
        <v/>
      </c>
      <c r="D55" s="34"/>
      <c r="E55" s="34"/>
      <c r="F55" s="50"/>
      <c r="G55" s="34"/>
      <c r="H55" s="34"/>
      <c r="I55" s="34"/>
      <c r="J55" s="34"/>
      <c r="K55" s="34"/>
      <c r="L55" s="34"/>
      <c r="M55" s="34"/>
      <c r="N55" s="34"/>
      <c r="O55" s="34"/>
      <c r="P55" s="51"/>
      <c r="Q55" s="54" t="str">
        <f aca="false">IF(A55="","",IF(I55="Gap identified",IF(OR(N55="Amended",N55="Accepted - exception approved",N55="No action required",N55="Not applicable",N55="Withdrawn"),"Gap dispositioned","Open gap"),IF(I55="Not reviewed","Not reviewed",IF(I55="Clause present - legal review pending","Present - legal review pending",IF(I55="Clause reviewed - no gap noted","Reviewed - no gap noted (not a legal compliance conclusion)",IF(I55="Not applicable","Not applicable","Not reviewed"))))))</f>
        <v/>
      </c>
      <c r="R55" s="54" t="str">
        <f aca="false">IF(A55="","",IF(COUNTIF(CON_ID,A55)&gt;1,"CHECK: duplicate ID",IF(B55="","CHECK: Supplier ID missing",IF(COUNTIF(INV_ID,B55)=0,"CHECK: Supplier ID not in inventory",IF(AND(F55&lt;&gt;"",COUNTIF(RSK_ID,F55)=0),"CHECK: Risk ID not found",IF(AND(F55&lt;&gt;"",COUNTIF(RSK_ID,F55)&gt;0,IFERROR(INDEX(RSK_SUP,MATCH(F55,RSK_ID,0)),"")&lt;&gt;B55),"CHECK: Risk belongs to a different supplier",IF(AND(N55="Accepted - exception approved",O55=""),"CHECK: exception approval reference missing","OK")))))))</f>
        <v/>
      </c>
      <c r="S55" s="61" t="str">
        <f aca="false">IF(OR(A55="",B55=""),"",IF(AND(Q55="Open gap",B55=RptSup),B55&amp;"|"&amp;COUNTIFS($B$7:B55,B55,$Q$7:Q55,"Open gap"),""))</f>
        <v/>
      </c>
    </row>
    <row r="56" customFormat="false" ht="15" hidden="false" customHeight="false" outlineLevel="0" collapsed="false">
      <c r="A56" s="50"/>
      <c r="B56" s="50"/>
      <c r="C56" s="59" t="str">
        <f aca="false">IF(B56="","",IFERROR(INDEX(INV_NAME,MATCH(B56,INV_ID,0)),"CHECK: Supplier ID not found"))</f>
        <v/>
      </c>
      <c r="D56" s="34"/>
      <c r="E56" s="34"/>
      <c r="F56" s="50"/>
      <c r="G56" s="34"/>
      <c r="H56" s="34"/>
      <c r="I56" s="34"/>
      <c r="J56" s="34"/>
      <c r="K56" s="34"/>
      <c r="L56" s="34"/>
      <c r="M56" s="34"/>
      <c r="N56" s="34"/>
      <c r="O56" s="34"/>
      <c r="P56" s="51"/>
      <c r="Q56" s="54" t="str">
        <f aca="false">IF(A56="","",IF(I56="Gap identified",IF(OR(N56="Amended",N56="Accepted - exception approved",N56="No action required",N56="Not applicable",N56="Withdrawn"),"Gap dispositioned","Open gap"),IF(I56="Not reviewed","Not reviewed",IF(I56="Clause present - legal review pending","Present - legal review pending",IF(I56="Clause reviewed - no gap noted","Reviewed - no gap noted (not a legal compliance conclusion)",IF(I56="Not applicable","Not applicable","Not reviewed"))))))</f>
        <v/>
      </c>
      <c r="R56" s="54" t="str">
        <f aca="false">IF(A56="","",IF(COUNTIF(CON_ID,A56)&gt;1,"CHECK: duplicate ID",IF(B56="","CHECK: Supplier ID missing",IF(COUNTIF(INV_ID,B56)=0,"CHECK: Supplier ID not in inventory",IF(AND(F56&lt;&gt;"",COUNTIF(RSK_ID,F56)=0),"CHECK: Risk ID not found",IF(AND(F56&lt;&gt;"",COUNTIF(RSK_ID,F56)&gt;0,IFERROR(INDEX(RSK_SUP,MATCH(F56,RSK_ID,0)),"")&lt;&gt;B56),"CHECK: Risk belongs to a different supplier",IF(AND(N56="Accepted - exception approved",O56=""),"CHECK: exception approval reference missing","OK")))))))</f>
        <v/>
      </c>
      <c r="S56" s="61" t="str">
        <f aca="false">IF(OR(A56="",B56=""),"",IF(AND(Q56="Open gap",B56=RptSup),B56&amp;"|"&amp;COUNTIFS($B$7:B56,B56,$Q$7:Q56,"Open gap"),""))</f>
        <v/>
      </c>
    </row>
    <row r="57" customFormat="false" ht="15" hidden="false" customHeight="false" outlineLevel="0" collapsed="false">
      <c r="A57" s="50"/>
      <c r="B57" s="50"/>
      <c r="C57" s="59" t="str">
        <f aca="false">IF(B57="","",IFERROR(INDEX(INV_NAME,MATCH(B57,INV_ID,0)),"CHECK: Supplier ID not found"))</f>
        <v/>
      </c>
      <c r="D57" s="34"/>
      <c r="E57" s="34"/>
      <c r="F57" s="50"/>
      <c r="G57" s="34"/>
      <c r="H57" s="34"/>
      <c r="I57" s="34"/>
      <c r="J57" s="34"/>
      <c r="K57" s="34"/>
      <c r="L57" s="34"/>
      <c r="M57" s="34"/>
      <c r="N57" s="34"/>
      <c r="O57" s="34"/>
      <c r="P57" s="51"/>
      <c r="Q57" s="54" t="str">
        <f aca="false">IF(A57="","",IF(I57="Gap identified",IF(OR(N57="Amended",N57="Accepted - exception approved",N57="No action required",N57="Not applicable",N57="Withdrawn"),"Gap dispositioned","Open gap"),IF(I57="Not reviewed","Not reviewed",IF(I57="Clause present - legal review pending","Present - legal review pending",IF(I57="Clause reviewed - no gap noted","Reviewed - no gap noted (not a legal compliance conclusion)",IF(I57="Not applicable","Not applicable","Not reviewed"))))))</f>
        <v/>
      </c>
      <c r="R57" s="54" t="str">
        <f aca="false">IF(A57="","",IF(COUNTIF(CON_ID,A57)&gt;1,"CHECK: duplicate ID",IF(B57="","CHECK: Supplier ID missing",IF(COUNTIF(INV_ID,B57)=0,"CHECK: Supplier ID not in inventory",IF(AND(F57&lt;&gt;"",COUNTIF(RSK_ID,F57)=0),"CHECK: Risk ID not found",IF(AND(F57&lt;&gt;"",COUNTIF(RSK_ID,F57)&gt;0,IFERROR(INDEX(RSK_SUP,MATCH(F57,RSK_ID,0)),"")&lt;&gt;B57),"CHECK: Risk belongs to a different supplier",IF(AND(N57="Accepted - exception approved",O57=""),"CHECK: exception approval reference missing","OK")))))))</f>
        <v/>
      </c>
      <c r="S57" s="61" t="str">
        <f aca="false">IF(OR(A57="",B57=""),"",IF(AND(Q57="Open gap",B57=RptSup),B57&amp;"|"&amp;COUNTIFS($B$7:B57,B57,$Q$7:Q57,"Open gap"),""))</f>
        <v/>
      </c>
    </row>
    <row r="58" customFormat="false" ht="15" hidden="false" customHeight="false" outlineLevel="0" collapsed="false">
      <c r="A58" s="50"/>
      <c r="B58" s="50"/>
      <c r="C58" s="59" t="str">
        <f aca="false">IF(B58="","",IFERROR(INDEX(INV_NAME,MATCH(B58,INV_ID,0)),"CHECK: Supplier ID not found"))</f>
        <v/>
      </c>
      <c r="D58" s="34"/>
      <c r="E58" s="34"/>
      <c r="F58" s="50"/>
      <c r="G58" s="34"/>
      <c r="H58" s="34"/>
      <c r="I58" s="34"/>
      <c r="J58" s="34"/>
      <c r="K58" s="34"/>
      <c r="L58" s="34"/>
      <c r="M58" s="34"/>
      <c r="N58" s="34"/>
      <c r="O58" s="34"/>
      <c r="P58" s="51"/>
      <c r="Q58" s="54" t="str">
        <f aca="false">IF(A58="","",IF(I58="Gap identified",IF(OR(N58="Amended",N58="Accepted - exception approved",N58="No action required",N58="Not applicable",N58="Withdrawn"),"Gap dispositioned","Open gap"),IF(I58="Not reviewed","Not reviewed",IF(I58="Clause present - legal review pending","Present - legal review pending",IF(I58="Clause reviewed - no gap noted","Reviewed - no gap noted (not a legal compliance conclusion)",IF(I58="Not applicable","Not applicable","Not reviewed"))))))</f>
        <v/>
      </c>
      <c r="R58" s="54" t="str">
        <f aca="false">IF(A58="","",IF(COUNTIF(CON_ID,A58)&gt;1,"CHECK: duplicate ID",IF(B58="","CHECK: Supplier ID missing",IF(COUNTIF(INV_ID,B58)=0,"CHECK: Supplier ID not in inventory",IF(AND(F58&lt;&gt;"",COUNTIF(RSK_ID,F58)=0),"CHECK: Risk ID not found",IF(AND(F58&lt;&gt;"",COUNTIF(RSK_ID,F58)&gt;0,IFERROR(INDEX(RSK_SUP,MATCH(F58,RSK_ID,0)),"")&lt;&gt;B58),"CHECK: Risk belongs to a different supplier",IF(AND(N58="Accepted - exception approved",O58=""),"CHECK: exception approval reference missing","OK")))))))</f>
        <v/>
      </c>
      <c r="S58" s="61" t="str">
        <f aca="false">IF(OR(A58="",B58=""),"",IF(AND(Q58="Open gap",B58=RptSup),B58&amp;"|"&amp;COUNTIFS($B$7:B58,B58,$Q$7:Q58,"Open gap"),""))</f>
        <v/>
      </c>
    </row>
    <row r="59" customFormat="false" ht="15" hidden="false" customHeight="false" outlineLevel="0" collapsed="false">
      <c r="A59" s="50"/>
      <c r="B59" s="50"/>
      <c r="C59" s="59" t="str">
        <f aca="false">IF(B59="","",IFERROR(INDEX(INV_NAME,MATCH(B59,INV_ID,0)),"CHECK: Supplier ID not found"))</f>
        <v/>
      </c>
      <c r="D59" s="34"/>
      <c r="E59" s="34"/>
      <c r="F59" s="50"/>
      <c r="G59" s="34"/>
      <c r="H59" s="34"/>
      <c r="I59" s="34"/>
      <c r="J59" s="34"/>
      <c r="K59" s="34"/>
      <c r="L59" s="34"/>
      <c r="M59" s="34"/>
      <c r="N59" s="34"/>
      <c r="O59" s="34"/>
      <c r="P59" s="51"/>
      <c r="Q59" s="54" t="str">
        <f aca="false">IF(A59="","",IF(I59="Gap identified",IF(OR(N59="Amended",N59="Accepted - exception approved",N59="No action required",N59="Not applicable",N59="Withdrawn"),"Gap dispositioned","Open gap"),IF(I59="Not reviewed","Not reviewed",IF(I59="Clause present - legal review pending","Present - legal review pending",IF(I59="Clause reviewed - no gap noted","Reviewed - no gap noted (not a legal compliance conclusion)",IF(I59="Not applicable","Not applicable","Not reviewed"))))))</f>
        <v/>
      </c>
      <c r="R59" s="54" t="str">
        <f aca="false">IF(A59="","",IF(COUNTIF(CON_ID,A59)&gt;1,"CHECK: duplicate ID",IF(B59="","CHECK: Supplier ID missing",IF(COUNTIF(INV_ID,B59)=0,"CHECK: Supplier ID not in inventory",IF(AND(F59&lt;&gt;"",COUNTIF(RSK_ID,F59)=0),"CHECK: Risk ID not found",IF(AND(F59&lt;&gt;"",COUNTIF(RSK_ID,F59)&gt;0,IFERROR(INDEX(RSK_SUP,MATCH(F59,RSK_ID,0)),"")&lt;&gt;B59),"CHECK: Risk belongs to a different supplier",IF(AND(N59="Accepted - exception approved",O59=""),"CHECK: exception approval reference missing","OK")))))))</f>
        <v/>
      </c>
      <c r="S59" s="61" t="str">
        <f aca="false">IF(OR(A59="",B59=""),"",IF(AND(Q59="Open gap",B59=RptSup),B59&amp;"|"&amp;COUNTIFS($B$7:B59,B59,$Q$7:Q59,"Open gap"),""))</f>
        <v/>
      </c>
    </row>
    <row r="60" customFormat="false" ht="15" hidden="false" customHeight="false" outlineLevel="0" collapsed="false">
      <c r="A60" s="50"/>
      <c r="B60" s="50"/>
      <c r="C60" s="59" t="str">
        <f aca="false">IF(B60="","",IFERROR(INDEX(INV_NAME,MATCH(B60,INV_ID,0)),"CHECK: Supplier ID not found"))</f>
        <v/>
      </c>
      <c r="D60" s="34"/>
      <c r="E60" s="34"/>
      <c r="F60" s="50"/>
      <c r="G60" s="34"/>
      <c r="H60" s="34"/>
      <c r="I60" s="34"/>
      <c r="J60" s="34"/>
      <c r="K60" s="34"/>
      <c r="L60" s="34"/>
      <c r="M60" s="34"/>
      <c r="N60" s="34"/>
      <c r="O60" s="34"/>
      <c r="P60" s="51"/>
      <c r="Q60" s="54" t="str">
        <f aca="false">IF(A60="","",IF(I60="Gap identified",IF(OR(N60="Amended",N60="Accepted - exception approved",N60="No action required",N60="Not applicable",N60="Withdrawn"),"Gap dispositioned","Open gap"),IF(I60="Not reviewed","Not reviewed",IF(I60="Clause present - legal review pending","Present - legal review pending",IF(I60="Clause reviewed - no gap noted","Reviewed - no gap noted (not a legal compliance conclusion)",IF(I60="Not applicable","Not applicable","Not reviewed"))))))</f>
        <v/>
      </c>
      <c r="R60" s="54" t="str">
        <f aca="false">IF(A60="","",IF(COUNTIF(CON_ID,A60)&gt;1,"CHECK: duplicate ID",IF(B60="","CHECK: Supplier ID missing",IF(COUNTIF(INV_ID,B60)=0,"CHECK: Supplier ID not in inventory",IF(AND(F60&lt;&gt;"",COUNTIF(RSK_ID,F60)=0),"CHECK: Risk ID not found",IF(AND(F60&lt;&gt;"",COUNTIF(RSK_ID,F60)&gt;0,IFERROR(INDEX(RSK_SUP,MATCH(F60,RSK_ID,0)),"")&lt;&gt;B60),"CHECK: Risk belongs to a different supplier",IF(AND(N60="Accepted - exception approved",O60=""),"CHECK: exception approval reference missing","OK")))))))</f>
        <v/>
      </c>
      <c r="S60" s="61" t="str">
        <f aca="false">IF(OR(A60="",B60=""),"",IF(AND(Q60="Open gap",B60=RptSup),B60&amp;"|"&amp;COUNTIFS($B$7:B60,B60,$Q$7:Q60,"Open gap"),""))</f>
        <v/>
      </c>
    </row>
    <row r="61" customFormat="false" ht="15" hidden="false" customHeight="false" outlineLevel="0" collapsed="false">
      <c r="A61" s="50"/>
      <c r="B61" s="50"/>
      <c r="C61" s="59" t="str">
        <f aca="false">IF(B61="","",IFERROR(INDEX(INV_NAME,MATCH(B61,INV_ID,0)),"CHECK: Supplier ID not found"))</f>
        <v/>
      </c>
      <c r="D61" s="34"/>
      <c r="E61" s="34"/>
      <c r="F61" s="50"/>
      <c r="G61" s="34"/>
      <c r="H61" s="34"/>
      <c r="I61" s="34"/>
      <c r="J61" s="34"/>
      <c r="K61" s="34"/>
      <c r="L61" s="34"/>
      <c r="M61" s="34"/>
      <c r="N61" s="34"/>
      <c r="O61" s="34"/>
      <c r="P61" s="51"/>
      <c r="Q61" s="54" t="str">
        <f aca="false">IF(A61="","",IF(I61="Gap identified",IF(OR(N61="Amended",N61="Accepted - exception approved",N61="No action required",N61="Not applicable",N61="Withdrawn"),"Gap dispositioned","Open gap"),IF(I61="Not reviewed","Not reviewed",IF(I61="Clause present - legal review pending","Present - legal review pending",IF(I61="Clause reviewed - no gap noted","Reviewed - no gap noted (not a legal compliance conclusion)",IF(I61="Not applicable","Not applicable","Not reviewed"))))))</f>
        <v/>
      </c>
      <c r="R61" s="54" t="str">
        <f aca="false">IF(A61="","",IF(COUNTIF(CON_ID,A61)&gt;1,"CHECK: duplicate ID",IF(B61="","CHECK: Supplier ID missing",IF(COUNTIF(INV_ID,B61)=0,"CHECK: Supplier ID not in inventory",IF(AND(F61&lt;&gt;"",COUNTIF(RSK_ID,F61)=0),"CHECK: Risk ID not found",IF(AND(F61&lt;&gt;"",COUNTIF(RSK_ID,F61)&gt;0,IFERROR(INDEX(RSK_SUP,MATCH(F61,RSK_ID,0)),"")&lt;&gt;B61),"CHECK: Risk belongs to a different supplier",IF(AND(N61="Accepted - exception approved",O61=""),"CHECK: exception approval reference missing","OK")))))))</f>
        <v/>
      </c>
      <c r="S61" s="61" t="str">
        <f aca="false">IF(OR(A61="",B61=""),"",IF(AND(Q61="Open gap",B61=RptSup),B61&amp;"|"&amp;COUNTIFS($B$7:B61,B61,$Q$7:Q61,"Open gap"),""))</f>
        <v/>
      </c>
    </row>
    <row r="62" customFormat="false" ht="15" hidden="false" customHeight="false" outlineLevel="0" collapsed="false">
      <c r="A62" s="50"/>
      <c r="B62" s="50"/>
      <c r="C62" s="59" t="str">
        <f aca="false">IF(B62="","",IFERROR(INDEX(INV_NAME,MATCH(B62,INV_ID,0)),"CHECK: Supplier ID not found"))</f>
        <v/>
      </c>
      <c r="D62" s="34"/>
      <c r="E62" s="34"/>
      <c r="F62" s="50"/>
      <c r="G62" s="34"/>
      <c r="H62" s="34"/>
      <c r="I62" s="34"/>
      <c r="J62" s="34"/>
      <c r="K62" s="34"/>
      <c r="L62" s="34"/>
      <c r="M62" s="34"/>
      <c r="N62" s="34"/>
      <c r="O62" s="34"/>
      <c r="P62" s="51"/>
      <c r="Q62" s="54" t="str">
        <f aca="false">IF(A62="","",IF(I62="Gap identified",IF(OR(N62="Amended",N62="Accepted - exception approved",N62="No action required",N62="Not applicable",N62="Withdrawn"),"Gap dispositioned","Open gap"),IF(I62="Not reviewed","Not reviewed",IF(I62="Clause present - legal review pending","Present - legal review pending",IF(I62="Clause reviewed - no gap noted","Reviewed - no gap noted (not a legal compliance conclusion)",IF(I62="Not applicable","Not applicable","Not reviewed"))))))</f>
        <v/>
      </c>
      <c r="R62" s="54" t="str">
        <f aca="false">IF(A62="","",IF(COUNTIF(CON_ID,A62)&gt;1,"CHECK: duplicate ID",IF(B62="","CHECK: Supplier ID missing",IF(COUNTIF(INV_ID,B62)=0,"CHECK: Supplier ID not in inventory",IF(AND(F62&lt;&gt;"",COUNTIF(RSK_ID,F62)=0),"CHECK: Risk ID not found",IF(AND(F62&lt;&gt;"",COUNTIF(RSK_ID,F62)&gt;0,IFERROR(INDEX(RSK_SUP,MATCH(F62,RSK_ID,0)),"")&lt;&gt;B62),"CHECK: Risk belongs to a different supplier",IF(AND(N62="Accepted - exception approved",O62=""),"CHECK: exception approval reference missing","OK")))))))</f>
        <v/>
      </c>
      <c r="S62" s="61" t="str">
        <f aca="false">IF(OR(A62="",B62=""),"",IF(AND(Q62="Open gap",B62=RptSup),B62&amp;"|"&amp;COUNTIFS($B$7:B62,B62,$Q$7:Q62,"Open gap"),""))</f>
        <v/>
      </c>
    </row>
    <row r="63" customFormat="false" ht="15" hidden="false" customHeight="false" outlineLevel="0" collapsed="false">
      <c r="A63" s="50"/>
      <c r="B63" s="50"/>
      <c r="C63" s="59" t="str">
        <f aca="false">IF(B63="","",IFERROR(INDEX(INV_NAME,MATCH(B63,INV_ID,0)),"CHECK: Supplier ID not found"))</f>
        <v/>
      </c>
      <c r="D63" s="34"/>
      <c r="E63" s="34"/>
      <c r="F63" s="50"/>
      <c r="G63" s="34"/>
      <c r="H63" s="34"/>
      <c r="I63" s="34"/>
      <c r="J63" s="34"/>
      <c r="K63" s="34"/>
      <c r="L63" s="34"/>
      <c r="M63" s="34"/>
      <c r="N63" s="34"/>
      <c r="O63" s="34"/>
      <c r="P63" s="51"/>
      <c r="Q63" s="54" t="str">
        <f aca="false">IF(A63="","",IF(I63="Gap identified",IF(OR(N63="Amended",N63="Accepted - exception approved",N63="No action required",N63="Not applicable",N63="Withdrawn"),"Gap dispositioned","Open gap"),IF(I63="Not reviewed","Not reviewed",IF(I63="Clause present - legal review pending","Present - legal review pending",IF(I63="Clause reviewed - no gap noted","Reviewed - no gap noted (not a legal compliance conclusion)",IF(I63="Not applicable","Not applicable","Not reviewed"))))))</f>
        <v/>
      </c>
      <c r="R63" s="54" t="str">
        <f aca="false">IF(A63="","",IF(COUNTIF(CON_ID,A63)&gt;1,"CHECK: duplicate ID",IF(B63="","CHECK: Supplier ID missing",IF(COUNTIF(INV_ID,B63)=0,"CHECK: Supplier ID not in inventory",IF(AND(F63&lt;&gt;"",COUNTIF(RSK_ID,F63)=0),"CHECK: Risk ID not found",IF(AND(F63&lt;&gt;"",COUNTIF(RSK_ID,F63)&gt;0,IFERROR(INDEX(RSK_SUP,MATCH(F63,RSK_ID,0)),"")&lt;&gt;B63),"CHECK: Risk belongs to a different supplier",IF(AND(N63="Accepted - exception approved",O63=""),"CHECK: exception approval reference missing","OK")))))))</f>
        <v/>
      </c>
      <c r="S63" s="61" t="str">
        <f aca="false">IF(OR(A63="",B63=""),"",IF(AND(Q63="Open gap",B63=RptSup),B63&amp;"|"&amp;COUNTIFS($B$7:B63,B63,$Q$7:Q63,"Open gap"),""))</f>
        <v/>
      </c>
    </row>
    <row r="64" customFormat="false" ht="15" hidden="false" customHeight="false" outlineLevel="0" collapsed="false">
      <c r="A64" s="50"/>
      <c r="B64" s="50"/>
      <c r="C64" s="59" t="str">
        <f aca="false">IF(B64="","",IFERROR(INDEX(INV_NAME,MATCH(B64,INV_ID,0)),"CHECK: Supplier ID not found"))</f>
        <v/>
      </c>
      <c r="D64" s="34"/>
      <c r="E64" s="34"/>
      <c r="F64" s="50"/>
      <c r="G64" s="34"/>
      <c r="H64" s="34"/>
      <c r="I64" s="34"/>
      <c r="J64" s="34"/>
      <c r="K64" s="34"/>
      <c r="L64" s="34"/>
      <c r="M64" s="34"/>
      <c r="N64" s="34"/>
      <c r="O64" s="34"/>
      <c r="P64" s="51"/>
      <c r="Q64" s="54" t="str">
        <f aca="false">IF(A64="","",IF(I64="Gap identified",IF(OR(N64="Amended",N64="Accepted - exception approved",N64="No action required",N64="Not applicable",N64="Withdrawn"),"Gap dispositioned","Open gap"),IF(I64="Not reviewed","Not reviewed",IF(I64="Clause present - legal review pending","Present - legal review pending",IF(I64="Clause reviewed - no gap noted","Reviewed - no gap noted (not a legal compliance conclusion)",IF(I64="Not applicable","Not applicable","Not reviewed"))))))</f>
        <v/>
      </c>
      <c r="R64" s="54" t="str">
        <f aca="false">IF(A64="","",IF(COUNTIF(CON_ID,A64)&gt;1,"CHECK: duplicate ID",IF(B64="","CHECK: Supplier ID missing",IF(COUNTIF(INV_ID,B64)=0,"CHECK: Supplier ID not in inventory",IF(AND(F64&lt;&gt;"",COUNTIF(RSK_ID,F64)=0),"CHECK: Risk ID not found",IF(AND(F64&lt;&gt;"",COUNTIF(RSK_ID,F64)&gt;0,IFERROR(INDEX(RSK_SUP,MATCH(F64,RSK_ID,0)),"")&lt;&gt;B64),"CHECK: Risk belongs to a different supplier",IF(AND(N64="Accepted - exception approved",O64=""),"CHECK: exception approval reference missing","OK")))))))</f>
        <v/>
      </c>
      <c r="S64" s="61" t="str">
        <f aca="false">IF(OR(A64="",B64=""),"",IF(AND(Q64="Open gap",B64=RptSup),B64&amp;"|"&amp;COUNTIFS($B$7:B64,B64,$Q$7:Q64,"Open gap"),""))</f>
        <v/>
      </c>
    </row>
    <row r="65" customFormat="false" ht="15" hidden="false" customHeight="false" outlineLevel="0" collapsed="false">
      <c r="A65" s="50"/>
      <c r="B65" s="50"/>
      <c r="C65" s="59" t="str">
        <f aca="false">IF(B65="","",IFERROR(INDEX(INV_NAME,MATCH(B65,INV_ID,0)),"CHECK: Supplier ID not found"))</f>
        <v/>
      </c>
      <c r="D65" s="34"/>
      <c r="E65" s="34"/>
      <c r="F65" s="50"/>
      <c r="G65" s="34"/>
      <c r="H65" s="34"/>
      <c r="I65" s="34"/>
      <c r="J65" s="34"/>
      <c r="K65" s="34"/>
      <c r="L65" s="34"/>
      <c r="M65" s="34"/>
      <c r="N65" s="34"/>
      <c r="O65" s="34"/>
      <c r="P65" s="51"/>
      <c r="Q65" s="54" t="str">
        <f aca="false">IF(A65="","",IF(I65="Gap identified",IF(OR(N65="Amended",N65="Accepted - exception approved",N65="No action required",N65="Not applicable",N65="Withdrawn"),"Gap dispositioned","Open gap"),IF(I65="Not reviewed","Not reviewed",IF(I65="Clause present - legal review pending","Present - legal review pending",IF(I65="Clause reviewed - no gap noted","Reviewed - no gap noted (not a legal compliance conclusion)",IF(I65="Not applicable","Not applicable","Not reviewed"))))))</f>
        <v/>
      </c>
      <c r="R65" s="54" t="str">
        <f aca="false">IF(A65="","",IF(COUNTIF(CON_ID,A65)&gt;1,"CHECK: duplicate ID",IF(B65="","CHECK: Supplier ID missing",IF(COUNTIF(INV_ID,B65)=0,"CHECK: Supplier ID not in inventory",IF(AND(F65&lt;&gt;"",COUNTIF(RSK_ID,F65)=0),"CHECK: Risk ID not found",IF(AND(F65&lt;&gt;"",COUNTIF(RSK_ID,F65)&gt;0,IFERROR(INDEX(RSK_SUP,MATCH(F65,RSK_ID,0)),"")&lt;&gt;B65),"CHECK: Risk belongs to a different supplier",IF(AND(N65="Accepted - exception approved",O65=""),"CHECK: exception approval reference missing","OK")))))))</f>
        <v/>
      </c>
      <c r="S65" s="61" t="str">
        <f aca="false">IF(OR(A65="",B65=""),"",IF(AND(Q65="Open gap",B65=RptSup),B65&amp;"|"&amp;COUNTIFS($B$7:B65,B65,$Q$7:Q65,"Open gap"),""))</f>
        <v/>
      </c>
    </row>
    <row r="66" customFormat="false" ht="15" hidden="false" customHeight="false" outlineLevel="0" collapsed="false">
      <c r="A66" s="50"/>
      <c r="B66" s="50"/>
      <c r="C66" s="59" t="str">
        <f aca="false">IF(B66="","",IFERROR(INDEX(INV_NAME,MATCH(B66,INV_ID,0)),"CHECK: Supplier ID not found"))</f>
        <v/>
      </c>
      <c r="D66" s="34"/>
      <c r="E66" s="34"/>
      <c r="F66" s="50"/>
      <c r="G66" s="34"/>
      <c r="H66" s="34"/>
      <c r="I66" s="34"/>
      <c r="J66" s="34"/>
      <c r="K66" s="34"/>
      <c r="L66" s="34"/>
      <c r="M66" s="34"/>
      <c r="N66" s="34"/>
      <c r="O66" s="34"/>
      <c r="P66" s="51"/>
      <c r="Q66" s="54" t="str">
        <f aca="false">IF(A66="","",IF(I66="Gap identified",IF(OR(N66="Amended",N66="Accepted - exception approved",N66="No action required",N66="Not applicable",N66="Withdrawn"),"Gap dispositioned","Open gap"),IF(I66="Not reviewed","Not reviewed",IF(I66="Clause present - legal review pending","Present - legal review pending",IF(I66="Clause reviewed - no gap noted","Reviewed - no gap noted (not a legal compliance conclusion)",IF(I66="Not applicable","Not applicable","Not reviewed"))))))</f>
        <v/>
      </c>
      <c r="R66" s="54" t="str">
        <f aca="false">IF(A66="","",IF(COUNTIF(CON_ID,A66)&gt;1,"CHECK: duplicate ID",IF(B66="","CHECK: Supplier ID missing",IF(COUNTIF(INV_ID,B66)=0,"CHECK: Supplier ID not in inventory",IF(AND(F66&lt;&gt;"",COUNTIF(RSK_ID,F66)=0),"CHECK: Risk ID not found",IF(AND(F66&lt;&gt;"",COUNTIF(RSK_ID,F66)&gt;0,IFERROR(INDEX(RSK_SUP,MATCH(F66,RSK_ID,0)),"")&lt;&gt;B66),"CHECK: Risk belongs to a different supplier",IF(AND(N66="Accepted - exception approved",O66=""),"CHECK: exception approval reference missing","OK")))))))</f>
        <v/>
      </c>
      <c r="S66" s="61" t="str">
        <f aca="false">IF(OR(A66="",B66=""),"",IF(AND(Q66="Open gap",B66=RptSup),B66&amp;"|"&amp;COUNTIFS($B$7:B66,B66,$Q$7:Q66,"Open gap"),""))</f>
        <v/>
      </c>
    </row>
    <row r="67" customFormat="false" ht="15" hidden="false" customHeight="false" outlineLevel="0" collapsed="false">
      <c r="A67" s="50"/>
      <c r="B67" s="50"/>
      <c r="C67" s="59" t="str">
        <f aca="false">IF(B67="","",IFERROR(INDEX(INV_NAME,MATCH(B67,INV_ID,0)),"CHECK: Supplier ID not found"))</f>
        <v/>
      </c>
      <c r="D67" s="34"/>
      <c r="E67" s="34"/>
      <c r="F67" s="50"/>
      <c r="G67" s="34"/>
      <c r="H67" s="34"/>
      <c r="I67" s="34"/>
      <c r="J67" s="34"/>
      <c r="K67" s="34"/>
      <c r="L67" s="34"/>
      <c r="M67" s="34"/>
      <c r="N67" s="34"/>
      <c r="O67" s="34"/>
      <c r="P67" s="51"/>
      <c r="Q67" s="54" t="str">
        <f aca="false">IF(A67="","",IF(I67="Gap identified",IF(OR(N67="Amended",N67="Accepted - exception approved",N67="No action required",N67="Not applicable",N67="Withdrawn"),"Gap dispositioned","Open gap"),IF(I67="Not reviewed","Not reviewed",IF(I67="Clause present - legal review pending","Present - legal review pending",IF(I67="Clause reviewed - no gap noted","Reviewed - no gap noted (not a legal compliance conclusion)",IF(I67="Not applicable","Not applicable","Not reviewed"))))))</f>
        <v/>
      </c>
      <c r="R67" s="54" t="str">
        <f aca="false">IF(A67="","",IF(COUNTIF(CON_ID,A67)&gt;1,"CHECK: duplicate ID",IF(B67="","CHECK: Supplier ID missing",IF(COUNTIF(INV_ID,B67)=0,"CHECK: Supplier ID not in inventory",IF(AND(F67&lt;&gt;"",COUNTIF(RSK_ID,F67)=0),"CHECK: Risk ID not found",IF(AND(F67&lt;&gt;"",COUNTIF(RSK_ID,F67)&gt;0,IFERROR(INDEX(RSK_SUP,MATCH(F67,RSK_ID,0)),"")&lt;&gt;B67),"CHECK: Risk belongs to a different supplier",IF(AND(N67="Accepted - exception approved",O67=""),"CHECK: exception approval reference missing","OK")))))))</f>
        <v/>
      </c>
      <c r="S67" s="61" t="str">
        <f aca="false">IF(OR(A67="",B67=""),"",IF(AND(Q67="Open gap",B67=RptSup),B67&amp;"|"&amp;COUNTIFS($B$7:B67,B67,$Q$7:Q67,"Open gap"),""))</f>
        <v/>
      </c>
    </row>
    <row r="68" customFormat="false" ht="15" hidden="false" customHeight="false" outlineLevel="0" collapsed="false">
      <c r="A68" s="50"/>
      <c r="B68" s="50"/>
      <c r="C68" s="59" t="str">
        <f aca="false">IF(B68="","",IFERROR(INDEX(INV_NAME,MATCH(B68,INV_ID,0)),"CHECK: Supplier ID not found"))</f>
        <v/>
      </c>
      <c r="D68" s="34"/>
      <c r="E68" s="34"/>
      <c r="F68" s="50"/>
      <c r="G68" s="34"/>
      <c r="H68" s="34"/>
      <c r="I68" s="34"/>
      <c r="J68" s="34"/>
      <c r="K68" s="34"/>
      <c r="L68" s="34"/>
      <c r="M68" s="34"/>
      <c r="N68" s="34"/>
      <c r="O68" s="34"/>
      <c r="P68" s="51"/>
      <c r="Q68" s="54" t="str">
        <f aca="false">IF(A68="","",IF(I68="Gap identified",IF(OR(N68="Amended",N68="Accepted - exception approved",N68="No action required",N68="Not applicable",N68="Withdrawn"),"Gap dispositioned","Open gap"),IF(I68="Not reviewed","Not reviewed",IF(I68="Clause present - legal review pending","Present - legal review pending",IF(I68="Clause reviewed - no gap noted","Reviewed - no gap noted (not a legal compliance conclusion)",IF(I68="Not applicable","Not applicable","Not reviewed"))))))</f>
        <v/>
      </c>
      <c r="R68" s="54" t="str">
        <f aca="false">IF(A68="","",IF(COUNTIF(CON_ID,A68)&gt;1,"CHECK: duplicate ID",IF(B68="","CHECK: Supplier ID missing",IF(COUNTIF(INV_ID,B68)=0,"CHECK: Supplier ID not in inventory",IF(AND(F68&lt;&gt;"",COUNTIF(RSK_ID,F68)=0),"CHECK: Risk ID not found",IF(AND(F68&lt;&gt;"",COUNTIF(RSK_ID,F68)&gt;0,IFERROR(INDEX(RSK_SUP,MATCH(F68,RSK_ID,0)),"")&lt;&gt;B68),"CHECK: Risk belongs to a different supplier",IF(AND(N68="Accepted - exception approved",O68=""),"CHECK: exception approval reference missing","OK")))))))</f>
        <v/>
      </c>
      <c r="S68" s="61" t="str">
        <f aca="false">IF(OR(A68="",B68=""),"",IF(AND(Q68="Open gap",B68=RptSup),B68&amp;"|"&amp;COUNTIFS($B$7:B68,B68,$Q$7:Q68,"Open gap"),""))</f>
        <v/>
      </c>
    </row>
    <row r="69" customFormat="false" ht="15" hidden="false" customHeight="false" outlineLevel="0" collapsed="false">
      <c r="A69" s="50"/>
      <c r="B69" s="50"/>
      <c r="C69" s="59" t="str">
        <f aca="false">IF(B69="","",IFERROR(INDEX(INV_NAME,MATCH(B69,INV_ID,0)),"CHECK: Supplier ID not found"))</f>
        <v/>
      </c>
      <c r="D69" s="34"/>
      <c r="E69" s="34"/>
      <c r="F69" s="50"/>
      <c r="G69" s="34"/>
      <c r="H69" s="34"/>
      <c r="I69" s="34"/>
      <c r="J69" s="34"/>
      <c r="K69" s="34"/>
      <c r="L69" s="34"/>
      <c r="M69" s="34"/>
      <c r="N69" s="34"/>
      <c r="O69" s="34"/>
      <c r="P69" s="51"/>
      <c r="Q69" s="54" t="str">
        <f aca="false">IF(A69="","",IF(I69="Gap identified",IF(OR(N69="Amended",N69="Accepted - exception approved",N69="No action required",N69="Not applicable",N69="Withdrawn"),"Gap dispositioned","Open gap"),IF(I69="Not reviewed","Not reviewed",IF(I69="Clause present - legal review pending","Present - legal review pending",IF(I69="Clause reviewed - no gap noted","Reviewed - no gap noted (not a legal compliance conclusion)",IF(I69="Not applicable","Not applicable","Not reviewed"))))))</f>
        <v/>
      </c>
      <c r="R69" s="54" t="str">
        <f aca="false">IF(A69="","",IF(COUNTIF(CON_ID,A69)&gt;1,"CHECK: duplicate ID",IF(B69="","CHECK: Supplier ID missing",IF(COUNTIF(INV_ID,B69)=0,"CHECK: Supplier ID not in inventory",IF(AND(F69&lt;&gt;"",COUNTIF(RSK_ID,F69)=0),"CHECK: Risk ID not found",IF(AND(F69&lt;&gt;"",COUNTIF(RSK_ID,F69)&gt;0,IFERROR(INDEX(RSK_SUP,MATCH(F69,RSK_ID,0)),"")&lt;&gt;B69),"CHECK: Risk belongs to a different supplier",IF(AND(N69="Accepted - exception approved",O69=""),"CHECK: exception approval reference missing","OK")))))))</f>
        <v/>
      </c>
      <c r="S69" s="61" t="str">
        <f aca="false">IF(OR(A69="",B69=""),"",IF(AND(Q69="Open gap",B69=RptSup),B69&amp;"|"&amp;COUNTIFS($B$7:B69,B69,$Q$7:Q69,"Open gap"),""))</f>
        <v/>
      </c>
    </row>
    <row r="70" customFormat="false" ht="15" hidden="false" customHeight="false" outlineLevel="0" collapsed="false">
      <c r="A70" s="50"/>
      <c r="B70" s="50"/>
      <c r="C70" s="59" t="str">
        <f aca="false">IF(B70="","",IFERROR(INDEX(INV_NAME,MATCH(B70,INV_ID,0)),"CHECK: Supplier ID not found"))</f>
        <v/>
      </c>
      <c r="D70" s="34"/>
      <c r="E70" s="34"/>
      <c r="F70" s="50"/>
      <c r="G70" s="34"/>
      <c r="H70" s="34"/>
      <c r="I70" s="34"/>
      <c r="J70" s="34"/>
      <c r="K70" s="34"/>
      <c r="L70" s="34"/>
      <c r="M70" s="34"/>
      <c r="N70" s="34"/>
      <c r="O70" s="34"/>
      <c r="P70" s="51"/>
      <c r="Q70" s="54" t="str">
        <f aca="false">IF(A70="","",IF(I70="Gap identified",IF(OR(N70="Amended",N70="Accepted - exception approved",N70="No action required",N70="Not applicable",N70="Withdrawn"),"Gap dispositioned","Open gap"),IF(I70="Not reviewed","Not reviewed",IF(I70="Clause present - legal review pending","Present - legal review pending",IF(I70="Clause reviewed - no gap noted","Reviewed - no gap noted (not a legal compliance conclusion)",IF(I70="Not applicable","Not applicable","Not reviewed"))))))</f>
        <v/>
      </c>
      <c r="R70" s="54" t="str">
        <f aca="false">IF(A70="","",IF(COUNTIF(CON_ID,A70)&gt;1,"CHECK: duplicate ID",IF(B70="","CHECK: Supplier ID missing",IF(COUNTIF(INV_ID,B70)=0,"CHECK: Supplier ID not in inventory",IF(AND(F70&lt;&gt;"",COUNTIF(RSK_ID,F70)=0),"CHECK: Risk ID not found",IF(AND(F70&lt;&gt;"",COUNTIF(RSK_ID,F70)&gt;0,IFERROR(INDEX(RSK_SUP,MATCH(F70,RSK_ID,0)),"")&lt;&gt;B70),"CHECK: Risk belongs to a different supplier",IF(AND(N70="Accepted - exception approved",O70=""),"CHECK: exception approval reference missing","OK")))))))</f>
        <v/>
      </c>
      <c r="S70" s="61" t="str">
        <f aca="false">IF(OR(A70="",B70=""),"",IF(AND(Q70="Open gap",B70=RptSup),B70&amp;"|"&amp;COUNTIFS($B$7:B70,B70,$Q$7:Q70,"Open gap"),""))</f>
        <v/>
      </c>
    </row>
    <row r="71" customFormat="false" ht="15" hidden="false" customHeight="false" outlineLevel="0" collapsed="false">
      <c r="A71" s="50"/>
      <c r="B71" s="50"/>
      <c r="C71" s="59" t="str">
        <f aca="false">IF(B71="","",IFERROR(INDEX(INV_NAME,MATCH(B71,INV_ID,0)),"CHECK: Supplier ID not found"))</f>
        <v/>
      </c>
      <c r="D71" s="34"/>
      <c r="E71" s="34"/>
      <c r="F71" s="50"/>
      <c r="G71" s="34"/>
      <c r="H71" s="34"/>
      <c r="I71" s="34"/>
      <c r="J71" s="34"/>
      <c r="K71" s="34"/>
      <c r="L71" s="34"/>
      <c r="M71" s="34"/>
      <c r="N71" s="34"/>
      <c r="O71" s="34"/>
      <c r="P71" s="51"/>
      <c r="Q71" s="54" t="str">
        <f aca="false">IF(A71="","",IF(I71="Gap identified",IF(OR(N71="Amended",N71="Accepted - exception approved",N71="No action required",N71="Not applicable",N71="Withdrawn"),"Gap dispositioned","Open gap"),IF(I71="Not reviewed","Not reviewed",IF(I71="Clause present - legal review pending","Present - legal review pending",IF(I71="Clause reviewed - no gap noted","Reviewed - no gap noted (not a legal compliance conclusion)",IF(I71="Not applicable","Not applicable","Not reviewed"))))))</f>
        <v/>
      </c>
      <c r="R71" s="54" t="str">
        <f aca="false">IF(A71="","",IF(COUNTIF(CON_ID,A71)&gt;1,"CHECK: duplicate ID",IF(B71="","CHECK: Supplier ID missing",IF(COUNTIF(INV_ID,B71)=0,"CHECK: Supplier ID not in inventory",IF(AND(F71&lt;&gt;"",COUNTIF(RSK_ID,F71)=0),"CHECK: Risk ID not found",IF(AND(F71&lt;&gt;"",COUNTIF(RSK_ID,F71)&gt;0,IFERROR(INDEX(RSK_SUP,MATCH(F71,RSK_ID,0)),"")&lt;&gt;B71),"CHECK: Risk belongs to a different supplier",IF(AND(N71="Accepted - exception approved",O71=""),"CHECK: exception approval reference missing","OK")))))))</f>
        <v/>
      </c>
      <c r="S71" s="61" t="str">
        <f aca="false">IF(OR(A71="",B71=""),"",IF(AND(Q71="Open gap",B71=RptSup),B71&amp;"|"&amp;COUNTIFS($B$7:B71,B71,$Q$7:Q71,"Open gap"),""))</f>
        <v/>
      </c>
    </row>
    <row r="72" customFormat="false" ht="15" hidden="false" customHeight="false" outlineLevel="0" collapsed="false">
      <c r="A72" s="50"/>
      <c r="B72" s="50"/>
      <c r="C72" s="59" t="str">
        <f aca="false">IF(B72="","",IFERROR(INDEX(INV_NAME,MATCH(B72,INV_ID,0)),"CHECK: Supplier ID not found"))</f>
        <v/>
      </c>
      <c r="D72" s="34"/>
      <c r="E72" s="34"/>
      <c r="F72" s="50"/>
      <c r="G72" s="34"/>
      <c r="H72" s="34"/>
      <c r="I72" s="34"/>
      <c r="J72" s="34"/>
      <c r="K72" s="34"/>
      <c r="L72" s="34"/>
      <c r="M72" s="34"/>
      <c r="N72" s="34"/>
      <c r="O72" s="34"/>
      <c r="P72" s="51"/>
      <c r="Q72" s="54" t="str">
        <f aca="false">IF(A72="","",IF(I72="Gap identified",IF(OR(N72="Amended",N72="Accepted - exception approved",N72="No action required",N72="Not applicable",N72="Withdrawn"),"Gap dispositioned","Open gap"),IF(I72="Not reviewed","Not reviewed",IF(I72="Clause present - legal review pending","Present - legal review pending",IF(I72="Clause reviewed - no gap noted","Reviewed - no gap noted (not a legal compliance conclusion)",IF(I72="Not applicable","Not applicable","Not reviewed"))))))</f>
        <v/>
      </c>
      <c r="R72" s="54" t="str">
        <f aca="false">IF(A72="","",IF(COUNTIF(CON_ID,A72)&gt;1,"CHECK: duplicate ID",IF(B72="","CHECK: Supplier ID missing",IF(COUNTIF(INV_ID,B72)=0,"CHECK: Supplier ID not in inventory",IF(AND(F72&lt;&gt;"",COUNTIF(RSK_ID,F72)=0),"CHECK: Risk ID not found",IF(AND(F72&lt;&gt;"",COUNTIF(RSK_ID,F72)&gt;0,IFERROR(INDEX(RSK_SUP,MATCH(F72,RSK_ID,0)),"")&lt;&gt;B72),"CHECK: Risk belongs to a different supplier",IF(AND(N72="Accepted - exception approved",O72=""),"CHECK: exception approval reference missing","OK")))))))</f>
        <v/>
      </c>
      <c r="S72" s="61" t="str">
        <f aca="false">IF(OR(A72="",B72=""),"",IF(AND(Q72="Open gap",B72=RptSup),B72&amp;"|"&amp;COUNTIFS($B$7:B72,B72,$Q$7:Q72,"Open gap"),""))</f>
        <v/>
      </c>
    </row>
    <row r="73" customFormat="false" ht="15" hidden="false" customHeight="false" outlineLevel="0" collapsed="false">
      <c r="A73" s="50"/>
      <c r="B73" s="50"/>
      <c r="C73" s="59" t="str">
        <f aca="false">IF(B73="","",IFERROR(INDEX(INV_NAME,MATCH(B73,INV_ID,0)),"CHECK: Supplier ID not found"))</f>
        <v/>
      </c>
      <c r="D73" s="34"/>
      <c r="E73" s="34"/>
      <c r="F73" s="50"/>
      <c r="G73" s="34"/>
      <c r="H73" s="34"/>
      <c r="I73" s="34"/>
      <c r="J73" s="34"/>
      <c r="K73" s="34"/>
      <c r="L73" s="34"/>
      <c r="M73" s="34"/>
      <c r="N73" s="34"/>
      <c r="O73" s="34"/>
      <c r="P73" s="51"/>
      <c r="Q73" s="54" t="str">
        <f aca="false">IF(A73="","",IF(I73="Gap identified",IF(OR(N73="Amended",N73="Accepted - exception approved",N73="No action required",N73="Not applicable",N73="Withdrawn"),"Gap dispositioned","Open gap"),IF(I73="Not reviewed","Not reviewed",IF(I73="Clause present - legal review pending","Present - legal review pending",IF(I73="Clause reviewed - no gap noted","Reviewed - no gap noted (not a legal compliance conclusion)",IF(I73="Not applicable","Not applicable","Not reviewed"))))))</f>
        <v/>
      </c>
      <c r="R73" s="54" t="str">
        <f aca="false">IF(A73="","",IF(COUNTIF(CON_ID,A73)&gt;1,"CHECK: duplicate ID",IF(B73="","CHECK: Supplier ID missing",IF(COUNTIF(INV_ID,B73)=0,"CHECK: Supplier ID not in inventory",IF(AND(F73&lt;&gt;"",COUNTIF(RSK_ID,F73)=0),"CHECK: Risk ID not found",IF(AND(F73&lt;&gt;"",COUNTIF(RSK_ID,F73)&gt;0,IFERROR(INDEX(RSK_SUP,MATCH(F73,RSK_ID,0)),"")&lt;&gt;B73),"CHECK: Risk belongs to a different supplier",IF(AND(N73="Accepted - exception approved",O73=""),"CHECK: exception approval reference missing","OK")))))))</f>
        <v/>
      </c>
      <c r="S73" s="61" t="str">
        <f aca="false">IF(OR(A73="",B73=""),"",IF(AND(Q73="Open gap",B73=RptSup),B73&amp;"|"&amp;COUNTIFS($B$7:B73,B73,$Q$7:Q73,"Open gap"),""))</f>
        <v/>
      </c>
    </row>
    <row r="74" customFormat="false" ht="15" hidden="false" customHeight="false" outlineLevel="0" collapsed="false">
      <c r="A74" s="50"/>
      <c r="B74" s="50"/>
      <c r="C74" s="59" t="str">
        <f aca="false">IF(B74="","",IFERROR(INDEX(INV_NAME,MATCH(B74,INV_ID,0)),"CHECK: Supplier ID not found"))</f>
        <v/>
      </c>
      <c r="D74" s="34"/>
      <c r="E74" s="34"/>
      <c r="F74" s="50"/>
      <c r="G74" s="34"/>
      <c r="H74" s="34"/>
      <c r="I74" s="34"/>
      <c r="J74" s="34"/>
      <c r="K74" s="34"/>
      <c r="L74" s="34"/>
      <c r="M74" s="34"/>
      <c r="N74" s="34"/>
      <c r="O74" s="34"/>
      <c r="P74" s="51"/>
      <c r="Q74" s="54" t="str">
        <f aca="false">IF(A74="","",IF(I74="Gap identified",IF(OR(N74="Amended",N74="Accepted - exception approved",N74="No action required",N74="Not applicable",N74="Withdrawn"),"Gap dispositioned","Open gap"),IF(I74="Not reviewed","Not reviewed",IF(I74="Clause present - legal review pending","Present - legal review pending",IF(I74="Clause reviewed - no gap noted","Reviewed - no gap noted (not a legal compliance conclusion)",IF(I74="Not applicable","Not applicable","Not reviewed"))))))</f>
        <v/>
      </c>
      <c r="R74" s="54" t="str">
        <f aca="false">IF(A74="","",IF(COUNTIF(CON_ID,A74)&gt;1,"CHECK: duplicate ID",IF(B74="","CHECK: Supplier ID missing",IF(COUNTIF(INV_ID,B74)=0,"CHECK: Supplier ID not in inventory",IF(AND(F74&lt;&gt;"",COUNTIF(RSK_ID,F74)=0),"CHECK: Risk ID not found",IF(AND(F74&lt;&gt;"",COUNTIF(RSK_ID,F74)&gt;0,IFERROR(INDEX(RSK_SUP,MATCH(F74,RSK_ID,0)),"")&lt;&gt;B74),"CHECK: Risk belongs to a different supplier",IF(AND(N74="Accepted - exception approved",O74=""),"CHECK: exception approval reference missing","OK")))))))</f>
        <v/>
      </c>
      <c r="S74" s="61" t="str">
        <f aca="false">IF(OR(A74="",B74=""),"",IF(AND(Q74="Open gap",B74=RptSup),B74&amp;"|"&amp;COUNTIFS($B$7:B74,B74,$Q$7:Q74,"Open gap"),""))</f>
        <v/>
      </c>
    </row>
    <row r="75" customFormat="false" ht="15" hidden="false" customHeight="false" outlineLevel="0" collapsed="false">
      <c r="A75" s="50"/>
      <c r="B75" s="50"/>
      <c r="C75" s="59" t="str">
        <f aca="false">IF(B75="","",IFERROR(INDEX(INV_NAME,MATCH(B75,INV_ID,0)),"CHECK: Supplier ID not found"))</f>
        <v/>
      </c>
      <c r="D75" s="34"/>
      <c r="E75" s="34"/>
      <c r="F75" s="50"/>
      <c r="G75" s="34"/>
      <c r="H75" s="34"/>
      <c r="I75" s="34"/>
      <c r="J75" s="34"/>
      <c r="K75" s="34"/>
      <c r="L75" s="34"/>
      <c r="M75" s="34"/>
      <c r="N75" s="34"/>
      <c r="O75" s="34"/>
      <c r="P75" s="51"/>
      <c r="Q75" s="54" t="str">
        <f aca="false">IF(A75="","",IF(I75="Gap identified",IF(OR(N75="Amended",N75="Accepted - exception approved",N75="No action required",N75="Not applicable",N75="Withdrawn"),"Gap dispositioned","Open gap"),IF(I75="Not reviewed","Not reviewed",IF(I75="Clause present - legal review pending","Present - legal review pending",IF(I75="Clause reviewed - no gap noted","Reviewed - no gap noted (not a legal compliance conclusion)",IF(I75="Not applicable","Not applicable","Not reviewed"))))))</f>
        <v/>
      </c>
      <c r="R75" s="54" t="str">
        <f aca="false">IF(A75="","",IF(COUNTIF(CON_ID,A75)&gt;1,"CHECK: duplicate ID",IF(B75="","CHECK: Supplier ID missing",IF(COUNTIF(INV_ID,B75)=0,"CHECK: Supplier ID not in inventory",IF(AND(F75&lt;&gt;"",COUNTIF(RSK_ID,F75)=0),"CHECK: Risk ID not found",IF(AND(F75&lt;&gt;"",COUNTIF(RSK_ID,F75)&gt;0,IFERROR(INDEX(RSK_SUP,MATCH(F75,RSK_ID,0)),"")&lt;&gt;B75),"CHECK: Risk belongs to a different supplier",IF(AND(N75="Accepted - exception approved",O75=""),"CHECK: exception approval reference missing","OK")))))))</f>
        <v/>
      </c>
      <c r="S75" s="61" t="str">
        <f aca="false">IF(OR(A75="",B75=""),"",IF(AND(Q75="Open gap",B75=RptSup),B75&amp;"|"&amp;COUNTIFS($B$7:B75,B75,$Q$7:Q75,"Open gap"),""))</f>
        <v/>
      </c>
    </row>
    <row r="76" customFormat="false" ht="15" hidden="false" customHeight="false" outlineLevel="0" collapsed="false">
      <c r="A76" s="50"/>
      <c r="B76" s="50"/>
      <c r="C76" s="59" t="str">
        <f aca="false">IF(B76="","",IFERROR(INDEX(INV_NAME,MATCH(B76,INV_ID,0)),"CHECK: Supplier ID not found"))</f>
        <v/>
      </c>
      <c r="D76" s="34"/>
      <c r="E76" s="34"/>
      <c r="F76" s="50"/>
      <c r="G76" s="34"/>
      <c r="H76" s="34"/>
      <c r="I76" s="34"/>
      <c r="J76" s="34"/>
      <c r="K76" s="34"/>
      <c r="L76" s="34"/>
      <c r="M76" s="34"/>
      <c r="N76" s="34"/>
      <c r="O76" s="34"/>
      <c r="P76" s="51"/>
      <c r="Q76" s="54" t="str">
        <f aca="false">IF(A76="","",IF(I76="Gap identified",IF(OR(N76="Amended",N76="Accepted - exception approved",N76="No action required",N76="Not applicable",N76="Withdrawn"),"Gap dispositioned","Open gap"),IF(I76="Not reviewed","Not reviewed",IF(I76="Clause present - legal review pending","Present - legal review pending",IF(I76="Clause reviewed - no gap noted","Reviewed - no gap noted (not a legal compliance conclusion)",IF(I76="Not applicable","Not applicable","Not reviewed"))))))</f>
        <v/>
      </c>
      <c r="R76" s="54" t="str">
        <f aca="false">IF(A76="","",IF(COUNTIF(CON_ID,A76)&gt;1,"CHECK: duplicate ID",IF(B76="","CHECK: Supplier ID missing",IF(COUNTIF(INV_ID,B76)=0,"CHECK: Supplier ID not in inventory",IF(AND(F76&lt;&gt;"",COUNTIF(RSK_ID,F76)=0),"CHECK: Risk ID not found",IF(AND(F76&lt;&gt;"",COUNTIF(RSK_ID,F76)&gt;0,IFERROR(INDEX(RSK_SUP,MATCH(F76,RSK_ID,0)),"")&lt;&gt;B76),"CHECK: Risk belongs to a different supplier",IF(AND(N76="Accepted - exception approved",O76=""),"CHECK: exception approval reference missing","OK")))))))</f>
        <v/>
      </c>
      <c r="S76" s="61" t="str">
        <f aca="false">IF(OR(A76="",B76=""),"",IF(AND(Q76="Open gap",B76=RptSup),B76&amp;"|"&amp;COUNTIFS($B$7:B76,B76,$Q$7:Q76,"Open gap"),""))</f>
        <v/>
      </c>
    </row>
    <row r="77" customFormat="false" ht="15" hidden="false" customHeight="false" outlineLevel="0" collapsed="false">
      <c r="A77" s="50"/>
      <c r="B77" s="50"/>
      <c r="C77" s="59" t="str">
        <f aca="false">IF(B77="","",IFERROR(INDEX(INV_NAME,MATCH(B77,INV_ID,0)),"CHECK: Supplier ID not found"))</f>
        <v/>
      </c>
      <c r="D77" s="34"/>
      <c r="E77" s="34"/>
      <c r="F77" s="50"/>
      <c r="G77" s="34"/>
      <c r="H77" s="34"/>
      <c r="I77" s="34"/>
      <c r="J77" s="34"/>
      <c r="K77" s="34"/>
      <c r="L77" s="34"/>
      <c r="M77" s="34"/>
      <c r="N77" s="34"/>
      <c r="O77" s="34"/>
      <c r="P77" s="51"/>
      <c r="Q77" s="54" t="str">
        <f aca="false">IF(A77="","",IF(I77="Gap identified",IF(OR(N77="Amended",N77="Accepted - exception approved",N77="No action required",N77="Not applicable",N77="Withdrawn"),"Gap dispositioned","Open gap"),IF(I77="Not reviewed","Not reviewed",IF(I77="Clause present - legal review pending","Present - legal review pending",IF(I77="Clause reviewed - no gap noted","Reviewed - no gap noted (not a legal compliance conclusion)",IF(I77="Not applicable","Not applicable","Not reviewed"))))))</f>
        <v/>
      </c>
      <c r="R77" s="54" t="str">
        <f aca="false">IF(A77="","",IF(COUNTIF(CON_ID,A77)&gt;1,"CHECK: duplicate ID",IF(B77="","CHECK: Supplier ID missing",IF(COUNTIF(INV_ID,B77)=0,"CHECK: Supplier ID not in inventory",IF(AND(F77&lt;&gt;"",COUNTIF(RSK_ID,F77)=0),"CHECK: Risk ID not found",IF(AND(F77&lt;&gt;"",COUNTIF(RSK_ID,F77)&gt;0,IFERROR(INDEX(RSK_SUP,MATCH(F77,RSK_ID,0)),"")&lt;&gt;B77),"CHECK: Risk belongs to a different supplier",IF(AND(N77="Accepted - exception approved",O77=""),"CHECK: exception approval reference missing","OK")))))))</f>
        <v/>
      </c>
      <c r="S77" s="61" t="str">
        <f aca="false">IF(OR(A77="",B77=""),"",IF(AND(Q77="Open gap",B77=RptSup),B77&amp;"|"&amp;COUNTIFS($B$7:B77,B77,$Q$7:Q77,"Open gap"),""))</f>
        <v/>
      </c>
    </row>
    <row r="78" customFormat="false" ht="15" hidden="false" customHeight="false" outlineLevel="0" collapsed="false">
      <c r="A78" s="50"/>
      <c r="B78" s="50"/>
      <c r="C78" s="59" t="str">
        <f aca="false">IF(B78="","",IFERROR(INDEX(INV_NAME,MATCH(B78,INV_ID,0)),"CHECK: Supplier ID not found"))</f>
        <v/>
      </c>
      <c r="D78" s="34"/>
      <c r="E78" s="34"/>
      <c r="F78" s="50"/>
      <c r="G78" s="34"/>
      <c r="H78" s="34"/>
      <c r="I78" s="34"/>
      <c r="J78" s="34"/>
      <c r="K78" s="34"/>
      <c r="L78" s="34"/>
      <c r="M78" s="34"/>
      <c r="N78" s="34"/>
      <c r="O78" s="34"/>
      <c r="P78" s="51"/>
      <c r="Q78" s="54" t="str">
        <f aca="false">IF(A78="","",IF(I78="Gap identified",IF(OR(N78="Amended",N78="Accepted - exception approved",N78="No action required",N78="Not applicable",N78="Withdrawn"),"Gap dispositioned","Open gap"),IF(I78="Not reviewed","Not reviewed",IF(I78="Clause present - legal review pending","Present - legal review pending",IF(I78="Clause reviewed - no gap noted","Reviewed - no gap noted (not a legal compliance conclusion)",IF(I78="Not applicable","Not applicable","Not reviewed"))))))</f>
        <v/>
      </c>
      <c r="R78" s="54" t="str">
        <f aca="false">IF(A78="","",IF(COUNTIF(CON_ID,A78)&gt;1,"CHECK: duplicate ID",IF(B78="","CHECK: Supplier ID missing",IF(COUNTIF(INV_ID,B78)=0,"CHECK: Supplier ID not in inventory",IF(AND(F78&lt;&gt;"",COUNTIF(RSK_ID,F78)=0),"CHECK: Risk ID not found",IF(AND(F78&lt;&gt;"",COUNTIF(RSK_ID,F78)&gt;0,IFERROR(INDEX(RSK_SUP,MATCH(F78,RSK_ID,0)),"")&lt;&gt;B78),"CHECK: Risk belongs to a different supplier",IF(AND(N78="Accepted - exception approved",O78=""),"CHECK: exception approval reference missing","OK")))))))</f>
        <v/>
      </c>
      <c r="S78" s="61" t="str">
        <f aca="false">IF(OR(A78="",B78=""),"",IF(AND(Q78="Open gap",B78=RptSup),B78&amp;"|"&amp;COUNTIFS($B$7:B78,B78,$Q$7:Q78,"Open gap"),""))</f>
        <v/>
      </c>
    </row>
    <row r="79" customFormat="false" ht="15" hidden="false" customHeight="false" outlineLevel="0" collapsed="false">
      <c r="A79" s="50"/>
      <c r="B79" s="50"/>
      <c r="C79" s="59" t="str">
        <f aca="false">IF(B79="","",IFERROR(INDEX(INV_NAME,MATCH(B79,INV_ID,0)),"CHECK: Supplier ID not found"))</f>
        <v/>
      </c>
      <c r="D79" s="34"/>
      <c r="E79" s="34"/>
      <c r="F79" s="50"/>
      <c r="G79" s="34"/>
      <c r="H79" s="34"/>
      <c r="I79" s="34"/>
      <c r="J79" s="34"/>
      <c r="K79" s="34"/>
      <c r="L79" s="34"/>
      <c r="M79" s="34"/>
      <c r="N79" s="34"/>
      <c r="O79" s="34"/>
      <c r="P79" s="51"/>
      <c r="Q79" s="54" t="str">
        <f aca="false">IF(A79="","",IF(I79="Gap identified",IF(OR(N79="Amended",N79="Accepted - exception approved",N79="No action required",N79="Not applicable",N79="Withdrawn"),"Gap dispositioned","Open gap"),IF(I79="Not reviewed","Not reviewed",IF(I79="Clause present - legal review pending","Present - legal review pending",IF(I79="Clause reviewed - no gap noted","Reviewed - no gap noted (not a legal compliance conclusion)",IF(I79="Not applicable","Not applicable","Not reviewed"))))))</f>
        <v/>
      </c>
      <c r="R79" s="54" t="str">
        <f aca="false">IF(A79="","",IF(COUNTIF(CON_ID,A79)&gt;1,"CHECK: duplicate ID",IF(B79="","CHECK: Supplier ID missing",IF(COUNTIF(INV_ID,B79)=0,"CHECK: Supplier ID not in inventory",IF(AND(F79&lt;&gt;"",COUNTIF(RSK_ID,F79)=0),"CHECK: Risk ID not found",IF(AND(F79&lt;&gt;"",COUNTIF(RSK_ID,F79)&gt;0,IFERROR(INDEX(RSK_SUP,MATCH(F79,RSK_ID,0)),"")&lt;&gt;B79),"CHECK: Risk belongs to a different supplier",IF(AND(N79="Accepted - exception approved",O79=""),"CHECK: exception approval reference missing","OK")))))))</f>
        <v/>
      </c>
      <c r="S79" s="61" t="str">
        <f aca="false">IF(OR(A79="",B79=""),"",IF(AND(Q79="Open gap",B79=RptSup),B79&amp;"|"&amp;COUNTIFS($B$7:B79,B79,$Q$7:Q79,"Open gap"),""))</f>
        <v/>
      </c>
    </row>
    <row r="80" customFormat="false" ht="15" hidden="false" customHeight="false" outlineLevel="0" collapsed="false">
      <c r="A80" s="50"/>
      <c r="B80" s="50"/>
      <c r="C80" s="59" t="str">
        <f aca="false">IF(B80="","",IFERROR(INDEX(INV_NAME,MATCH(B80,INV_ID,0)),"CHECK: Supplier ID not found"))</f>
        <v/>
      </c>
      <c r="D80" s="34"/>
      <c r="E80" s="34"/>
      <c r="F80" s="50"/>
      <c r="G80" s="34"/>
      <c r="H80" s="34"/>
      <c r="I80" s="34"/>
      <c r="J80" s="34"/>
      <c r="K80" s="34"/>
      <c r="L80" s="34"/>
      <c r="M80" s="34"/>
      <c r="N80" s="34"/>
      <c r="O80" s="34"/>
      <c r="P80" s="51"/>
      <c r="Q80" s="54" t="str">
        <f aca="false">IF(A80="","",IF(I80="Gap identified",IF(OR(N80="Amended",N80="Accepted - exception approved",N80="No action required",N80="Not applicable",N80="Withdrawn"),"Gap dispositioned","Open gap"),IF(I80="Not reviewed","Not reviewed",IF(I80="Clause present - legal review pending","Present - legal review pending",IF(I80="Clause reviewed - no gap noted","Reviewed - no gap noted (not a legal compliance conclusion)",IF(I80="Not applicable","Not applicable","Not reviewed"))))))</f>
        <v/>
      </c>
      <c r="R80" s="54" t="str">
        <f aca="false">IF(A80="","",IF(COUNTIF(CON_ID,A80)&gt;1,"CHECK: duplicate ID",IF(B80="","CHECK: Supplier ID missing",IF(COUNTIF(INV_ID,B80)=0,"CHECK: Supplier ID not in inventory",IF(AND(F80&lt;&gt;"",COUNTIF(RSK_ID,F80)=0),"CHECK: Risk ID not found",IF(AND(F80&lt;&gt;"",COUNTIF(RSK_ID,F80)&gt;0,IFERROR(INDEX(RSK_SUP,MATCH(F80,RSK_ID,0)),"")&lt;&gt;B80),"CHECK: Risk belongs to a different supplier",IF(AND(N80="Accepted - exception approved",O80=""),"CHECK: exception approval reference missing","OK")))))))</f>
        <v/>
      </c>
      <c r="S80" s="61" t="str">
        <f aca="false">IF(OR(A80="",B80=""),"",IF(AND(Q80="Open gap",B80=RptSup),B80&amp;"|"&amp;COUNTIFS($B$7:B80,B80,$Q$7:Q80,"Open gap"),""))</f>
        <v/>
      </c>
    </row>
    <row r="81" customFormat="false" ht="15" hidden="false" customHeight="false" outlineLevel="0" collapsed="false">
      <c r="A81" s="50"/>
      <c r="B81" s="50"/>
      <c r="C81" s="59" t="str">
        <f aca="false">IF(B81="","",IFERROR(INDEX(INV_NAME,MATCH(B81,INV_ID,0)),"CHECK: Supplier ID not found"))</f>
        <v/>
      </c>
      <c r="D81" s="34"/>
      <c r="E81" s="34"/>
      <c r="F81" s="50"/>
      <c r="G81" s="34"/>
      <c r="H81" s="34"/>
      <c r="I81" s="34"/>
      <c r="J81" s="34"/>
      <c r="K81" s="34"/>
      <c r="L81" s="34"/>
      <c r="M81" s="34"/>
      <c r="N81" s="34"/>
      <c r="O81" s="34"/>
      <c r="P81" s="51"/>
      <c r="Q81" s="54" t="str">
        <f aca="false">IF(A81="","",IF(I81="Gap identified",IF(OR(N81="Amended",N81="Accepted - exception approved",N81="No action required",N81="Not applicable",N81="Withdrawn"),"Gap dispositioned","Open gap"),IF(I81="Not reviewed","Not reviewed",IF(I81="Clause present - legal review pending","Present - legal review pending",IF(I81="Clause reviewed - no gap noted","Reviewed - no gap noted (not a legal compliance conclusion)",IF(I81="Not applicable","Not applicable","Not reviewed"))))))</f>
        <v/>
      </c>
      <c r="R81" s="54" t="str">
        <f aca="false">IF(A81="","",IF(COUNTIF(CON_ID,A81)&gt;1,"CHECK: duplicate ID",IF(B81="","CHECK: Supplier ID missing",IF(COUNTIF(INV_ID,B81)=0,"CHECK: Supplier ID not in inventory",IF(AND(F81&lt;&gt;"",COUNTIF(RSK_ID,F81)=0),"CHECK: Risk ID not found",IF(AND(F81&lt;&gt;"",COUNTIF(RSK_ID,F81)&gt;0,IFERROR(INDEX(RSK_SUP,MATCH(F81,RSK_ID,0)),"")&lt;&gt;B81),"CHECK: Risk belongs to a different supplier",IF(AND(N81="Accepted - exception approved",O81=""),"CHECK: exception approval reference missing","OK")))))))</f>
        <v/>
      </c>
      <c r="S81" s="61" t="str">
        <f aca="false">IF(OR(A81="",B81=""),"",IF(AND(Q81="Open gap",B81=RptSup),B81&amp;"|"&amp;COUNTIFS($B$7:B81,B81,$Q$7:Q81,"Open gap"),""))</f>
        <v/>
      </c>
    </row>
    <row r="82" customFormat="false" ht="15" hidden="false" customHeight="false" outlineLevel="0" collapsed="false">
      <c r="A82" s="50"/>
      <c r="B82" s="50"/>
      <c r="C82" s="59" t="str">
        <f aca="false">IF(B82="","",IFERROR(INDEX(INV_NAME,MATCH(B82,INV_ID,0)),"CHECK: Supplier ID not found"))</f>
        <v/>
      </c>
      <c r="D82" s="34"/>
      <c r="E82" s="34"/>
      <c r="F82" s="50"/>
      <c r="G82" s="34"/>
      <c r="H82" s="34"/>
      <c r="I82" s="34"/>
      <c r="J82" s="34"/>
      <c r="K82" s="34"/>
      <c r="L82" s="34"/>
      <c r="M82" s="34"/>
      <c r="N82" s="34"/>
      <c r="O82" s="34"/>
      <c r="P82" s="51"/>
      <c r="Q82" s="54" t="str">
        <f aca="false">IF(A82="","",IF(I82="Gap identified",IF(OR(N82="Amended",N82="Accepted - exception approved",N82="No action required",N82="Not applicable",N82="Withdrawn"),"Gap dispositioned","Open gap"),IF(I82="Not reviewed","Not reviewed",IF(I82="Clause present - legal review pending","Present - legal review pending",IF(I82="Clause reviewed - no gap noted","Reviewed - no gap noted (not a legal compliance conclusion)",IF(I82="Not applicable","Not applicable","Not reviewed"))))))</f>
        <v/>
      </c>
      <c r="R82" s="54" t="str">
        <f aca="false">IF(A82="","",IF(COUNTIF(CON_ID,A82)&gt;1,"CHECK: duplicate ID",IF(B82="","CHECK: Supplier ID missing",IF(COUNTIF(INV_ID,B82)=0,"CHECK: Supplier ID not in inventory",IF(AND(F82&lt;&gt;"",COUNTIF(RSK_ID,F82)=0),"CHECK: Risk ID not found",IF(AND(F82&lt;&gt;"",COUNTIF(RSK_ID,F82)&gt;0,IFERROR(INDEX(RSK_SUP,MATCH(F82,RSK_ID,0)),"")&lt;&gt;B82),"CHECK: Risk belongs to a different supplier",IF(AND(N82="Accepted - exception approved",O82=""),"CHECK: exception approval reference missing","OK")))))))</f>
        <v/>
      </c>
      <c r="S82" s="61" t="str">
        <f aca="false">IF(OR(A82="",B82=""),"",IF(AND(Q82="Open gap",B82=RptSup),B82&amp;"|"&amp;COUNTIFS($B$7:B82,B82,$Q$7:Q82,"Open gap"),""))</f>
        <v/>
      </c>
    </row>
    <row r="83" customFormat="false" ht="15" hidden="false" customHeight="false" outlineLevel="0" collapsed="false">
      <c r="A83" s="50"/>
      <c r="B83" s="50"/>
      <c r="C83" s="59" t="str">
        <f aca="false">IF(B83="","",IFERROR(INDEX(INV_NAME,MATCH(B83,INV_ID,0)),"CHECK: Supplier ID not found"))</f>
        <v/>
      </c>
      <c r="D83" s="34"/>
      <c r="E83" s="34"/>
      <c r="F83" s="50"/>
      <c r="G83" s="34"/>
      <c r="H83" s="34"/>
      <c r="I83" s="34"/>
      <c r="J83" s="34"/>
      <c r="K83" s="34"/>
      <c r="L83" s="34"/>
      <c r="M83" s="34"/>
      <c r="N83" s="34"/>
      <c r="O83" s="34"/>
      <c r="P83" s="51"/>
      <c r="Q83" s="54" t="str">
        <f aca="false">IF(A83="","",IF(I83="Gap identified",IF(OR(N83="Amended",N83="Accepted - exception approved",N83="No action required",N83="Not applicable",N83="Withdrawn"),"Gap dispositioned","Open gap"),IF(I83="Not reviewed","Not reviewed",IF(I83="Clause present - legal review pending","Present - legal review pending",IF(I83="Clause reviewed - no gap noted","Reviewed - no gap noted (not a legal compliance conclusion)",IF(I83="Not applicable","Not applicable","Not reviewed"))))))</f>
        <v/>
      </c>
      <c r="R83" s="54" t="str">
        <f aca="false">IF(A83="","",IF(COUNTIF(CON_ID,A83)&gt;1,"CHECK: duplicate ID",IF(B83="","CHECK: Supplier ID missing",IF(COUNTIF(INV_ID,B83)=0,"CHECK: Supplier ID not in inventory",IF(AND(F83&lt;&gt;"",COUNTIF(RSK_ID,F83)=0),"CHECK: Risk ID not found",IF(AND(F83&lt;&gt;"",COUNTIF(RSK_ID,F83)&gt;0,IFERROR(INDEX(RSK_SUP,MATCH(F83,RSK_ID,0)),"")&lt;&gt;B83),"CHECK: Risk belongs to a different supplier",IF(AND(N83="Accepted - exception approved",O83=""),"CHECK: exception approval reference missing","OK")))))))</f>
        <v/>
      </c>
      <c r="S83" s="61" t="str">
        <f aca="false">IF(OR(A83="",B83=""),"",IF(AND(Q83="Open gap",B83=RptSup),B83&amp;"|"&amp;COUNTIFS($B$7:B83,B83,$Q$7:Q83,"Open gap"),""))</f>
        <v/>
      </c>
    </row>
    <row r="84" customFormat="false" ht="15" hidden="false" customHeight="false" outlineLevel="0" collapsed="false">
      <c r="A84" s="50"/>
      <c r="B84" s="50"/>
      <c r="C84" s="59" t="str">
        <f aca="false">IF(B84="","",IFERROR(INDEX(INV_NAME,MATCH(B84,INV_ID,0)),"CHECK: Supplier ID not found"))</f>
        <v/>
      </c>
      <c r="D84" s="34"/>
      <c r="E84" s="34"/>
      <c r="F84" s="50"/>
      <c r="G84" s="34"/>
      <c r="H84" s="34"/>
      <c r="I84" s="34"/>
      <c r="J84" s="34"/>
      <c r="K84" s="34"/>
      <c r="L84" s="34"/>
      <c r="M84" s="34"/>
      <c r="N84" s="34"/>
      <c r="O84" s="34"/>
      <c r="P84" s="51"/>
      <c r="Q84" s="54" t="str">
        <f aca="false">IF(A84="","",IF(I84="Gap identified",IF(OR(N84="Amended",N84="Accepted - exception approved",N84="No action required",N84="Not applicable",N84="Withdrawn"),"Gap dispositioned","Open gap"),IF(I84="Not reviewed","Not reviewed",IF(I84="Clause present - legal review pending","Present - legal review pending",IF(I84="Clause reviewed - no gap noted","Reviewed - no gap noted (not a legal compliance conclusion)",IF(I84="Not applicable","Not applicable","Not reviewed"))))))</f>
        <v/>
      </c>
      <c r="R84" s="54" t="str">
        <f aca="false">IF(A84="","",IF(COUNTIF(CON_ID,A84)&gt;1,"CHECK: duplicate ID",IF(B84="","CHECK: Supplier ID missing",IF(COUNTIF(INV_ID,B84)=0,"CHECK: Supplier ID not in inventory",IF(AND(F84&lt;&gt;"",COUNTIF(RSK_ID,F84)=0),"CHECK: Risk ID not found",IF(AND(F84&lt;&gt;"",COUNTIF(RSK_ID,F84)&gt;0,IFERROR(INDEX(RSK_SUP,MATCH(F84,RSK_ID,0)),"")&lt;&gt;B84),"CHECK: Risk belongs to a different supplier",IF(AND(N84="Accepted - exception approved",O84=""),"CHECK: exception approval reference missing","OK")))))))</f>
        <v/>
      </c>
      <c r="S84" s="61" t="str">
        <f aca="false">IF(OR(A84="",B84=""),"",IF(AND(Q84="Open gap",B84=RptSup),B84&amp;"|"&amp;COUNTIFS($B$7:B84,B84,$Q$7:Q84,"Open gap"),""))</f>
        <v/>
      </c>
    </row>
    <row r="85" customFormat="false" ht="15" hidden="false" customHeight="false" outlineLevel="0" collapsed="false">
      <c r="A85" s="50"/>
      <c r="B85" s="50"/>
      <c r="C85" s="59" t="str">
        <f aca="false">IF(B85="","",IFERROR(INDEX(INV_NAME,MATCH(B85,INV_ID,0)),"CHECK: Supplier ID not found"))</f>
        <v/>
      </c>
      <c r="D85" s="34"/>
      <c r="E85" s="34"/>
      <c r="F85" s="50"/>
      <c r="G85" s="34"/>
      <c r="H85" s="34"/>
      <c r="I85" s="34"/>
      <c r="J85" s="34"/>
      <c r="K85" s="34"/>
      <c r="L85" s="34"/>
      <c r="M85" s="34"/>
      <c r="N85" s="34"/>
      <c r="O85" s="34"/>
      <c r="P85" s="51"/>
      <c r="Q85" s="54" t="str">
        <f aca="false">IF(A85="","",IF(I85="Gap identified",IF(OR(N85="Amended",N85="Accepted - exception approved",N85="No action required",N85="Not applicable",N85="Withdrawn"),"Gap dispositioned","Open gap"),IF(I85="Not reviewed","Not reviewed",IF(I85="Clause present - legal review pending","Present - legal review pending",IF(I85="Clause reviewed - no gap noted","Reviewed - no gap noted (not a legal compliance conclusion)",IF(I85="Not applicable","Not applicable","Not reviewed"))))))</f>
        <v/>
      </c>
      <c r="R85" s="54" t="str">
        <f aca="false">IF(A85="","",IF(COUNTIF(CON_ID,A85)&gt;1,"CHECK: duplicate ID",IF(B85="","CHECK: Supplier ID missing",IF(COUNTIF(INV_ID,B85)=0,"CHECK: Supplier ID not in inventory",IF(AND(F85&lt;&gt;"",COUNTIF(RSK_ID,F85)=0),"CHECK: Risk ID not found",IF(AND(F85&lt;&gt;"",COUNTIF(RSK_ID,F85)&gt;0,IFERROR(INDEX(RSK_SUP,MATCH(F85,RSK_ID,0)),"")&lt;&gt;B85),"CHECK: Risk belongs to a different supplier",IF(AND(N85="Accepted - exception approved",O85=""),"CHECK: exception approval reference missing","OK")))))))</f>
        <v/>
      </c>
      <c r="S85" s="61" t="str">
        <f aca="false">IF(OR(A85="",B85=""),"",IF(AND(Q85="Open gap",B85=RptSup),B85&amp;"|"&amp;COUNTIFS($B$7:B85,B85,$Q$7:Q85,"Open gap"),""))</f>
        <v/>
      </c>
    </row>
    <row r="86" customFormat="false" ht="15" hidden="false" customHeight="false" outlineLevel="0" collapsed="false">
      <c r="A86" s="50"/>
      <c r="B86" s="50"/>
      <c r="C86" s="59" t="str">
        <f aca="false">IF(B86="","",IFERROR(INDEX(INV_NAME,MATCH(B86,INV_ID,0)),"CHECK: Supplier ID not found"))</f>
        <v/>
      </c>
      <c r="D86" s="34"/>
      <c r="E86" s="34"/>
      <c r="F86" s="50"/>
      <c r="G86" s="34"/>
      <c r="H86" s="34"/>
      <c r="I86" s="34"/>
      <c r="J86" s="34"/>
      <c r="K86" s="34"/>
      <c r="L86" s="34"/>
      <c r="M86" s="34"/>
      <c r="N86" s="34"/>
      <c r="O86" s="34"/>
      <c r="P86" s="51"/>
      <c r="Q86" s="54" t="str">
        <f aca="false">IF(A86="","",IF(I86="Gap identified",IF(OR(N86="Amended",N86="Accepted - exception approved",N86="No action required",N86="Not applicable",N86="Withdrawn"),"Gap dispositioned","Open gap"),IF(I86="Not reviewed","Not reviewed",IF(I86="Clause present - legal review pending","Present - legal review pending",IF(I86="Clause reviewed - no gap noted","Reviewed - no gap noted (not a legal compliance conclusion)",IF(I86="Not applicable","Not applicable","Not reviewed"))))))</f>
        <v/>
      </c>
      <c r="R86" s="54" t="str">
        <f aca="false">IF(A86="","",IF(COUNTIF(CON_ID,A86)&gt;1,"CHECK: duplicate ID",IF(B86="","CHECK: Supplier ID missing",IF(COUNTIF(INV_ID,B86)=0,"CHECK: Supplier ID not in inventory",IF(AND(F86&lt;&gt;"",COUNTIF(RSK_ID,F86)=0),"CHECK: Risk ID not found",IF(AND(F86&lt;&gt;"",COUNTIF(RSK_ID,F86)&gt;0,IFERROR(INDEX(RSK_SUP,MATCH(F86,RSK_ID,0)),"")&lt;&gt;B86),"CHECK: Risk belongs to a different supplier",IF(AND(N86="Accepted - exception approved",O86=""),"CHECK: exception approval reference missing","OK")))))))</f>
        <v/>
      </c>
      <c r="S86" s="61" t="str">
        <f aca="false">IF(OR(A86="",B86=""),"",IF(AND(Q86="Open gap",B86=RptSup),B86&amp;"|"&amp;COUNTIFS($B$7:B86,B86,$Q$7:Q86,"Open gap"),""))</f>
        <v/>
      </c>
    </row>
    <row r="87" customFormat="false" ht="15" hidden="false" customHeight="false" outlineLevel="0" collapsed="false">
      <c r="A87" s="50"/>
      <c r="B87" s="50"/>
      <c r="C87" s="59" t="str">
        <f aca="false">IF(B87="","",IFERROR(INDEX(INV_NAME,MATCH(B87,INV_ID,0)),"CHECK: Supplier ID not found"))</f>
        <v/>
      </c>
      <c r="D87" s="34"/>
      <c r="E87" s="34"/>
      <c r="F87" s="50"/>
      <c r="G87" s="34"/>
      <c r="H87" s="34"/>
      <c r="I87" s="34"/>
      <c r="J87" s="34"/>
      <c r="K87" s="34"/>
      <c r="L87" s="34"/>
      <c r="M87" s="34"/>
      <c r="N87" s="34"/>
      <c r="O87" s="34"/>
      <c r="P87" s="51"/>
      <c r="Q87" s="54" t="str">
        <f aca="false">IF(A87="","",IF(I87="Gap identified",IF(OR(N87="Amended",N87="Accepted - exception approved",N87="No action required",N87="Not applicable",N87="Withdrawn"),"Gap dispositioned","Open gap"),IF(I87="Not reviewed","Not reviewed",IF(I87="Clause present - legal review pending","Present - legal review pending",IF(I87="Clause reviewed - no gap noted","Reviewed - no gap noted (not a legal compliance conclusion)",IF(I87="Not applicable","Not applicable","Not reviewed"))))))</f>
        <v/>
      </c>
      <c r="R87" s="54" t="str">
        <f aca="false">IF(A87="","",IF(COUNTIF(CON_ID,A87)&gt;1,"CHECK: duplicate ID",IF(B87="","CHECK: Supplier ID missing",IF(COUNTIF(INV_ID,B87)=0,"CHECK: Supplier ID not in inventory",IF(AND(F87&lt;&gt;"",COUNTIF(RSK_ID,F87)=0),"CHECK: Risk ID not found",IF(AND(F87&lt;&gt;"",COUNTIF(RSK_ID,F87)&gt;0,IFERROR(INDEX(RSK_SUP,MATCH(F87,RSK_ID,0)),"")&lt;&gt;B87),"CHECK: Risk belongs to a different supplier",IF(AND(N87="Accepted - exception approved",O87=""),"CHECK: exception approval reference missing","OK")))))))</f>
        <v/>
      </c>
      <c r="S87" s="61" t="str">
        <f aca="false">IF(OR(A87="",B87=""),"",IF(AND(Q87="Open gap",B87=RptSup),B87&amp;"|"&amp;COUNTIFS($B$7:B87,B87,$Q$7:Q87,"Open gap"),""))</f>
        <v/>
      </c>
    </row>
    <row r="88" customFormat="false" ht="15" hidden="false" customHeight="false" outlineLevel="0" collapsed="false">
      <c r="A88" s="50"/>
      <c r="B88" s="50"/>
      <c r="C88" s="59" t="str">
        <f aca="false">IF(B88="","",IFERROR(INDEX(INV_NAME,MATCH(B88,INV_ID,0)),"CHECK: Supplier ID not found"))</f>
        <v/>
      </c>
      <c r="D88" s="34"/>
      <c r="E88" s="34"/>
      <c r="F88" s="50"/>
      <c r="G88" s="34"/>
      <c r="H88" s="34"/>
      <c r="I88" s="34"/>
      <c r="J88" s="34"/>
      <c r="K88" s="34"/>
      <c r="L88" s="34"/>
      <c r="M88" s="34"/>
      <c r="N88" s="34"/>
      <c r="O88" s="34"/>
      <c r="P88" s="51"/>
      <c r="Q88" s="54" t="str">
        <f aca="false">IF(A88="","",IF(I88="Gap identified",IF(OR(N88="Amended",N88="Accepted - exception approved",N88="No action required",N88="Not applicable",N88="Withdrawn"),"Gap dispositioned","Open gap"),IF(I88="Not reviewed","Not reviewed",IF(I88="Clause present - legal review pending","Present - legal review pending",IF(I88="Clause reviewed - no gap noted","Reviewed - no gap noted (not a legal compliance conclusion)",IF(I88="Not applicable","Not applicable","Not reviewed"))))))</f>
        <v/>
      </c>
      <c r="R88" s="54" t="str">
        <f aca="false">IF(A88="","",IF(COUNTIF(CON_ID,A88)&gt;1,"CHECK: duplicate ID",IF(B88="","CHECK: Supplier ID missing",IF(COUNTIF(INV_ID,B88)=0,"CHECK: Supplier ID not in inventory",IF(AND(F88&lt;&gt;"",COUNTIF(RSK_ID,F88)=0),"CHECK: Risk ID not found",IF(AND(F88&lt;&gt;"",COUNTIF(RSK_ID,F88)&gt;0,IFERROR(INDEX(RSK_SUP,MATCH(F88,RSK_ID,0)),"")&lt;&gt;B88),"CHECK: Risk belongs to a different supplier",IF(AND(N88="Accepted - exception approved",O88=""),"CHECK: exception approval reference missing","OK")))))))</f>
        <v/>
      </c>
      <c r="S88" s="61" t="str">
        <f aca="false">IF(OR(A88="",B88=""),"",IF(AND(Q88="Open gap",B88=RptSup),B88&amp;"|"&amp;COUNTIFS($B$7:B88,B88,$Q$7:Q88,"Open gap"),""))</f>
        <v/>
      </c>
    </row>
    <row r="89" customFormat="false" ht="15" hidden="false" customHeight="false" outlineLevel="0" collapsed="false">
      <c r="A89" s="50"/>
      <c r="B89" s="50"/>
      <c r="C89" s="59" t="str">
        <f aca="false">IF(B89="","",IFERROR(INDEX(INV_NAME,MATCH(B89,INV_ID,0)),"CHECK: Supplier ID not found"))</f>
        <v/>
      </c>
      <c r="D89" s="34"/>
      <c r="E89" s="34"/>
      <c r="F89" s="50"/>
      <c r="G89" s="34"/>
      <c r="H89" s="34"/>
      <c r="I89" s="34"/>
      <c r="J89" s="34"/>
      <c r="K89" s="34"/>
      <c r="L89" s="34"/>
      <c r="M89" s="34"/>
      <c r="N89" s="34"/>
      <c r="O89" s="34"/>
      <c r="P89" s="51"/>
      <c r="Q89" s="54" t="str">
        <f aca="false">IF(A89="","",IF(I89="Gap identified",IF(OR(N89="Amended",N89="Accepted - exception approved",N89="No action required",N89="Not applicable",N89="Withdrawn"),"Gap dispositioned","Open gap"),IF(I89="Not reviewed","Not reviewed",IF(I89="Clause present - legal review pending","Present - legal review pending",IF(I89="Clause reviewed - no gap noted","Reviewed - no gap noted (not a legal compliance conclusion)",IF(I89="Not applicable","Not applicable","Not reviewed"))))))</f>
        <v/>
      </c>
      <c r="R89" s="54" t="str">
        <f aca="false">IF(A89="","",IF(COUNTIF(CON_ID,A89)&gt;1,"CHECK: duplicate ID",IF(B89="","CHECK: Supplier ID missing",IF(COUNTIF(INV_ID,B89)=0,"CHECK: Supplier ID not in inventory",IF(AND(F89&lt;&gt;"",COUNTIF(RSK_ID,F89)=0),"CHECK: Risk ID not found",IF(AND(F89&lt;&gt;"",COUNTIF(RSK_ID,F89)&gt;0,IFERROR(INDEX(RSK_SUP,MATCH(F89,RSK_ID,0)),"")&lt;&gt;B89),"CHECK: Risk belongs to a different supplier",IF(AND(N89="Accepted - exception approved",O89=""),"CHECK: exception approval reference missing","OK")))))))</f>
        <v/>
      </c>
      <c r="S89" s="61" t="str">
        <f aca="false">IF(OR(A89="",B89=""),"",IF(AND(Q89="Open gap",B89=RptSup),B89&amp;"|"&amp;COUNTIFS($B$7:B89,B89,$Q$7:Q89,"Open gap"),""))</f>
        <v/>
      </c>
    </row>
    <row r="90" customFormat="false" ht="15" hidden="false" customHeight="false" outlineLevel="0" collapsed="false">
      <c r="A90" s="50"/>
      <c r="B90" s="50"/>
      <c r="C90" s="59" t="str">
        <f aca="false">IF(B90="","",IFERROR(INDEX(INV_NAME,MATCH(B90,INV_ID,0)),"CHECK: Supplier ID not found"))</f>
        <v/>
      </c>
      <c r="D90" s="34"/>
      <c r="E90" s="34"/>
      <c r="F90" s="50"/>
      <c r="G90" s="34"/>
      <c r="H90" s="34"/>
      <c r="I90" s="34"/>
      <c r="J90" s="34"/>
      <c r="K90" s="34"/>
      <c r="L90" s="34"/>
      <c r="M90" s="34"/>
      <c r="N90" s="34"/>
      <c r="O90" s="34"/>
      <c r="P90" s="51"/>
      <c r="Q90" s="54" t="str">
        <f aca="false">IF(A90="","",IF(I90="Gap identified",IF(OR(N90="Amended",N90="Accepted - exception approved",N90="No action required",N90="Not applicable",N90="Withdrawn"),"Gap dispositioned","Open gap"),IF(I90="Not reviewed","Not reviewed",IF(I90="Clause present - legal review pending","Present - legal review pending",IF(I90="Clause reviewed - no gap noted","Reviewed - no gap noted (not a legal compliance conclusion)",IF(I90="Not applicable","Not applicable","Not reviewed"))))))</f>
        <v/>
      </c>
      <c r="R90" s="54" t="str">
        <f aca="false">IF(A90="","",IF(COUNTIF(CON_ID,A90)&gt;1,"CHECK: duplicate ID",IF(B90="","CHECK: Supplier ID missing",IF(COUNTIF(INV_ID,B90)=0,"CHECK: Supplier ID not in inventory",IF(AND(F90&lt;&gt;"",COUNTIF(RSK_ID,F90)=0),"CHECK: Risk ID not found",IF(AND(F90&lt;&gt;"",COUNTIF(RSK_ID,F90)&gt;0,IFERROR(INDEX(RSK_SUP,MATCH(F90,RSK_ID,0)),"")&lt;&gt;B90),"CHECK: Risk belongs to a different supplier",IF(AND(N90="Accepted - exception approved",O90=""),"CHECK: exception approval reference missing","OK")))))))</f>
        <v/>
      </c>
      <c r="S90" s="61" t="str">
        <f aca="false">IF(OR(A90="",B90=""),"",IF(AND(Q90="Open gap",B90=RptSup),B90&amp;"|"&amp;COUNTIFS($B$7:B90,B90,$Q$7:Q90,"Open gap"),""))</f>
        <v/>
      </c>
    </row>
    <row r="91" customFormat="false" ht="15" hidden="false" customHeight="false" outlineLevel="0" collapsed="false">
      <c r="A91" s="50"/>
      <c r="B91" s="50"/>
      <c r="C91" s="59" t="str">
        <f aca="false">IF(B91="","",IFERROR(INDEX(INV_NAME,MATCH(B91,INV_ID,0)),"CHECK: Supplier ID not found"))</f>
        <v/>
      </c>
      <c r="D91" s="34"/>
      <c r="E91" s="34"/>
      <c r="F91" s="50"/>
      <c r="G91" s="34"/>
      <c r="H91" s="34"/>
      <c r="I91" s="34"/>
      <c r="J91" s="34"/>
      <c r="K91" s="34"/>
      <c r="L91" s="34"/>
      <c r="M91" s="34"/>
      <c r="N91" s="34"/>
      <c r="O91" s="34"/>
      <c r="P91" s="51"/>
      <c r="Q91" s="54" t="str">
        <f aca="false">IF(A91="","",IF(I91="Gap identified",IF(OR(N91="Amended",N91="Accepted - exception approved",N91="No action required",N91="Not applicable",N91="Withdrawn"),"Gap dispositioned","Open gap"),IF(I91="Not reviewed","Not reviewed",IF(I91="Clause present - legal review pending","Present - legal review pending",IF(I91="Clause reviewed - no gap noted","Reviewed - no gap noted (not a legal compliance conclusion)",IF(I91="Not applicable","Not applicable","Not reviewed"))))))</f>
        <v/>
      </c>
      <c r="R91" s="54" t="str">
        <f aca="false">IF(A91="","",IF(COUNTIF(CON_ID,A91)&gt;1,"CHECK: duplicate ID",IF(B91="","CHECK: Supplier ID missing",IF(COUNTIF(INV_ID,B91)=0,"CHECK: Supplier ID not in inventory",IF(AND(F91&lt;&gt;"",COUNTIF(RSK_ID,F91)=0),"CHECK: Risk ID not found",IF(AND(F91&lt;&gt;"",COUNTIF(RSK_ID,F91)&gt;0,IFERROR(INDEX(RSK_SUP,MATCH(F91,RSK_ID,0)),"")&lt;&gt;B91),"CHECK: Risk belongs to a different supplier",IF(AND(N91="Accepted - exception approved",O91=""),"CHECK: exception approval reference missing","OK")))))))</f>
        <v/>
      </c>
      <c r="S91" s="61" t="str">
        <f aca="false">IF(OR(A91="",B91=""),"",IF(AND(Q91="Open gap",B91=RptSup),B91&amp;"|"&amp;COUNTIFS($B$7:B91,B91,$Q$7:Q91,"Open gap"),""))</f>
        <v/>
      </c>
    </row>
    <row r="92" customFormat="false" ht="15" hidden="false" customHeight="false" outlineLevel="0" collapsed="false">
      <c r="A92" s="50"/>
      <c r="B92" s="50"/>
      <c r="C92" s="59" t="str">
        <f aca="false">IF(B92="","",IFERROR(INDEX(INV_NAME,MATCH(B92,INV_ID,0)),"CHECK: Supplier ID not found"))</f>
        <v/>
      </c>
      <c r="D92" s="34"/>
      <c r="E92" s="34"/>
      <c r="F92" s="50"/>
      <c r="G92" s="34"/>
      <c r="H92" s="34"/>
      <c r="I92" s="34"/>
      <c r="J92" s="34"/>
      <c r="K92" s="34"/>
      <c r="L92" s="34"/>
      <c r="M92" s="34"/>
      <c r="N92" s="34"/>
      <c r="O92" s="34"/>
      <c r="P92" s="51"/>
      <c r="Q92" s="54" t="str">
        <f aca="false">IF(A92="","",IF(I92="Gap identified",IF(OR(N92="Amended",N92="Accepted - exception approved",N92="No action required",N92="Not applicable",N92="Withdrawn"),"Gap dispositioned","Open gap"),IF(I92="Not reviewed","Not reviewed",IF(I92="Clause present - legal review pending","Present - legal review pending",IF(I92="Clause reviewed - no gap noted","Reviewed - no gap noted (not a legal compliance conclusion)",IF(I92="Not applicable","Not applicable","Not reviewed"))))))</f>
        <v/>
      </c>
      <c r="R92" s="54" t="str">
        <f aca="false">IF(A92="","",IF(COUNTIF(CON_ID,A92)&gt;1,"CHECK: duplicate ID",IF(B92="","CHECK: Supplier ID missing",IF(COUNTIF(INV_ID,B92)=0,"CHECK: Supplier ID not in inventory",IF(AND(F92&lt;&gt;"",COUNTIF(RSK_ID,F92)=0),"CHECK: Risk ID not found",IF(AND(F92&lt;&gt;"",COUNTIF(RSK_ID,F92)&gt;0,IFERROR(INDEX(RSK_SUP,MATCH(F92,RSK_ID,0)),"")&lt;&gt;B92),"CHECK: Risk belongs to a different supplier",IF(AND(N92="Accepted - exception approved",O92=""),"CHECK: exception approval reference missing","OK")))))))</f>
        <v/>
      </c>
      <c r="S92" s="61" t="str">
        <f aca="false">IF(OR(A92="",B92=""),"",IF(AND(Q92="Open gap",B92=RptSup),B92&amp;"|"&amp;COUNTIFS($B$7:B92,B92,$Q$7:Q92,"Open gap"),""))</f>
        <v/>
      </c>
    </row>
    <row r="93" customFormat="false" ht="15" hidden="false" customHeight="false" outlineLevel="0" collapsed="false">
      <c r="A93" s="50"/>
      <c r="B93" s="50"/>
      <c r="C93" s="59" t="str">
        <f aca="false">IF(B93="","",IFERROR(INDEX(INV_NAME,MATCH(B93,INV_ID,0)),"CHECK: Supplier ID not found"))</f>
        <v/>
      </c>
      <c r="D93" s="34"/>
      <c r="E93" s="34"/>
      <c r="F93" s="50"/>
      <c r="G93" s="34"/>
      <c r="H93" s="34"/>
      <c r="I93" s="34"/>
      <c r="J93" s="34"/>
      <c r="K93" s="34"/>
      <c r="L93" s="34"/>
      <c r="M93" s="34"/>
      <c r="N93" s="34"/>
      <c r="O93" s="34"/>
      <c r="P93" s="51"/>
      <c r="Q93" s="54" t="str">
        <f aca="false">IF(A93="","",IF(I93="Gap identified",IF(OR(N93="Amended",N93="Accepted - exception approved",N93="No action required",N93="Not applicable",N93="Withdrawn"),"Gap dispositioned","Open gap"),IF(I93="Not reviewed","Not reviewed",IF(I93="Clause present - legal review pending","Present - legal review pending",IF(I93="Clause reviewed - no gap noted","Reviewed - no gap noted (not a legal compliance conclusion)",IF(I93="Not applicable","Not applicable","Not reviewed"))))))</f>
        <v/>
      </c>
      <c r="R93" s="54" t="str">
        <f aca="false">IF(A93="","",IF(COUNTIF(CON_ID,A93)&gt;1,"CHECK: duplicate ID",IF(B93="","CHECK: Supplier ID missing",IF(COUNTIF(INV_ID,B93)=0,"CHECK: Supplier ID not in inventory",IF(AND(F93&lt;&gt;"",COUNTIF(RSK_ID,F93)=0),"CHECK: Risk ID not found",IF(AND(F93&lt;&gt;"",COUNTIF(RSK_ID,F93)&gt;0,IFERROR(INDEX(RSK_SUP,MATCH(F93,RSK_ID,0)),"")&lt;&gt;B93),"CHECK: Risk belongs to a different supplier",IF(AND(N93="Accepted - exception approved",O93=""),"CHECK: exception approval reference missing","OK")))))))</f>
        <v/>
      </c>
      <c r="S93" s="61" t="str">
        <f aca="false">IF(OR(A93="",B93=""),"",IF(AND(Q93="Open gap",B93=RptSup),B93&amp;"|"&amp;COUNTIFS($B$7:B93,B93,$Q$7:Q93,"Open gap"),""))</f>
        <v/>
      </c>
    </row>
    <row r="94" customFormat="false" ht="15" hidden="false" customHeight="false" outlineLevel="0" collapsed="false">
      <c r="A94" s="50"/>
      <c r="B94" s="50"/>
      <c r="C94" s="59" t="str">
        <f aca="false">IF(B94="","",IFERROR(INDEX(INV_NAME,MATCH(B94,INV_ID,0)),"CHECK: Supplier ID not found"))</f>
        <v/>
      </c>
      <c r="D94" s="34"/>
      <c r="E94" s="34"/>
      <c r="F94" s="50"/>
      <c r="G94" s="34"/>
      <c r="H94" s="34"/>
      <c r="I94" s="34"/>
      <c r="J94" s="34"/>
      <c r="K94" s="34"/>
      <c r="L94" s="34"/>
      <c r="M94" s="34"/>
      <c r="N94" s="34"/>
      <c r="O94" s="34"/>
      <c r="P94" s="51"/>
      <c r="Q94" s="54" t="str">
        <f aca="false">IF(A94="","",IF(I94="Gap identified",IF(OR(N94="Amended",N94="Accepted - exception approved",N94="No action required",N94="Not applicable",N94="Withdrawn"),"Gap dispositioned","Open gap"),IF(I94="Not reviewed","Not reviewed",IF(I94="Clause present - legal review pending","Present - legal review pending",IF(I94="Clause reviewed - no gap noted","Reviewed - no gap noted (not a legal compliance conclusion)",IF(I94="Not applicable","Not applicable","Not reviewed"))))))</f>
        <v/>
      </c>
      <c r="R94" s="54" t="str">
        <f aca="false">IF(A94="","",IF(COUNTIF(CON_ID,A94)&gt;1,"CHECK: duplicate ID",IF(B94="","CHECK: Supplier ID missing",IF(COUNTIF(INV_ID,B94)=0,"CHECK: Supplier ID not in inventory",IF(AND(F94&lt;&gt;"",COUNTIF(RSK_ID,F94)=0),"CHECK: Risk ID not found",IF(AND(F94&lt;&gt;"",COUNTIF(RSK_ID,F94)&gt;0,IFERROR(INDEX(RSK_SUP,MATCH(F94,RSK_ID,0)),"")&lt;&gt;B94),"CHECK: Risk belongs to a different supplier",IF(AND(N94="Accepted - exception approved",O94=""),"CHECK: exception approval reference missing","OK")))))))</f>
        <v/>
      </c>
      <c r="S94" s="61" t="str">
        <f aca="false">IF(OR(A94="",B94=""),"",IF(AND(Q94="Open gap",B94=RptSup),B94&amp;"|"&amp;COUNTIFS($B$7:B94,B94,$Q$7:Q94,"Open gap"),""))</f>
        <v/>
      </c>
    </row>
    <row r="95" customFormat="false" ht="15" hidden="false" customHeight="false" outlineLevel="0" collapsed="false">
      <c r="A95" s="50"/>
      <c r="B95" s="50"/>
      <c r="C95" s="59" t="str">
        <f aca="false">IF(B95="","",IFERROR(INDEX(INV_NAME,MATCH(B95,INV_ID,0)),"CHECK: Supplier ID not found"))</f>
        <v/>
      </c>
      <c r="D95" s="34"/>
      <c r="E95" s="34"/>
      <c r="F95" s="50"/>
      <c r="G95" s="34"/>
      <c r="H95" s="34"/>
      <c r="I95" s="34"/>
      <c r="J95" s="34"/>
      <c r="K95" s="34"/>
      <c r="L95" s="34"/>
      <c r="M95" s="34"/>
      <c r="N95" s="34"/>
      <c r="O95" s="34"/>
      <c r="P95" s="51"/>
      <c r="Q95" s="54" t="str">
        <f aca="false">IF(A95="","",IF(I95="Gap identified",IF(OR(N95="Amended",N95="Accepted - exception approved",N95="No action required",N95="Not applicable",N95="Withdrawn"),"Gap dispositioned","Open gap"),IF(I95="Not reviewed","Not reviewed",IF(I95="Clause present - legal review pending","Present - legal review pending",IF(I95="Clause reviewed - no gap noted","Reviewed - no gap noted (not a legal compliance conclusion)",IF(I95="Not applicable","Not applicable","Not reviewed"))))))</f>
        <v/>
      </c>
      <c r="R95" s="54" t="str">
        <f aca="false">IF(A95="","",IF(COUNTIF(CON_ID,A95)&gt;1,"CHECK: duplicate ID",IF(B95="","CHECK: Supplier ID missing",IF(COUNTIF(INV_ID,B95)=0,"CHECK: Supplier ID not in inventory",IF(AND(F95&lt;&gt;"",COUNTIF(RSK_ID,F95)=0),"CHECK: Risk ID not found",IF(AND(F95&lt;&gt;"",COUNTIF(RSK_ID,F95)&gt;0,IFERROR(INDEX(RSK_SUP,MATCH(F95,RSK_ID,0)),"")&lt;&gt;B95),"CHECK: Risk belongs to a different supplier",IF(AND(N95="Accepted - exception approved",O95=""),"CHECK: exception approval reference missing","OK")))))))</f>
        <v/>
      </c>
      <c r="S95" s="61" t="str">
        <f aca="false">IF(OR(A95="",B95=""),"",IF(AND(Q95="Open gap",B95=RptSup),B95&amp;"|"&amp;COUNTIFS($B$7:B95,B95,$Q$7:Q95,"Open gap"),""))</f>
        <v/>
      </c>
    </row>
    <row r="96" customFormat="false" ht="15" hidden="false" customHeight="false" outlineLevel="0" collapsed="false">
      <c r="A96" s="50"/>
      <c r="B96" s="50"/>
      <c r="C96" s="59" t="str">
        <f aca="false">IF(B96="","",IFERROR(INDEX(INV_NAME,MATCH(B96,INV_ID,0)),"CHECK: Supplier ID not found"))</f>
        <v/>
      </c>
      <c r="D96" s="34"/>
      <c r="E96" s="34"/>
      <c r="F96" s="50"/>
      <c r="G96" s="34"/>
      <c r="H96" s="34"/>
      <c r="I96" s="34"/>
      <c r="J96" s="34"/>
      <c r="K96" s="34"/>
      <c r="L96" s="34"/>
      <c r="M96" s="34"/>
      <c r="N96" s="34"/>
      <c r="O96" s="34"/>
      <c r="P96" s="51"/>
      <c r="Q96" s="54" t="str">
        <f aca="false">IF(A96="","",IF(I96="Gap identified",IF(OR(N96="Amended",N96="Accepted - exception approved",N96="No action required",N96="Not applicable",N96="Withdrawn"),"Gap dispositioned","Open gap"),IF(I96="Not reviewed","Not reviewed",IF(I96="Clause present - legal review pending","Present - legal review pending",IF(I96="Clause reviewed - no gap noted","Reviewed - no gap noted (not a legal compliance conclusion)",IF(I96="Not applicable","Not applicable","Not reviewed"))))))</f>
        <v/>
      </c>
      <c r="R96" s="54" t="str">
        <f aca="false">IF(A96="","",IF(COUNTIF(CON_ID,A96)&gt;1,"CHECK: duplicate ID",IF(B96="","CHECK: Supplier ID missing",IF(COUNTIF(INV_ID,B96)=0,"CHECK: Supplier ID not in inventory",IF(AND(F96&lt;&gt;"",COUNTIF(RSK_ID,F96)=0),"CHECK: Risk ID not found",IF(AND(F96&lt;&gt;"",COUNTIF(RSK_ID,F96)&gt;0,IFERROR(INDEX(RSK_SUP,MATCH(F96,RSK_ID,0)),"")&lt;&gt;B96),"CHECK: Risk belongs to a different supplier",IF(AND(N96="Accepted - exception approved",O96=""),"CHECK: exception approval reference missing","OK")))))))</f>
        <v/>
      </c>
      <c r="S96" s="61" t="str">
        <f aca="false">IF(OR(A96="",B96=""),"",IF(AND(Q96="Open gap",B96=RptSup),B96&amp;"|"&amp;COUNTIFS($B$7:B96,B96,$Q$7:Q96,"Open gap"),""))</f>
        <v/>
      </c>
    </row>
    <row r="97" customFormat="false" ht="15" hidden="false" customHeight="false" outlineLevel="0" collapsed="false">
      <c r="A97" s="50"/>
      <c r="B97" s="50"/>
      <c r="C97" s="59" t="str">
        <f aca="false">IF(B97="","",IFERROR(INDEX(INV_NAME,MATCH(B97,INV_ID,0)),"CHECK: Supplier ID not found"))</f>
        <v/>
      </c>
      <c r="D97" s="34"/>
      <c r="E97" s="34"/>
      <c r="F97" s="50"/>
      <c r="G97" s="34"/>
      <c r="H97" s="34"/>
      <c r="I97" s="34"/>
      <c r="J97" s="34"/>
      <c r="K97" s="34"/>
      <c r="L97" s="34"/>
      <c r="M97" s="34"/>
      <c r="N97" s="34"/>
      <c r="O97" s="34"/>
      <c r="P97" s="51"/>
      <c r="Q97" s="54" t="str">
        <f aca="false">IF(A97="","",IF(I97="Gap identified",IF(OR(N97="Amended",N97="Accepted - exception approved",N97="No action required",N97="Not applicable",N97="Withdrawn"),"Gap dispositioned","Open gap"),IF(I97="Not reviewed","Not reviewed",IF(I97="Clause present - legal review pending","Present - legal review pending",IF(I97="Clause reviewed - no gap noted","Reviewed - no gap noted (not a legal compliance conclusion)",IF(I97="Not applicable","Not applicable","Not reviewed"))))))</f>
        <v/>
      </c>
      <c r="R97" s="54" t="str">
        <f aca="false">IF(A97="","",IF(COUNTIF(CON_ID,A97)&gt;1,"CHECK: duplicate ID",IF(B97="","CHECK: Supplier ID missing",IF(COUNTIF(INV_ID,B97)=0,"CHECK: Supplier ID not in inventory",IF(AND(F97&lt;&gt;"",COUNTIF(RSK_ID,F97)=0),"CHECK: Risk ID not found",IF(AND(F97&lt;&gt;"",COUNTIF(RSK_ID,F97)&gt;0,IFERROR(INDEX(RSK_SUP,MATCH(F97,RSK_ID,0)),"")&lt;&gt;B97),"CHECK: Risk belongs to a different supplier",IF(AND(N97="Accepted - exception approved",O97=""),"CHECK: exception approval reference missing","OK")))))))</f>
        <v/>
      </c>
      <c r="S97" s="61" t="str">
        <f aca="false">IF(OR(A97="",B97=""),"",IF(AND(Q97="Open gap",B97=RptSup),B97&amp;"|"&amp;COUNTIFS($B$7:B97,B97,$Q$7:Q97,"Open gap"),""))</f>
        <v/>
      </c>
    </row>
    <row r="98" customFormat="false" ht="15" hidden="false" customHeight="false" outlineLevel="0" collapsed="false">
      <c r="A98" s="50"/>
      <c r="B98" s="50"/>
      <c r="C98" s="59" t="str">
        <f aca="false">IF(B98="","",IFERROR(INDEX(INV_NAME,MATCH(B98,INV_ID,0)),"CHECK: Supplier ID not found"))</f>
        <v/>
      </c>
      <c r="D98" s="34"/>
      <c r="E98" s="34"/>
      <c r="F98" s="50"/>
      <c r="G98" s="34"/>
      <c r="H98" s="34"/>
      <c r="I98" s="34"/>
      <c r="J98" s="34"/>
      <c r="K98" s="34"/>
      <c r="L98" s="34"/>
      <c r="M98" s="34"/>
      <c r="N98" s="34"/>
      <c r="O98" s="34"/>
      <c r="P98" s="51"/>
      <c r="Q98" s="54" t="str">
        <f aca="false">IF(A98="","",IF(I98="Gap identified",IF(OR(N98="Amended",N98="Accepted - exception approved",N98="No action required",N98="Not applicable",N98="Withdrawn"),"Gap dispositioned","Open gap"),IF(I98="Not reviewed","Not reviewed",IF(I98="Clause present - legal review pending","Present - legal review pending",IF(I98="Clause reviewed - no gap noted","Reviewed - no gap noted (not a legal compliance conclusion)",IF(I98="Not applicable","Not applicable","Not reviewed"))))))</f>
        <v/>
      </c>
      <c r="R98" s="54" t="str">
        <f aca="false">IF(A98="","",IF(COUNTIF(CON_ID,A98)&gt;1,"CHECK: duplicate ID",IF(B98="","CHECK: Supplier ID missing",IF(COUNTIF(INV_ID,B98)=0,"CHECK: Supplier ID not in inventory",IF(AND(F98&lt;&gt;"",COUNTIF(RSK_ID,F98)=0),"CHECK: Risk ID not found",IF(AND(F98&lt;&gt;"",COUNTIF(RSK_ID,F98)&gt;0,IFERROR(INDEX(RSK_SUP,MATCH(F98,RSK_ID,0)),"")&lt;&gt;B98),"CHECK: Risk belongs to a different supplier",IF(AND(N98="Accepted - exception approved",O98=""),"CHECK: exception approval reference missing","OK")))))))</f>
        <v/>
      </c>
      <c r="S98" s="61" t="str">
        <f aca="false">IF(OR(A98="",B98=""),"",IF(AND(Q98="Open gap",B98=RptSup),B98&amp;"|"&amp;COUNTIFS($B$7:B98,B98,$Q$7:Q98,"Open gap"),""))</f>
        <v/>
      </c>
    </row>
    <row r="99" customFormat="false" ht="15" hidden="false" customHeight="false" outlineLevel="0" collapsed="false">
      <c r="A99" s="50"/>
      <c r="B99" s="50"/>
      <c r="C99" s="59" t="str">
        <f aca="false">IF(B99="","",IFERROR(INDEX(INV_NAME,MATCH(B99,INV_ID,0)),"CHECK: Supplier ID not found"))</f>
        <v/>
      </c>
      <c r="D99" s="34"/>
      <c r="E99" s="34"/>
      <c r="F99" s="50"/>
      <c r="G99" s="34"/>
      <c r="H99" s="34"/>
      <c r="I99" s="34"/>
      <c r="J99" s="34"/>
      <c r="K99" s="34"/>
      <c r="L99" s="34"/>
      <c r="M99" s="34"/>
      <c r="N99" s="34"/>
      <c r="O99" s="34"/>
      <c r="P99" s="51"/>
      <c r="Q99" s="54" t="str">
        <f aca="false">IF(A99="","",IF(I99="Gap identified",IF(OR(N99="Amended",N99="Accepted - exception approved",N99="No action required",N99="Not applicable",N99="Withdrawn"),"Gap dispositioned","Open gap"),IF(I99="Not reviewed","Not reviewed",IF(I99="Clause present - legal review pending","Present - legal review pending",IF(I99="Clause reviewed - no gap noted","Reviewed - no gap noted (not a legal compliance conclusion)",IF(I99="Not applicable","Not applicable","Not reviewed"))))))</f>
        <v/>
      </c>
      <c r="R99" s="54" t="str">
        <f aca="false">IF(A99="","",IF(COUNTIF(CON_ID,A99)&gt;1,"CHECK: duplicate ID",IF(B99="","CHECK: Supplier ID missing",IF(COUNTIF(INV_ID,B99)=0,"CHECK: Supplier ID not in inventory",IF(AND(F99&lt;&gt;"",COUNTIF(RSK_ID,F99)=0),"CHECK: Risk ID not found",IF(AND(F99&lt;&gt;"",COUNTIF(RSK_ID,F99)&gt;0,IFERROR(INDEX(RSK_SUP,MATCH(F99,RSK_ID,0)),"")&lt;&gt;B99),"CHECK: Risk belongs to a different supplier",IF(AND(N99="Accepted - exception approved",O99=""),"CHECK: exception approval reference missing","OK")))))))</f>
        <v/>
      </c>
      <c r="S99" s="61" t="str">
        <f aca="false">IF(OR(A99="",B99=""),"",IF(AND(Q99="Open gap",B99=RptSup),B99&amp;"|"&amp;COUNTIFS($B$7:B99,B99,$Q$7:Q99,"Open gap"),""))</f>
        <v/>
      </c>
    </row>
    <row r="100" customFormat="false" ht="15" hidden="false" customHeight="false" outlineLevel="0" collapsed="false">
      <c r="A100" s="50"/>
      <c r="B100" s="50"/>
      <c r="C100" s="59" t="str">
        <f aca="false">IF(B100="","",IFERROR(INDEX(INV_NAME,MATCH(B100,INV_ID,0)),"CHECK: Supplier ID not found"))</f>
        <v/>
      </c>
      <c r="D100" s="34"/>
      <c r="E100" s="34"/>
      <c r="F100" s="50"/>
      <c r="G100" s="34"/>
      <c r="H100" s="34"/>
      <c r="I100" s="34"/>
      <c r="J100" s="34"/>
      <c r="K100" s="34"/>
      <c r="L100" s="34"/>
      <c r="M100" s="34"/>
      <c r="N100" s="34"/>
      <c r="O100" s="34"/>
      <c r="P100" s="51"/>
      <c r="Q100" s="54" t="str">
        <f aca="false">IF(A100="","",IF(I100="Gap identified",IF(OR(N100="Amended",N100="Accepted - exception approved",N100="No action required",N100="Not applicable",N100="Withdrawn"),"Gap dispositioned","Open gap"),IF(I100="Not reviewed","Not reviewed",IF(I100="Clause present - legal review pending","Present - legal review pending",IF(I100="Clause reviewed - no gap noted","Reviewed - no gap noted (not a legal compliance conclusion)",IF(I100="Not applicable","Not applicable","Not reviewed"))))))</f>
        <v/>
      </c>
      <c r="R100" s="54" t="str">
        <f aca="false">IF(A100="","",IF(COUNTIF(CON_ID,A100)&gt;1,"CHECK: duplicate ID",IF(B100="","CHECK: Supplier ID missing",IF(COUNTIF(INV_ID,B100)=0,"CHECK: Supplier ID not in inventory",IF(AND(F100&lt;&gt;"",COUNTIF(RSK_ID,F100)=0),"CHECK: Risk ID not found",IF(AND(F100&lt;&gt;"",COUNTIF(RSK_ID,F100)&gt;0,IFERROR(INDEX(RSK_SUP,MATCH(F100,RSK_ID,0)),"")&lt;&gt;B100),"CHECK: Risk belongs to a different supplier",IF(AND(N100="Accepted - exception approved",O100=""),"CHECK: exception approval reference missing","OK")))))))</f>
        <v/>
      </c>
      <c r="S100" s="61" t="str">
        <f aca="false">IF(OR(A100="",B100=""),"",IF(AND(Q100="Open gap",B100=RptSup),B100&amp;"|"&amp;COUNTIFS($B$7:B100,B100,$Q$7:Q100,"Open gap"),""))</f>
        <v/>
      </c>
    </row>
    <row r="101" customFormat="false" ht="15" hidden="false" customHeight="false" outlineLevel="0" collapsed="false">
      <c r="A101" s="50"/>
      <c r="B101" s="50"/>
      <c r="C101" s="59" t="str">
        <f aca="false">IF(B101="","",IFERROR(INDEX(INV_NAME,MATCH(B101,INV_ID,0)),"CHECK: Supplier ID not found"))</f>
        <v/>
      </c>
      <c r="D101" s="34"/>
      <c r="E101" s="34"/>
      <c r="F101" s="50"/>
      <c r="G101" s="34"/>
      <c r="H101" s="34"/>
      <c r="I101" s="34"/>
      <c r="J101" s="34"/>
      <c r="K101" s="34"/>
      <c r="L101" s="34"/>
      <c r="M101" s="34"/>
      <c r="N101" s="34"/>
      <c r="O101" s="34"/>
      <c r="P101" s="51"/>
      <c r="Q101" s="54" t="str">
        <f aca="false">IF(A101="","",IF(I101="Gap identified",IF(OR(N101="Amended",N101="Accepted - exception approved",N101="No action required",N101="Not applicable",N101="Withdrawn"),"Gap dispositioned","Open gap"),IF(I101="Not reviewed","Not reviewed",IF(I101="Clause present - legal review pending","Present - legal review pending",IF(I101="Clause reviewed - no gap noted","Reviewed - no gap noted (not a legal compliance conclusion)",IF(I101="Not applicable","Not applicable","Not reviewed"))))))</f>
        <v/>
      </c>
      <c r="R101" s="54" t="str">
        <f aca="false">IF(A101="","",IF(COUNTIF(CON_ID,A101)&gt;1,"CHECK: duplicate ID",IF(B101="","CHECK: Supplier ID missing",IF(COUNTIF(INV_ID,B101)=0,"CHECK: Supplier ID not in inventory",IF(AND(F101&lt;&gt;"",COUNTIF(RSK_ID,F101)=0),"CHECK: Risk ID not found",IF(AND(F101&lt;&gt;"",COUNTIF(RSK_ID,F101)&gt;0,IFERROR(INDEX(RSK_SUP,MATCH(F101,RSK_ID,0)),"")&lt;&gt;B101),"CHECK: Risk belongs to a different supplier",IF(AND(N101="Accepted - exception approved",O101=""),"CHECK: exception approval reference missing","OK")))))))</f>
        <v/>
      </c>
      <c r="S101" s="61" t="str">
        <f aca="false">IF(OR(A101="",B101=""),"",IF(AND(Q101="Open gap",B101=RptSup),B101&amp;"|"&amp;COUNTIFS($B$7:B101,B101,$Q$7:Q101,"Open gap"),""))</f>
        <v/>
      </c>
    </row>
    <row r="102" customFormat="false" ht="15" hidden="false" customHeight="false" outlineLevel="0" collapsed="false">
      <c r="A102" s="50"/>
      <c r="B102" s="50"/>
      <c r="C102" s="59" t="str">
        <f aca="false">IF(B102="","",IFERROR(INDEX(INV_NAME,MATCH(B102,INV_ID,0)),"CHECK: Supplier ID not found"))</f>
        <v/>
      </c>
      <c r="D102" s="34"/>
      <c r="E102" s="34"/>
      <c r="F102" s="50"/>
      <c r="G102" s="34"/>
      <c r="H102" s="34"/>
      <c r="I102" s="34"/>
      <c r="J102" s="34"/>
      <c r="K102" s="34"/>
      <c r="L102" s="34"/>
      <c r="M102" s="34"/>
      <c r="N102" s="34"/>
      <c r="O102" s="34"/>
      <c r="P102" s="51"/>
      <c r="Q102" s="54" t="str">
        <f aca="false">IF(A102="","",IF(I102="Gap identified",IF(OR(N102="Amended",N102="Accepted - exception approved",N102="No action required",N102="Not applicable",N102="Withdrawn"),"Gap dispositioned","Open gap"),IF(I102="Not reviewed","Not reviewed",IF(I102="Clause present - legal review pending","Present - legal review pending",IF(I102="Clause reviewed - no gap noted","Reviewed - no gap noted (not a legal compliance conclusion)",IF(I102="Not applicable","Not applicable","Not reviewed"))))))</f>
        <v/>
      </c>
      <c r="R102" s="54" t="str">
        <f aca="false">IF(A102="","",IF(COUNTIF(CON_ID,A102)&gt;1,"CHECK: duplicate ID",IF(B102="","CHECK: Supplier ID missing",IF(COUNTIF(INV_ID,B102)=0,"CHECK: Supplier ID not in inventory",IF(AND(F102&lt;&gt;"",COUNTIF(RSK_ID,F102)=0),"CHECK: Risk ID not found",IF(AND(F102&lt;&gt;"",COUNTIF(RSK_ID,F102)&gt;0,IFERROR(INDEX(RSK_SUP,MATCH(F102,RSK_ID,0)),"")&lt;&gt;B102),"CHECK: Risk belongs to a different supplier",IF(AND(N102="Accepted - exception approved",O102=""),"CHECK: exception approval reference missing","OK")))))))</f>
        <v/>
      </c>
      <c r="S102" s="61" t="str">
        <f aca="false">IF(OR(A102="",B102=""),"",IF(AND(Q102="Open gap",B102=RptSup),B102&amp;"|"&amp;COUNTIFS($B$7:B102,B102,$Q$7:Q102,"Open gap"),""))</f>
        <v/>
      </c>
    </row>
    <row r="103" customFormat="false" ht="15" hidden="false" customHeight="false" outlineLevel="0" collapsed="false">
      <c r="A103" s="50"/>
      <c r="B103" s="50"/>
      <c r="C103" s="59" t="str">
        <f aca="false">IF(B103="","",IFERROR(INDEX(INV_NAME,MATCH(B103,INV_ID,0)),"CHECK: Supplier ID not found"))</f>
        <v/>
      </c>
      <c r="D103" s="34"/>
      <c r="E103" s="34"/>
      <c r="F103" s="50"/>
      <c r="G103" s="34"/>
      <c r="H103" s="34"/>
      <c r="I103" s="34"/>
      <c r="J103" s="34"/>
      <c r="K103" s="34"/>
      <c r="L103" s="34"/>
      <c r="M103" s="34"/>
      <c r="N103" s="34"/>
      <c r="O103" s="34"/>
      <c r="P103" s="51"/>
      <c r="Q103" s="54" t="str">
        <f aca="false">IF(A103="","",IF(I103="Gap identified",IF(OR(N103="Amended",N103="Accepted - exception approved",N103="No action required",N103="Not applicable",N103="Withdrawn"),"Gap dispositioned","Open gap"),IF(I103="Not reviewed","Not reviewed",IF(I103="Clause present - legal review pending","Present - legal review pending",IF(I103="Clause reviewed - no gap noted","Reviewed - no gap noted (not a legal compliance conclusion)",IF(I103="Not applicable","Not applicable","Not reviewed"))))))</f>
        <v/>
      </c>
      <c r="R103" s="54" t="str">
        <f aca="false">IF(A103="","",IF(COUNTIF(CON_ID,A103)&gt;1,"CHECK: duplicate ID",IF(B103="","CHECK: Supplier ID missing",IF(COUNTIF(INV_ID,B103)=0,"CHECK: Supplier ID not in inventory",IF(AND(F103&lt;&gt;"",COUNTIF(RSK_ID,F103)=0),"CHECK: Risk ID not found",IF(AND(F103&lt;&gt;"",COUNTIF(RSK_ID,F103)&gt;0,IFERROR(INDEX(RSK_SUP,MATCH(F103,RSK_ID,0)),"")&lt;&gt;B103),"CHECK: Risk belongs to a different supplier",IF(AND(N103="Accepted - exception approved",O103=""),"CHECK: exception approval reference missing","OK")))))))</f>
        <v/>
      </c>
      <c r="S103" s="61" t="str">
        <f aca="false">IF(OR(A103="",B103=""),"",IF(AND(Q103="Open gap",B103=RptSup),B103&amp;"|"&amp;COUNTIFS($B$7:B103,B103,$Q$7:Q103,"Open gap"),""))</f>
        <v/>
      </c>
    </row>
    <row r="104" customFormat="false" ht="15" hidden="false" customHeight="false" outlineLevel="0" collapsed="false">
      <c r="A104" s="50"/>
      <c r="B104" s="50"/>
      <c r="C104" s="59" t="str">
        <f aca="false">IF(B104="","",IFERROR(INDEX(INV_NAME,MATCH(B104,INV_ID,0)),"CHECK: Supplier ID not found"))</f>
        <v/>
      </c>
      <c r="D104" s="34"/>
      <c r="E104" s="34"/>
      <c r="F104" s="50"/>
      <c r="G104" s="34"/>
      <c r="H104" s="34"/>
      <c r="I104" s="34"/>
      <c r="J104" s="34"/>
      <c r="K104" s="34"/>
      <c r="L104" s="34"/>
      <c r="M104" s="34"/>
      <c r="N104" s="34"/>
      <c r="O104" s="34"/>
      <c r="P104" s="51"/>
      <c r="Q104" s="54" t="str">
        <f aca="false">IF(A104="","",IF(I104="Gap identified",IF(OR(N104="Amended",N104="Accepted - exception approved",N104="No action required",N104="Not applicable",N104="Withdrawn"),"Gap dispositioned","Open gap"),IF(I104="Not reviewed","Not reviewed",IF(I104="Clause present - legal review pending","Present - legal review pending",IF(I104="Clause reviewed - no gap noted","Reviewed - no gap noted (not a legal compliance conclusion)",IF(I104="Not applicable","Not applicable","Not reviewed"))))))</f>
        <v/>
      </c>
      <c r="R104" s="54" t="str">
        <f aca="false">IF(A104="","",IF(COUNTIF(CON_ID,A104)&gt;1,"CHECK: duplicate ID",IF(B104="","CHECK: Supplier ID missing",IF(COUNTIF(INV_ID,B104)=0,"CHECK: Supplier ID not in inventory",IF(AND(F104&lt;&gt;"",COUNTIF(RSK_ID,F104)=0),"CHECK: Risk ID not found",IF(AND(F104&lt;&gt;"",COUNTIF(RSK_ID,F104)&gt;0,IFERROR(INDEX(RSK_SUP,MATCH(F104,RSK_ID,0)),"")&lt;&gt;B104),"CHECK: Risk belongs to a different supplier",IF(AND(N104="Accepted - exception approved",O104=""),"CHECK: exception approval reference missing","OK")))))))</f>
        <v/>
      </c>
      <c r="S104" s="61" t="str">
        <f aca="false">IF(OR(A104="",B104=""),"",IF(AND(Q104="Open gap",B104=RptSup),B104&amp;"|"&amp;COUNTIFS($B$7:B104,B104,$Q$7:Q104,"Open gap"),""))</f>
        <v/>
      </c>
    </row>
    <row r="105" customFormat="false" ht="15" hidden="false" customHeight="false" outlineLevel="0" collapsed="false">
      <c r="A105" s="50"/>
      <c r="B105" s="50"/>
      <c r="C105" s="59" t="str">
        <f aca="false">IF(B105="","",IFERROR(INDEX(INV_NAME,MATCH(B105,INV_ID,0)),"CHECK: Supplier ID not found"))</f>
        <v/>
      </c>
      <c r="D105" s="34"/>
      <c r="E105" s="34"/>
      <c r="F105" s="50"/>
      <c r="G105" s="34"/>
      <c r="H105" s="34"/>
      <c r="I105" s="34"/>
      <c r="J105" s="34"/>
      <c r="K105" s="34"/>
      <c r="L105" s="34"/>
      <c r="M105" s="34"/>
      <c r="N105" s="34"/>
      <c r="O105" s="34"/>
      <c r="P105" s="51"/>
      <c r="Q105" s="54" t="str">
        <f aca="false">IF(A105="","",IF(I105="Gap identified",IF(OR(N105="Amended",N105="Accepted - exception approved",N105="No action required",N105="Not applicable",N105="Withdrawn"),"Gap dispositioned","Open gap"),IF(I105="Not reviewed","Not reviewed",IF(I105="Clause present - legal review pending","Present - legal review pending",IF(I105="Clause reviewed - no gap noted","Reviewed - no gap noted (not a legal compliance conclusion)",IF(I105="Not applicable","Not applicable","Not reviewed"))))))</f>
        <v/>
      </c>
      <c r="R105" s="54" t="str">
        <f aca="false">IF(A105="","",IF(COUNTIF(CON_ID,A105)&gt;1,"CHECK: duplicate ID",IF(B105="","CHECK: Supplier ID missing",IF(COUNTIF(INV_ID,B105)=0,"CHECK: Supplier ID not in inventory",IF(AND(F105&lt;&gt;"",COUNTIF(RSK_ID,F105)=0),"CHECK: Risk ID not found",IF(AND(F105&lt;&gt;"",COUNTIF(RSK_ID,F105)&gt;0,IFERROR(INDEX(RSK_SUP,MATCH(F105,RSK_ID,0)),"")&lt;&gt;B105),"CHECK: Risk belongs to a different supplier",IF(AND(N105="Accepted - exception approved",O105=""),"CHECK: exception approval reference missing","OK")))))))</f>
        <v/>
      </c>
      <c r="S105" s="61" t="str">
        <f aca="false">IF(OR(A105="",B105=""),"",IF(AND(Q105="Open gap",B105=RptSup),B105&amp;"|"&amp;COUNTIFS($B$7:B105,B105,$Q$7:Q105,"Open gap"),""))</f>
        <v/>
      </c>
    </row>
    <row r="106" customFormat="false" ht="15" hidden="false" customHeight="false" outlineLevel="0" collapsed="false">
      <c r="A106" s="50"/>
      <c r="B106" s="50"/>
      <c r="C106" s="59" t="str">
        <f aca="false">IF(B106="","",IFERROR(INDEX(INV_NAME,MATCH(B106,INV_ID,0)),"CHECK: Supplier ID not found"))</f>
        <v/>
      </c>
      <c r="D106" s="34"/>
      <c r="E106" s="34"/>
      <c r="F106" s="50"/>
      <c r="G106" s="34"/>
      <c r="H106" s="34"/>
      <c r="I106" s="34"/>
      <c r="J106" s="34"/>
      <c r="K106" s="34"/>
      <c r="L106" s="34"/>
      <c r="M106" s="34"/>
      <c r="N106" s="34"/>
      <c r="O106" s="34"/>
      <c r="P106" s="51"/>
      <c r="Q106" s="54" t="str">
        <f aca="false">IF(A106="","",IF(I106="Gap identified",IF(OR(N106="Amended",N106="Accepted - exception approved",N106="No action required",N106="Not applicable",N106="Withdrawn"),"Gap dispositioned","Open gap"),IF(I106="Not reviewed","Not reviewed",IF(I106="Clause present - legal review pending","Present - legal review pending",IF(I106="Clause reviewed - no gap noted","Reviewed - no gap noted (not a legal compliance conclusion)",IF(I106="Not applicable","Not applicable","Not reviewed"))))))</f>
        <v/>
      </c>
      <c r="R106" s="54" t="str">
        <f aca="false">IF(A106="","",IF(COUNTIF(CON_ID,A106)&gt;1,"CHECK: duplicate ID",IF(B106="","CHECK: Supplier ID missing",IF(COUNTIF(INV_ID,B106)=0,"CHECK: Supplier ID not in inventory",IF(AND(F106&lt;&gt;"",COUNTIF(RSK_ID,F106)=0),"CHECK: Risk ID not found",IF(AND(F106&lt;&gt;"",COUNTIF(RSK_ID,F106)&gt;0,IFERROR(INDEX(RSK_SUP,MATCH(F106,RSK_ID,0)),"")&lt;&gt;B106),"CHECK: Risk belongs to a different supplier",IF(AND(N106="Accepted - exception approved",O106=""),"CHECK: exception approval reference missing","OK")))))))</f>
        <v/>
      </c>
      <c r="S106" s="61" t="str">
        <f aca="false">IF(OR(A106="",B106=""),"",IF(AND(Q106="Open gap",B106=RptSup),B106&amp;"|"&amp;COUNTIFS($B$7:B106,B106,$Q$7:Q106,"Open gap"),""))</f>
        <v/>
      </c>
    </row>
    <row r="107" customFormat="false" ht="15" hidden="false" customHeight="false" outlineLevel="0" collapsed="false">
      <c r="A107" s="50"/>
      <c r="B107" s="50"/>
      <c r="C107" s="59" t="str">
        <f aca="false">IF(B107="","",IFERROR(INDEX(INV_NAME,MATCH(B107,INV_ID,0)),"CHECK: Supplier ID not found"))</f>
        <v/>
      </c>
      <c r="D107" s="34"/>
      <c r="E107" s="34"/>
      <c r="F107" s="50"/>
      <c r="G107" s="34"/>
      <c r="H107" s="34"/>
      <c r="I107" s="34"/>
      <c r="J107" s="34"/>
      <c r="K107" s="34"/>
      <c r="L107" s="34"/>
      <c r="M107" s="34"/>
      <c r="N107" s="34"/>
      <c r="O107" s="34"/>
      <c r="P107" s="51"/>
      <c r="Q107" s="54" t="str">
        <f aca="false">IF(A107="","",IF(I107="Gap identified",IF(OR(N107="Amended",N107="Accepted - exception approved",N107="No action required",N107="Not applicable",N107="Withdrawn"),"Gap dispositioned","Open gap"),IF(I107="Not reviewed","Not reviewed",IF(I107="Clause present - legal review pending","Present - legal review pending",IF(I107="Clause reviewed - no gap noted","Reviewed - no gap noted (not a legal compliance conclusion)",IF(I107="Not applicable","Not applicable","Not reviewed"))))))</f>
        <v/>
      </c>
      <c r="R107" s="54" t="str">
        <f aca="false">IF(A107="","",IF(COUNTIF(CON_ID,A107)&gt;1,"CHECK: duplicate ID",IF(B107="","CHECK: Supplier ID missing",IF(COUNTIF(INV_ID,B107)=0,"CHECK: Supplier ID not in inventory",IF(AND(F107&lt;&gt;"",COUNTIF(RSK_ID,F107)=0),"CHECK: Risk ID not found",IF(AND(F107&lt;&gt;"",COUNTIF(RSK_ID,F107)&gt;0,IFERROR(INDEX(RSK_SUP,MATCH(F107,RSK_ID,0)),"")&lt;&gt;B107),"CHECK: Risk belongs to a different supplier",IF(AND(N107="Accepted - exception approved",O107=""),"CHECK: exception approval reference missing","OK")))))))</f>
        <v/>
      </c>
      <c r="S107" s="61" t="str">
        <f aca="false">IF(OR(A107="",B107=""),"",IF(AND(Q107="Open gap",B107=RptSup),B107&amp;"|"&amp;COUNTIFS($B$7:B107,B107,$Q$7:Q107,"Open gap"),""))</f>
        <v/>
      </c>
    </row>
    <row r="108" customFormat="false" ht="15" hidden="false" customHeight="false" outlineLevel="0" collapsed="false">
      <c r="A108" s="50"/>
      <c r="B108" s="50"/>
      <c r="C108" s="59" t="str">
        <f aca="false">IF(B108="","",IFERROR(INDEX(INV_NAME,MATCH(B108,INV_ID,0)),"CHECK: Supplier ID not found"))</f>
        <v/>
      </c>
      <c r="D108" s="34"/>
      <c r="E108" s="34"/>
      <c r="F108" s="50"/>
      <c r="G108" s="34"/>
      <c r="H108" s="34"/>
      <c r="I108" s="34"/>
      <c r="J108" s="34"/>
      <c r="K108" s="34"/>
      <c r="L108" s="34"/>
      <c r="M108" s="34"/>
      <c r="N108" s="34"/>
      <c r="O108" s="34"/>
      <c r="P108" s="51"/>
      <c r="Q108" s="54" t="str">
        <f aca="false">IF(A108="","",IF(I108="Gap identified",IF(OR(N108="Amended",N108="Accepted - exception approved",N108="No action required",N108="Not applicable",N108="Withdrawn"),"Gap dispositioned","Open gap"),IF(I108="Not reviewed","Not reviewed",IF(I108="Clause present - legal review pending","Present - legal review pending",IF(I108="Clause reviewed - no gap noted","Reviewed - no gap noted (not a legal compliance conclusion)",IF(I108="Not applicable","Not applicable","Not reviewed"))))))</f>
        <v/>
      </c>
      <c r="R108" s="54" t="str">
        <f aca="false">IF(A108="","",IF(COUNTIF(CON_ID,A108)&gt;1,"CHECK: duplicate ID",IF(B108="","CHECK: Supplier ID missing",IF(COUNTIF(INV_ID,B108)=0,"CHECK: Supplier ID not in inventory",IF(AND(F108&lt;&gt;"",COUNTIF(RSK_ID,F108)=0),"CHECK: Risk ID not found",IF(AND(F108&lt;&gt;"",COUNTIF(RSK_ID,F108)&gt;0,IFERROR(INDEX(RSK_SUP,MATCH(F108,RSK_ID,0)),"")&lt;&gt;B108),"CHECK: Risk belongs to a different supplier",IF(AND(N108="Accepted - exception approved",O108=""),"CHECK: exception approval reference missing","OK")))))))</f>
        <v/>
      </c>
      <c r="S108" s="61" t="str">
        <f aca="false">IF(OR(A108="",B108=""),"",IF(AND(Q108="Open gap",B108=RptSup),B108&amp;"|"&amp;COUNTIFS($B$7:B108,B108,$Q$7:Q108,"Open gap"),""))</f>
        <v/>
      </c>
    </row>
    <row r="109" customFormat="false" ht="15" hidden="false" customHeight="false" outlineLevel="0" collapsed="false">
      <c r="A109" s="50"/>
      <c r="B109" s="50"/>
      <c r="C109" s="59" t="str">
        <f aca="false">IF(B109="","",IFERROR(INDEX(INV_NAME,MATCH(B109,INV_ID,0)),"CHECK: Supplier ID not found"))</f>
        <v/>
      </c>
      <c r="D109" s="34"/>
      <c r="E109" s="34"/>
      <c r="F109" s="50"/>
      <c r="G109" s="34"/>
      <c r="H109" s="34"/>
      <c r="I109" s="34"/>
      <c r="J109" s="34"/>
      <c r="K109" s="34"/>
      <c r="L109" s="34"/>
      <c r="M109" s="34"/>
      <c r="N109" s="34"/>
      <c r="O109" s="34"/>
      <c r="P109" s="51"/>
      <c r="Q109" s="54" t="str">
        <f aca="false">IF(A109="","",IF(I109="Gap identified",IF(OR(N109="Amended",N109="Accepted - exception approved",N109="No action required",N109="Not applicable",N109="Withdrawn"),"Gap dispositioned","Open gap"),IF(I109="Not reviewed","Not reviewed",IF(I109="Clause present - legal review pending","Present - legal review pending",IF(I109="Clause reviewed - no gap noted","Reviewed - no gap noted (not a legal compliance conclusion)",IF(I109="Not applicable","Not applicable","Not reviewed"))))))</f>
        <v/>
      </c>
      <c r="R109" s="54" t="str">
        <f aca="false">IF(A109="","",IF(COUNTIF(CON_ID,A109)&gt;1,"CHECK: duplicate ID",IF(B109="","CHECK: Supplier ID missing",IF(COUNTIF(INV_ID,B109)=0,"CHECK: Supplier ID not in inventory",IF(AND(F109&lt;&gt;"",COUNTIF(RSK_ID,F109)=0),"CHECK: Risk ID not found",IF(AND(F109&lt;&gt;"",COUNTIF(RSK_ID,F109)&gt;0,IFERROR(INDEX(RSK_SUP,MATCH(F109,RSK_ID,0)),"")&lt;&gt;B109),"CHECK: Risk belongs to a different supplier",IF(AND(N109="Accepted - exception approved",O109=""),"CHECK: exception approval reference missing","OK")))))))</f>
        <v/>
      </c>
      <c r="S109" s="61" t="str">
        <f aca="false">IF(OR(A109="",B109=""),"",IF(AND(Q109="Open gap",B109=RptSup),B109&amp;"|"&amp;COUNTIFS($B$7:B109,B109,$Q$7:Q109,"Open gap"),""))</f>
        <v/>
      </c>
    </row>
    <row r="110" customFormat="false" ht="15" hidden="false" customHeight="false" outlineLevel="0" collapsed="false">
      <c r="A110" s="50"/>
      <c r="B110" s="50"/>
      <c r="C110" s="59" t="str">
        <f aca="false">IF(B110="","",IFERROR(INDEX(INV_NAME,MATCH(B110,INV_ID,0)),"CHECK: Supplier ID not found"))</f>
        <v/>
      </c>
      <c r="D110" s="34"/>
      <c r="E110" s="34"/>
      <c r="F110" s="50"/>
      <c r="G110" s="34"/>
      <c r="H110" s="34"/>
      <c r="I110" s="34"/>
      <c r="J110" s="34"/>
      <c r="K110" s="34"/>
      <c r="L110" s="34"/>
      <c r="M110" s="34"/>
      <c r="N110" s="34"/>
      <c r="O110" s="34"/>
      <c r="P110" s="51"/>
      <c r="Q110" s="54" t="str">
        <f aca="false">IF(A110="","",IF(I110="Gap identified",IF(OR(N110="Amended",N110="Accepted - exception approved",N110="No action required",N110="Not applicable",N110="Withdrawn"),"Gap dispositioned","Open gap"),IF(I110="Not reviewed","Not reviewed",IF(I110="Clause present - legal review pending","Present - legal review pending",IF(I110="Clause reviewed - no gap noted","Reviewed - no gap noted (not a legal compliance conclusion)",IF(I110="Not applicable","Not applicable","Not reviewed"))))))</f>
        <v/>
      </c>
      <c r="R110" s="54" t="str">
        <f aca="false">IF(A110="","",IF(COUNTIF(CON_ID,A110)&gt;1,"CHECK: duplicate ID",IF(B110="","CHECK: Supplier ID missing",IF(COUNTIF(INV_ID,B110)=0,"CHECK: Supplier ID not in inventory",IF(AND(F110&lt;&gt;"",COUNTIF(RSK_ID,F110)=0),"CHECK: Risk ID not found",IF(AND(F110&lt;&gt;"",COUNTIF(RSK_ID,F110)&gt;0,IFERROR(INDEX(RSK_SUP,MATCH(F110,RSK_ID,0)),"")&lt;&gt;B110),"CHECK: Risk belongs to a different supplier",IF(AND(N110="Accepted - exception approved",O110=""),"CHECK: exception approval reference missing","OK")))))))</f>
        <v/>
      </c>
      <c r="S110" s="61" t="str">
        <f aca="false">IF(OR(A110="",B110=""),"",IF(AND(Q110="Open gap",B110=RptSup),B110&amp;"|"&amp;COUNTIFS($B$7:B110,B110,$Q$7:Q110,"Open gap"),""))</f>
        <v/>
      </c>
    </row>
    <row r="111" customFormat="false" ht="15" hidden="false" customHeight="false" outlineLevel="0" collapsed="false">
      <c r="A111" s="50"/>
      <c r="B111" s="50"/>
      <c r="C111" s="59" t="str">
        <f aca="false">IF(B111="","",IFERROR(INDEX(INV_NAME,MATCH(B111,INV_ID,0)),"CHECK: Supplier ID not found"))</f>
        <v/>
      </c>
      <c r="D111" s="34"/>
      <c r="E111" s="34"/>
      <c r="F111" s="50"/>
      <c r="G111" s="34"/>
      <c r="H111" s="34"/>
      <c r="I111" s="34"/>
      <c r="J111" s="34"/>
      <c r="K111" s="34"/>
      <c r="L111" s="34"/>
      <c r="M111" s="34"/>
      <c r="N111" s="34"/>
      <c r="O111" s="34"/>
      <c r="P111" s="51"/>
      <c r="Q111" s="54" t="str">
        <f aca="false">IF(A111="","",IF(I111="Gap identified",IF(OR(N111="Amended",N111="Accepted - exception approved",N111="No action required",N111="Not applicable",N111="Withdrawn"),"Gap dispositioned","Open gap"),IF(I111="Not reviewed","Not reviewed",IF(I111="Clause present - legal review pending","Present - legal review pending",IF(I111="Clause reviewed - no gap noted","Reviewed - no gap noted (not a legal compliance conclusion)",IF(I111="Not applicable","Not applicable","Not reviewed"))))))</f>
        <v/>
      </c>
      <c r="R111" s="54" t="str">
        <f aca="false">IF(A111="","",IF(COUNTIF(CON_ID,A111)&gt;1,"CHECK: duplicate ID",IF(B111="","CHECK: Supplier ID missing",IF(COUNTIF(INV_ID,B111)=0,"CHECK: Supplier ID not in inventory",IF(AND(F111&lt;&gt;"",COUNTIF(RSK_ID,F111)=0),"CHECK: Risk ID not found",IF(AND(F111&lt;&gt;"",COUNTIF(RSK_ID,F111)&gt;0,IFERROR(INDEX(RSK_SUP,MATCH(F111,RSK_ID,0)),"")&lt;&gt;B111),"CHECK: Risk belongs to a different supplier",IF(AND(N111="Accepted - exception approved",O111=""),"CHECK: exception approval reference missing","OK")))))))</f>
        <v/>
      </c>
      <c r="S111" s="61" t="str">
        <f aca="false">IF(OR(A111="",B111=""),"",IF(AND(Q111="Open gap",B111=RptSup),B111&amp;"|"&amp;COUNTIFS($B$7:B111,B111,$Q$7:Q111,"Open gap"),""))</f>
        <v/>
      </c>
    </row>
    <row r="112" customFormat="false" ht="15" hidden="false" customHeight="false" outlineLevel="0" collapsed="false">
      <c r="A112" s="50"/>
      <c r="B112" s="50"/>
      <c r="C112" s="59" t="str">
        <f aca="false">IF(B112="","",IFERROR(INDEX(INV_NAME,MATCH(B112,INV_ID,0)),"CHECK: Supplier ID not found"))</f>
        <v/>
      </c>
      <c r="D112" s="34"/>
      <c r="E112" s="34"/>
      <c r="F112" s="50"/>
      <c r="G112" s="34"/>
      <c r="H112" s="34"/>
      <c r="I112" s="34"/>
      <c r="J112" s="34"/>
      <c r="K112" s="34"/>
      <c r="L112" s="34"/>
      <c r="M112" s="34"/>
      <c r="N112" s="34"/>
      <c r="O112" s="34"/>
      <c r="P112" s="51"/>
      <c r="Q112" s="54" t="str">
        <f aca="false">IF(A112="","",IF(I112="Gap identified",IF(OR(N112="Amended",N112="Accepted - exception approved",N112="No action required",N112="Not applicable",N112="Withdrawn"),"Gap dispositioned","Open gap"),IF(I112="Not reviewed","Not reviewed",IF(I112="Clause present - legal review pending","Present - legal review pending",IF(I112="Clause reviewed - no gap noted","Reviewed - no gap noted (not a legal compliance conclusion)",IF(I112="Not applicable","Not applicable","Not reviewed"))))))</f>
        <v/>
      </c>
      <c r="R112" s="54" t="str">
        <f aca="false">IF(A112="","",IF(COUNTIF(CON_ID,A112)&gt;1,"CHECK: duplicate ID",IF(B112="","CHECK: Supplier ID missing",IF(COUNTIF(INV_ID,B112)=0,"CHECK: Supplier ID not in inventory",IF(AND(F112&lt;&gt;"",COUNTIF(RSK_ID,F112)=0),"CHECK: Risk ID not found",IF(AND(F112&lt;&gt;"",COUNTIF(RSK_ID,F112)&gt;0,IFERROR(INDEX(RSK_SUP,MATCH(F112,RSK_ID,0)),"")&lt;&gt;B112),"CHECK: Risk belongs to a different supplier",IF(AND(N112="Accepted - exception approved",O112=""),"CHECK: exception approval reference missing","OK")))))))</f>
        <v/>
      </c>
      <c r="S112" s="61" t="str">
        <f aca="false">IF(OR(A112="",B112=""),"",IF(AND(Q112="Open gap",B112=RptSup),B112&amp;"|"&amp;COUNTIFS($B$7:B112,B112,$Q$7:Q112,"Open gap"),""))</f>
        <v/>
      </c>
    </row>
    <row r="113" customFormat="false" ht="15" hidden="false" customHeight="false" outlineLevel="0" collapsed="false">
      <c r="A113" s="50"/>
      <c r="B113" s="50"/>
      <c r="C113" s="59" t="str">
        <f aca="false">IF(B113="","",IFERROR(INDEX(INV_NAME,MATCH(B113,INV_ID,0)),"CHECK: Supplier ID not found"))</f>
        <v/>
      </c>
      <c r="D113" s="34"/>
      <c r="E113" s="34"/>
      <c r="F113" s="50"/>
      <c r="G113" s="34"/>
      <c r="H113" s="34"/>
      <c r="I113" s="34"/>
      <c r="J113" s="34"/>
      <c r="K113" s="34"/>
      <c r="L113" s="34"/>
      <c r="M113" s="34"/>
      <c r="N113" s="34"/>
      <c r="O113" s="34"/>
      <c r="P113" s="51"/>
      <c r="Q113" s="54" t="str">
        <f aca="false">IF(A113="","",IF(I113="Gap identified",IF(OR(N113="Amended",N113="Accepted - exception approved",N113="No action required",N113="Not applicable",N113="Withdrawn"),"Gap dispositioned","Open gap"),IF(I113="Not reviewed","Not reviewed",IF(I113="Clause present - legal review pending","Present - legal review pending",IF(I113="Clause reviewed - no gap noted","Reviewed - no gap noted (not a legal compliance conclusion)",IF(I113="Not applicable","Not applicable","Not reviewed"))))))</f>
        <v/>
      </c>
      <c r="R113" s="54" t="str">
        <f aca="false">IF(A113="","",IF(COUNTIF(CON_ID,A113)&gt;1,"CHECK: duplicate ID",IF(B113="","CHECK: Supplier ID missing",IF(COUNTIF(INV_ID,B113)=0,"CHECK: Supplier ID not in inventory",IF(AND(F113&lt;&gt;"",COUNTIF(RSK_ID,F113)=0),"CHECK: Risk ID not found",IF(AND(F113&lt;&gt;"",COUNTIF(RSK_ID,F113)&gt;0,IFERROR(INDEX(RSK_SUP,MATCH(F113,RSK_ID,0)),"")&lt;&gt;B113),"CHECK: Risk belongs to a different supplier",IF(AND(N113="Accepted - exception approved",O113=""),"CHECK: exception approval reference missing","OK")))))))</f>
        <v/>
      </c>
      <c r="S113" s="61" t="str">
        <f aca="false">IF(OR(A113="",B113=""),"",IF(AND(Q113="Open gap",B113=RptSup),B113&amp;"|"&amp;COUNTIFS($B$7:B113,B113,$Q$7:Q113,"Open gap"),""))</f>
        <v/>
      </c>
    </row>
    <row r="114" customFormat="false" ht="15" hidden="false" customHeight="false" outlineLevel="0" collapsed="false">
      <c r="A114" s="50"/>
      <c r="B114" s="50"/>
      <c r="C114" s="59" t="str">
        <f aca="false">IF(B114="","",IFERROR(INDEX(INV_NAME,MATCH(B114,INV_ID,0)),"CHECK: Supplier ID not found"))</f>
        <v/>
      </c>
      <c r="D114" s="34"/>
      <c r="E114" s="34"/>
      <c r="F114" s="50"/>
      <c r="G114" s="34"/>
      <c r="H114" s="34"/>
      <c r="I114" s="34"/>
      <c r="J114" s="34"/>
      <c r="K114" s="34"/>
      <c r="L114" s="34"/>
      <c r="M114" s="34"/>
      <c r="N114" s="34"/>
      <c r="O114" s="34"/>
      <c r="P114" s="51"/>
      <c r="Q114" s="54" t="str">
        <f aca="false">IF(A114="","",IF(I114="Gap identified",IF(OR(N114="Amended",N114="Accepted - exception approved",N114="No action required",N114="Not applicable",N114="Withdrawn"),"Gap dispositioned","Open gap"),IF(I114="Not reviewed","Not reviewed",IF(I114="Clause present - legal review pending","Present - legal review pending",IF(I114="Clause reviewed - no gap noted","Reviewed - no gap noted (not a legal compliance conclusion)",IF(I114="Not applicable","Not applicable","Not reviewed"))))))</f>
        <v/>
      </c>
      <c r="R114" s="54" t="str">
        <f aca="false">IF(A114="","",IF(COUNTIF(CON_ID,A114)&gt;1,"CHECK: duplicate ID",IF(B114="","CHECK: Supplier ID missing",IF(COUNTIF(INV_ID,B114)=0,"CHECK: Supplier ID not in inventory",IF(AND(F114&lt;&gt;"",COUNTIF(RSK_ID,F114)=0),"CHECK: Risk ID not found",IF(AND(F114&lt;&gt;"",COUNTIF(RSK_ID,F114)&gt;0,IFERROR(INDEX(RSK_SUP,MATCH(F114,RSK_ID,0)),"")&lt;&gt;B114),"CHECK: Risk belongs to a different supplier",IF(AND(N114="Accepted - exception approved",O114=""),"CHECK: exception approval reference missing","OK")))))))</f>
        <v/>
      </c>
      <c r="S114" s="61" t="str">
        <f aca="false">IF(OR(A114="",B114=""),"",IF(AND(Q114="Open gap",B114=RptSup),B114&amp;"|"&amp;COUNTIFS($B$7:B114,B114,$Q$7:Q114,"Open gap"),""))</f>
        <v/>
      </c>
    </row>
    <row r="115" customFormat="false" ht="15" hidden="false" customHeight="false" outlineLevel="0" collapsed="false">
      <c r="A115" s="50"/>
      <c r="B115" s="50"/>
      <c r="C115" s="59" t="str">
        <f aca="false">IF(B115="","",IFERROR(INDEX(INV_NAME,MATCH(B115,INV_ID,0)),"CHECK: Supplier ID not found"))</f>
        <v/>
      </c>
      <c r="D115" s="34"/>
      <c r="E115" s="34"/>
      <c r="F115" s="50"/>
      <c r="G115" s="34"/>
      <c r="H115" s="34"/>
      <c r="I115" s="34"/>
      <c r="J115" s="34"/>
      <c r="K115" s="34"/>
      <c r="L115" s="34"/>
      <c r="M115" s="34"/>
      <c r="N115" s="34"/>
      <c r="O115" s="34"/>
      <c r="P115" s="51"/>
      <c r="Q115" s="54" t="str">
        <f aca="false">IF(A115="","",IF(I115="Gap identified",IF(OR(N115="Amended",N115="Accepted - exception approved",N115="No action required",N115="Not applicable",N115="Withdrawn"),"Gap dispositioned","Open gap"),IF(I115="Not reviewed","Not reviewed",IF(I115="Clause present - legal review pending","Present - legal review pending",IF(I115="Clause reviewed - no gap noted","Reviewed - no gap noted (not a legal compliance conclusion)",IF(I115="Not applicable","Not applicable","Not reviewed"))))))</f>
        <v/>
      </c>
      <c r="R115" s="54" t="str">
        <f aca="false">IF(A115="","",IF(COUNTIF(CON_ID,A115)&gt;1,"CHECK: duplicate ID",IF(B115="","CHECK: Supplier ID missing",IF(COUNTIF(INV_ID,B115)=0,"CHECK: Supplier ID not in inventory",IF(AND(F115&lt;&gt;"",COUNTIF(RSK_ID,F115)=0),"CHECK: Risk ID not found",IF(AND(F115&lt;&gt;"",COUNTIF(RSK_ID,F115)&gt;0,IFERROR(INDEX(RSK_SUP,MATCH(F115,RSK_ID,0)),"")&lt;&gt;B115),"CHECK: Risk belongs to a different supplier",IF(AND(N115="Accepted - exception approved",O115=""),"CHECK: exception approval reference missing","OK")))))))</f>
        <v/>
      </c>
      <c r="S115" s="61" t="str">
        <f aca="false">IF(OR(A115="",B115=""),"",IF(AND(Q115="Open gap",B115=RptSup),B115&amp;"|"&amp;COUNTIFS($B$7:B115,B115,$Q$7:Q115,"Open gap"),""))</f>
        <v/>
      </c>
    </row>
    <row r="116" customFormat="false" ht="15" hidden="false" customHeight="false" outlineLevel="0" collapsed="false">
      <c r="A116" s="50"/>
      <c r="B116" s="50"/>
      <c r="C116" s="59" t="str">
        <f aca="false">IF(B116="","",IFERROR(INDEX(INV_NAME,MATCH(B116,INV_ID,0)),"CHECK: Supplier ID not found"))</f>
        <v/>
      </c>
      <c r="D116" s="34"/>
      <c r="E116" s="34"/>
      <c r="F116" s="50"/>
      <c r="G116" s="34"/>
      <c r="H116" s="34"/>
      <c r="I116" s="34"/>
      <c r="J116" s="34"/>
      <c r="K116" s="34"/>
      <c r="L116" s="34"/>
      <c r="M116" s="34"/>
      <c r="N116" s="34"/>
      <c r="O116" s="34"/>
      <c r="P116" s="51"/>
      <c r="Q116" s="54" t="str">
        <f aca="false">IF(A116="","",IF(I116="Gap identified",IF(OR(N116="Amended",N116="Accepted - exception approved",N116="No action required",N116="Not applicable",N116="Withdrawn"),"Gap dispositioned","Open gap"),IF(I116="Not reviewed","Not reviewed",IF(I116="Clause present - legal review pending","Present - legal review pending",IF(I116="Clause reviewed - no gap noted","Reviewed - no gap noted (not a legal compliance conclusion)",IF(I116="Not applicable","Not applicable","Not reviewed"))))))</f>
        <v/>
      </c>
      <c r="R116" s="54" t="str">
        <f aca="false">IF(A116="","",IF(COUNTIF(CON_ID,A116)&gt;1,"CHECK: duplicate ID",IF(B116="","CHECK: Supplier ID missing",IF(COUNTIF(INV_ID,B116)=0,"CHECK: Supplier ID not in inventory",IF(AND(F116&lt;&gt;"",COUNTIF(RSK_ID,F116)=0),"CHECK: Risk ID not found",IF(AND(F116&lt;&gt;"",COUNTIF(RSK_ID,F116)&gt;0,IFERROR(INDEX(RSK_SUP,MATCH(F116,RSK_ID,0)),"")&lt;&gt;B116),"CHECK: Risk belongs to a different supplier",IF(AND(N116="Accepted - exception approved",O116=""),"CHECK: exception approval reference missing","OK")))))))</f>
        <v/>
      </c>
      <c r="S116" s="61" t="str">
        <f aca="false">IF(OR(A116="",B116=""),"",IF(AND(Q116="Open gap",B116=RptSup),B116&amp;"|"&amp;COUNTIFS($B$7:B116,B116,$Q$7:Q116,"Open gap"),""))</f>
        <v/>
      </c>
    </row>
    <row r="117" customFormat="false" ht="15" hidden="false" customHeight="false" outlineLevel="0" collapsed="false">
      <c r="A117" s="50"/>
      <c r="B117" s="50"/>
      <c r="C117" s="59" t="str">
        <f aca="false">IF(B117="","",IFERROR(INDEX(INV_NAME,MATCH(B117,INV_ID,0)),"CHECK: Supplier ID not found"))</f>
        <v/>
      </c>
      <c r="D117" s="34"/>
      <c r="E117" s="34"/>
      <c r="F117" s="50"/>
      <c r="G117" s="34"/>
      <c r="H117" s="34"/>
      <c r="I117" s="34"/>
      <c r="J117" s="34"/>
      <c r="K117" s="34"/>
      <c r="L117" s="34"/>
      <c r="M117" s="34"/>
      <c r="N117" s="34"/>
      <c r="O117" s="34"/>
      <c r="P117" s="51"/>
      <c r="Q117" s="54" t="str">
        <f aca="false">IF(A117="","",IF(I117="Gap identified",IF(OR(N117="Amended",N117="Accepted - exception approved",N117="No action required",N117="Not applicable",N117="Withdrawn"),"Gap dispositioned","Open gap"),IF(I117="Not reviewed","Not reviewed",IF(I117="Clause present - legal review pending","Present - legal review pending",IF(I117="Clause reviewed - no gap noted","Reviewed - no gap noted (not a legal compliance conclusion)",IF(I117="Not applicable","Not applicable","Not reviewed"))))))</f>
        <v/>
      </c>
      <c r="R117" s="54" t="str">
        <f aca="false">IF(A117="","",IF(COUNTIF(CON_ID,A117)&gt;1,"CHECK: duplicate ID",IF(B117="","CHECK: Supplier ID missing",IF(COUNTIF(INV_ID,B117)=0,"CHECK: Supplier ID not in inventory",IF(AND(F117&lt;&gt;"",COUNTIF(RSK_ID,F117)=0),"CHECK: Risk ID not found",IF(AND(F117&lt;&gt;"",COUNTIF(RSK_ID,F117)&gt;0,IFERROR(INDEX(RSK_SUP,MATCH(F117,RSK_ID,0)),"")&lt;&gt;B117),"CHECK: Risk belongs to a different supplier",IF(AND(N117="Accepted - exception approved",O117=""),"CHECK: exception approval reference missing","OK")))))))</f>
        <v/>
      </c>
      <c r="S117" s="61" t="str">
        <f aca="false">IF(OR(A117="",B117=""),"",IF(AND(Q117="Open gap",B117=RptSup),B117&amp;"|"&amp;COUNTIFS($B$7:B117,B117,$Q$7:Q117,"Open gap"),""))</f>
        <v/>
      </c>
    </row>
    <row r="118" customFormat="false" ht="15" hidden="false" customHeight="false" outlineLevel="0" collapsed="false">
      <c r="A118" s="50"/>
      <c r="B118" s="50"/>
      <c r="C118" s="59" t="str">
        <f aca="false">IF(B118="","",IFERROR(INDEX(INV_NAME,MATCH(B118,INV_ID,0)),"CHECK: Supplier ID not found"))</f>
        <v/>
      </c>
      <c r="D118" s="34"/>
      <c r="E118" s="34"/>
      <c r="F118" s="50"/>
      <c r="G118" s="34"/>
      <c r="H118" s="34"/>
      <c r="I118" s="34"/>
      <c r="J118" s="34"/>
      <c r="K118" s="34"/>
      <c r="L118" s="34"/>
      <c r="M118" s="34"/>
      <c r="N118" s="34"/>
      <c r="O118" s="34"/>
      <c r="P118" s="51"/>
      <c r="Q118" s="54" t="str">
        <f aca="false">IF(A118="","",IF(I118="Gap identified",IF(OR(N118="Amended",N118="Accepted - exception approved",N118="No action required",N118="Not applicable",N118="Withdrawn"),"Gap dispositioned","Open gap"),IF(I118="Not reviewed","Not reviewed",IF(I118="Clause present - legal review pending","Present - legal review pending",IF(I118="Clause reviewed - no gap noted","Reviewed - no gap noted (not a legal compliance conclusion)",IF(I118="Not applicable","Not applicable","Not reviewed"))))))</f>
        <v/>
      </c>
      <c r="R118" s="54" t="str">
        <f aca="false">IF(A118="","",IF(COUNTIF(CON_ID,A118)&gt;1,"CHECK: duplicate ID",IF(B118="","CHECK: Supplier ID missing",IF(COUNTIF(INV_ID,B118)=0,"CHECK: Supplier ID not in inventory",IF(AND(F118&lt;&gt;"",COUNTIF(RSK_ID,F118)=0),"CHECK: Risk ID not found",IF(AND(F118&lt;&gt;"",COUNTIF(RSK_ID,F118)&gt;0,IFERROR(INDEX(RSK_SUP,MATCH(F118,RSK_ID,0)),"")&lt;&gt;B118),"CHECK: Risk belongs to a different supplier",IF(AND(N118="Accepted - exception approved",O118=""),"CHECK: exception approval reference missing","OK")))))))</f>
        <v/>
      </c>
      <c r="S118" s="61" t="str">
        <f aca="false">IF(OR(A118="",B118=""),"",IF(AND(Q118="Open gap",B118=RptSup),B118&amp;"|"&amp;COUNTIFS($B$7:B118,B118,$Q$7:Q118,"Open gap"),""))</f>
        <v/>
      </c>
    </row>
    <row r="119" customFormat="false" ht="15" hidden="false" customHeight="false" outlineLevel="0" collapsed="false">
      <c r="A119" s="50"/>
      <c r="B119" s="50"/>
      <c r="C119" s="59" t="str">
        <f aca="false">IF(B119="","",IFERROR(INDEX(INV_NAME,MATCH(B119,INV_ID,0)),"CHECK: Supplier ID not found"))</f>
        <v/>
      </c>
      <c r="D119" s="34"/>
      <c r="E119" s="34"/>
      <c r="F119" s="50"/>
      <c r="G119" s="34"/>
      <c r="H119" s="34"/>
      <c r="I119" s="34"/>
      <c r="J119" s="34"/>
      <c r="K119" s="34"/>
      <c r="L119" s="34"/>
      <c r="M119" s="34"/>
      <c r="N119" s="34"/>
      <c r="O119" s="34"/>
      <c r="P119" s="51"/>
      <c r="Q119" s="54" t="str">
        <f aca="false">IF(A119="","",IF(I119="Gap identified",IF(OR(N119="Amended",N119="Accepted - exception approved",N119="No action required",N119="Not applicable",N119="Withdrawn"),"Gap dispositioned","Open gap"),IF(I119="Not reviewed","Not reviewed",IF(I119="Clause present - legal review pending","Present - legal review pending",IF(I119="Clause reviewed - no gap noted","Reviewed - no gap noted (not a legal compliance conclusion)",IF(I119="Not applicable","Not applicable","Not reviewed"))))))</f>
        <v/>
      </c>
      <c r="R119" s="54" t="str">
        <f aca="false">IF(A119="","",IF(COUNTIF(CON_ID,A119)&gt;1,"CHECK: duplicate ID",IF(B119="","CHECK: Supplier ID missing",IF(COUNTIF(INV_ID,B119)=0,"CHECK: Supplier ID not in inventory",IF(AND(F119&lt;&gt;"",COUNTIF(RSK_ID,F119)=0),"CHECK: Risk ID not found",IF(AND(F119&lt;&gt;"",COUNTIF(RSK_ID,F119)&gt;0,IFERROR(INDEX(RSK_SUP,MATCH(F119,RSK_ID,0)),"")&lt;&gt;B119),"CHECK: Risk belongs to a different supplier",IF(AND(N119="Accepted - exception approved",O119=""),"CHECK: exception approval reference missing","OK")))))))</f>
        <v/>
      </c>
      <c r="S119" s="61" t="str">
        <f aca="false">IF(OR(A119="",B119=""),"",IF(AND(Q119="Open gap",B119=RptSup),B119&amp;"|"&amp;COUNTIFS($B$7:B119,B119,$Q$7:Q119,"Open gap"),""))</f>
        <v/>
      </c>
    </row>
    <row r="120" customFormat="false" ht="15" hidden="false" customHeight="false" outlineLevel="0" collapsed="false">
      <c r="A120" s="50"/>
      <c r="B120" s="50"/>
      <c r="C120" s="59" t="str">
        <f aca="false">IF(B120="","",IFERROR(INDEX(INV_NAME,MATCH(B120,INV_ID,0)),"CHECK: Supplier ID not found"))</f>
        <v/>
      </c>
      <c r="D120" s="34"/>
      <c r="E120" s="34"/>
      <c r="F120" s="50"/>
      <c r="G120" s="34"/>
      <c r="H120" s="34"/>
      <c r="I120" s="34"/>
      <c r="J120" s="34"/>
      <c r="K120" s="34"/>
      <c r="L120" s="34"/>
      <c r="M120" s="34"/>
      <c r="N120" s="34"/>
      <c r="O120" s="34"/>
      <c r="P120" s="51"/>
      <c r="Q120" s="54" t="str">
        <f aca="false">IF(A120="","",IF(I120="Gap identified",IF(OR(N120="Amended",N120="Accepted - exception approved",N120="No action required",N120="Not applicable",N120="Withdrawn"),"Gap dispositioned","Open gap"),IF(I120="Not reviewed","Not reviewed",IF(I120="Clause present - legal review pending","Present - legal review pending",IF(I120="Clause reviewed - no gap noted","Reviewed - no gap noted (not a legal compliance conclusion)",IF(I120="Not applicable","Not applicable","Not reviewed"))))))</f>
        <v/>
      </c>
      <c r="R120" s="54" t="str">
        <f aca="false">IF(A120="","",IF(COUNTIF(CON_ID,A120)&gt;1,"CHECK: duplicate ID",IF(B120="","CHECK: Supplier ID missing",IF(COUNTIF(INV_ID,B120)=0,"CHECK: Supplier ID not in inventory",IF(AND(F120&lt;&gt;"",COUNTIF(RSK_ID,F120)=0),"CHECK: Risk ID not found",IF(AND(F120&lt;&gt;"",COUNTIF(RSK_ID,F120)&gt;0,IFERROR(INDEX(RSK_SUP,MATCH(F120,RSK_ID,0)),"")&lt;&gt;B120),"CHECK: Risk belongs to a different supplier",IF(AND(N120="Accepted - exception approved",O120=""),"CHECK: exception approval reference missing","OK")))))))</f>
        <v/>
      </c>
      <c r="S120" s="61" t="str">
        <f aca="false">IF(OR(A120="",B120=""),"",IF(AND(Q120="Open gap",B120=RptSup),B120&amp;"|"&amp;COUNTIFS($B$7:B120,B120,$Q$7:Q120,"Open gap"),""))</f>
        <v/>
      </c>
    </row>
    <row r="121" customFormat="false" ht="15" hidden="false" customHeight="false" outlineLevel="0" collapsed="false">
      <c r="A121" s="50"/>
      <c r="B121" s="50"/>
      <c r="C121" s="59" t="str">
        <f aca="false">IF(B121="","",IFERROR(INDEX(INV_NAME,MATCH(B121,INV_ID,0)),"CHECK: Supplier ID not found"))</f>
        <v/>
      </c>
      <c r="D121" s="34"/>
      <c r="E121" s="34"/>
      <c r="F121" s="50"/>
      <c r="G121" s="34"/>
      <c r="H121" s="34"/>
      <c r="I121" s="34"/>
      <c r="J121" s="34"/>
      <c r="K121" s="34"/>
      <c r="L121" s="34"/>
      <c r="M121" s="34"/>
      <c r="N121" s="34"/>
      <c r="O121" s="34"/>
      <c r="P121" s="51"/>
      <c r="Q121" s="54" t="str">
        <f aca="false">IF(A121="","",IF(I121="Gap identified",IF(OR(N121="Amended",N121="Accepted - exception approved",N121="No action required",N121="Not applicable",N121="Withdrawn"),"Gap dispositioned","Open gap"),IF(I121="Not reviewed","Not reviewed",IF(I121="Clause present - legal review pending","Present - legal review pending",IF(I121="Clause reviewed - no gap noted","Reviewed - no gap noted (not a legal compliance conclusion)",IF(I121="Not applicable","Not applicable","Not reviewed"))))))</f>
        <v/>
      </c>
      <c r="R121" s="54" t="str">
        <f aca="false">IF(A121="","",IF(COUNTIF(CON_ID,A121)&gt;1,"CHECK: duplicate ID",IF(B121="","CHECK: Supplier ID missing",IF(COUNTIF(INV_ID,B121)=0,"CHECK: Supplier ID not in inventory",IF(AND(F121&lt;&gt;"",COUNTIF(RSK_ID,F121)=0),"CHECK: Risk ID not found",IF(AND(F121&lt;&gt;"",COUNTIF(RSK_ID,F121)&gt;0,IFERROR(INDEX(RSK_SUP,MATCH(F121,RSK_ID,0)),"")&lt;&gt;B121),"CHECK: Risk belongs to a different supplier",IF(AND(N121="Accepted - exception approved",O121=""),"CHECK: exception approval reference missing","OK")))))))</f>
        <v/>
      </c>
      <c r="S121" s="61" t="str">
        <f aca="false">IF(OR(A121="",B121=""),"",IF(AND(Q121="Open gap",B121=RptSup),B121&amp;"|"&amp;COUNTIFS($B$7:B121,B121,$Q$7:Q121,"Open gap"),""))</f>
        <v/>
      </c>
    </row>
    <row r="122" customFormat="false" ht="15" hidden="false" customHeight="false" outlineLevel="0" collapsed="false">
      <c r="A122" s="50"/>
      <c r="B122" s="50"/>
      <c r="C122" s="59" t="str">
        <f aca="false">IF(B122="","",IFERROR(INDEX(INV_NAME,MATCH(B122,INV_ID,0)),"CHECK: Supplier ID not found"))</f>
        <v/>
      </c>
      <c r="D122" s="34"/>
      <c r="E122" s="34"/>
      <c r="F122" s="50"/>
      <c r="G122" s="34"/>
      <c r="H122" s="34"/>
      <c r="I122" s="34"/>
      <c r="J122" s="34"/>
      <c r="K122" s="34"/>
      <c r="L122" s="34"/>
      <c r="M122" s="34"/>
      <c r="N122" s="34"/>
      <c r="O122" s="34"/>
      <c r="P122" s="51"/>
      <c r="Q122" s="54" t="str">
        <f aca="false">IF(A122="","",IF(I122="Gap identified",IF(OR(N122="Amended",N122="Accepted - exception approved",N122="No action required",N122="Not applicable",N122="Withdrawn"),"Gap dispositioned","Open gap"),IF(I122="Not reviewed","Not reviewed",IF(I122="Clause present - legal review pending","Present - legal review pending",IF(I122="Clause reviewed - no gap noted","Reviewed - no gap noted (not a legal compliance conclusion)",IF(I122="Not applicable","Not applicable","Not reviewed"))))))</f>
        <v/>
      </c>
      <c r="R122" s="54" t="str">
        <f aca="false">IF(A122="","",IF(COUNTIF(CON_ID,A122)&gt;1,"CHECK: duplicate ID",IF(B122="","CHECK: Supplier ID missing",IF(COUNTIF(INV_ID,B122)=0,"CHECK: Supplier ID not in inventory",IF(AND(F122&lt;&gt;"",COUNTIF(RSK_ID,F122)=0),"CHECK: Risk ID not found",IF(AND(F122&lt;&gt;"",COUNTIF(RSK_ID,F122)&gt;0,IFERROR(INDEX(RSK_SUP,MATCH(F122,RSK_ID,0)),"")&lt;&gt;B122),"CHECK: Risk belongs to a different supplier",IF(AND(N122="Accepted - exception approved",O122=""),"CHECK: exception approval reference missing","OK")))))))</f>
        <v/>
      </c>
      <c r="S122" s="61" t="str">
        <f aca="false">IF(OR(A122="",B122=""),"",IF(AND(Q122="Open gap",B122=RptSup),B122&amp;"|"&amp;COUNTIFS($B$7:B122,B122,$Q$7:Q122,"Open gap"),""))</f>
        <v/>
      </c>
    </row>
    <row r="123" customFormat="false" ht="15" hidden="false" customHeight="false" outlineLevel="0" collapsed="false">
      <c r="A123" s="50"/>
      <c r="B123" s="50"/>
      <c r="C123" s="59" t="str">
        <f aca="false">IF(B123="","",IFERROR(INDEX(INV_NAME,MATCH(B123,INV_ID,0)),"CHECK: Supplier ID not found"))</f>
        <v/>
      </c>
      <c r="D123" s="34"/>
      <c r="E123" s="34"/>
      <c r="F123" s="50"/>
      <c r="G123" s="34"/>
      <c r="H123" s="34"/>
      <c r="I123" s="34"/>
      <c r="J123" s="34"/>
      <c r="K123" s="34"/>
      <c r="L123" s="34"/>
      <c r="M123" s="34"/>
      <c r="N123" s="34"/>
      <c r="O123" s="34"/>
      <c r="P123" s="51"/>
      <c r="Q123" s="54" t="str">
        <f aca="false">IF(A123="","",IF(I123="Gap identified",IF(OR(N123="Amended",N123="Accepted - exception approved",N123="No action required",N123="Not applicable",N123="Withdrawn"),"Gap dispositioned","Open gap"),IF(I123="Not reviewed","Not reviewed",IF(I123="Clause present - legal review pending","Present - legal review pending",IF(I123="Clause reviewed - no gap noted","Reviewed - no gap noted (not a legal compliance conclusion)",IF(I123="Not applicable","Not applicable","Not reviewed"))))))</f>
        <v/>
      </c>
      <c r="R123" s="54" t="str">
        <f aca="false">IF(A123="","",IF(COUNTIF(CON_ID,A123)&gt;1,"CHECK: duplicate ID",IF(B123="","CHECK: Supplier ID missing",IF(COUNTIF(INV_ID,B123)=0,"CHECK: Supplier ID not in inventory",IF(AND(F123&lt;&gt;"",COUNTIF(RSK_ID,F123)=0),"CHECK: Risk ID not found",IF(AND(F123&lt;&gt;"",COUNTIF(RSK_ID,F123)&gt;0,IFERROR(INDEX(RSK_SUP,MATCH(F123,RSK_ID,0)),"")&lt;&gt;B123),"CHECK: Risk belongs to a different supplier",IF(AND(N123="Accepted - exception approved",O123=""),"CHECK: exception approval reference missing","OK")))))))</f>
        <v/>
      </c>
      <c r="S123" s="61" t="str">
        <f aca="false">IF(OR(A123="",B123=""),"",IF(AND(Q123="Open gap",B123=RptSup),B123&amp;"|"&amp;COUNTIFS($B$7:B123,B123,$Q$7:Q123,"Open gap"),""))</f>
        <v/>
      </c>
    </row>
    <row r="124" customFormat="false" ht="15" hidden="false" customHeight="false" outlineLevel="0" collapsed="false">
      <c r="A124" s="50"/>
      <c r="B124" s="50"/>
      <c r="C124" s="59" t="str">
        <f aca="false">IF(B124="","",IFERROR(INDEX(INV_NAME,MATCH(B124,INV_ID,0)),"CHECK: Supplier ID not found"))</f>
        <v/>
      </c>
      <c r="D124" s="34"/>
      <c r="E124" s="34"/>
      <c r="F124" s="50"/>
      <c r="G124" s="34"/>
      <c r="H124" s="34"/>
      <c r="I124" s="34"/>
      <c r="J124" s="34"/>
      <c r="K124" s="34"/>
      <c r="L124" s="34"/>
      <c r="M124" s="34"/>
      <c r="N124" s="34"/>
      <c r="O124" s="34"/>
      <c r="P124" s="51"/>
      <c r="Q124" s="54" t="str">
        <f aca="false">IF(A124="","",IF(I124="Gap identified",IF(OR(N124="Amended",N124="Accepted - exception approved",N124="No action required",N124="Not applicable",N124="Withdrawn"),"Gap dispositioned","Open gap"),IF(I124="Not reviewed","Not reviewed",IF(I124="Clause present - legal review pending","Present - legal review pending",IF(I124="Clause reviewed - no gap noted","Reviewed - no gap noted (not a legal compliance conclusion)",IF(I124="Not applicable","Not applicable","Not reviewed"))))))</f>
        <v/>
      </c>
      <c r="R124" s="54" t="str">
        <f aca="false">IF(A124="","",IF(COUNTIF(CON_ID,A124)&gt;1,"CHECK: duplicate ID",IF(B124="","CHECK: Supplier ID missing",IF(COUNTIF(INV_ID,B124)=0,"CHECK: Supplier ID not in inventory",IF(AND(F124&lt;&gt;"",COUNTIF(RSK_ID,F124)=0),"CHECK: Risk ID not found",IF(AND(F124&lt;&gt;"",COUNTIF(RSK_ID,F124)&gt;0,IFERROR(INDEX(RSK_SUP,MATCH(F124,RSK_ID,0)),"")&lt;&gt;B124),"CHECK: Risk belongs to a different supplier",IF(AND(N124="Accepted - exception approved",O124=""),"CHECK: exception approval reference missing","OK")))))))</f>
        <v/>
      </c>
      <c r="S124" s="61" t="str">
        <f aca="false">IF(OR(A124="",B124=""),"",IF(AND(Q124="Open gap",B124=RptSup),B124&amp;"|"&amp;COUNTIFS($B$7:B124,B124,$Q$7:Q124,"Open gap"),""))</f>
        <v/>
      </c>
    </row>
    <row r="125" customFormat="false" ht="15" hidden="false" customHeight="false" outlineLevel="0" collapsed="false">
      <c r="A125" s="50"/>
      <c r="B125" s="50"/>
      <c r="C125" s="59" t="str">
        <f aca="false">IF(B125="","",IFERROR(INDEX(INV_NAME,MATCH(B125,INV_ID,0)),"CHECK: Supplier ID not found"))</f>
        <v/>
      </c>
      <c r="D125" s="34"/>
      <c r="E125" s="34"/>
      <c r="F125" s="50"/>
      <c r="G125" s="34"/>
      <c r="H125" s="34"/>
      <c r="I125" s="34"/>
      <c r="J125" s="34"/>
      <c r="K125" s="34"/>
      <c r="L125" s="34"/>
      <c r="M125" s="34"/>
      <c r="N125" s="34"/>
      <c r="O125" s="34"/>
      <c r="P125" s="51"/>
      <c r="Q125" s="54" t="str">
        <f aca="false">IF(A125="","",IF(I125="Gap identified",IF(OR(N125="Amended",N125="Accepted - exception approved",N125="No action required",N125="Not applicable",N125="Withdrawn"),"Gap dispositioned","Open gap"),IF(I125="Not reviewed","Not reviewed",IF(I125="Clause present - legal review pending","Present - legal review pending",IF(I125="Clause reviewed - no gap noted","Reviewed - no gap noted (not a legal compliance conclusion)",IF(I125="Not applicable","Not applicable","Not reviewed"))))))</f>
        <v/>
      </c>
      <c r="R125" s="54" t="str">
        <f aca="false">IF(A125="","",IF(COUNTIF(CON_ID,A125)&gt;1,"CHECK: duplicate ID",IF(B125="","CHECK: Supplier ID missing",IF(COUNTIF(INV_ID,B125)=0,"CHECK: Supplier ID not in inventory",IF(AND(F125&lt;&gt;"",COUNTIF(RSK_ID,F125)=0),"CHECK: Risk ID not found",IF(AND(F125&lt;&gt;"",COUNTIF(RSK_ID,F125)&gt;0,IFERROR(INDEX(RSK_SUP,MATCH(F125,RSK_ID,0)),"")&lt;&gt;B125),"CHECK: Risk belongs to a different supplier",IF(AND(N125="Accepted - exception approved",O125=""),"CHECK: exception approval reference missing","OK")))))))</f>
        <v/>
      </c>
      <c r="S125" s="61" t="str">
        <f aca="false">IF(OR(A125="",B125=""),"",IF(AND(Q125="Open gap",B125=RptSup),B125&amp;"|"&amp;COUNTIFS($B$7:B125,B125,$Q$7:Q125,"Open gap"),""))</f>
        <v/>
      </c>
    </row>
    <row r="126" customFormat="false" ht="15" hidden="false" customHeight="false" outlineLevel="0" collapsed="false">
      <c r="A126" s="50"/>
      <c r="B126" s="50"/>
      <c r="C126" s="59" t="str">
        <f aca="false">IF(B126="","",IFERROR(INDEX(INV_NAME,MATCH(B126,INV_ID,0)),"CHECK: Supplier ID not found"))</f>
        <v/>
      </c>
      <c r="D126" s="34"/>
      <c r="E126" s="34"/>
      <c r="F126" s="50"/>
      <c r="G126" s="34"/>
      <c r="H126" s="34"/>
      <c r="I126" s="34"/>
      <c r="J126" s="34"/>
      <c r="K126" s="34"/>
      <c r="L126" s="34"/>
      <c r="M126" s="34"/>
      <c r="N126" s="34"/>
      <c r="O126" s="34"/>
      <c r="P126" s="51"/>
      <c r="Q126" s="54" t="str">
        <f aca="false">IF(A126="","",IF(I126="Gap identified",IF(OR(N126="Amended",N126="Accepted - exception approved",N126="No action required",N126="Not applicable",N126="Withdrawn"),"Gap dispositioned","Open gap"),IF(I126="Not reviewed","Not reviewed",IF(I126="Clause present - legal review pending","Present - legal review pending",IF(I126="Clause reviewed - no gap noted","Reviewed - no gap noted (not a legal compliance conclusion)",IF(I126="Not applicable","Not applicable","Not reviewed"))))))</f>
        <v/>
      </c>
      <c r="R126" s="54" t="str">
        <f aca="false">IF(A126="","",IF(COUNTIF(CON_ID,A126)&gt;1,"CHECK: duplicate ID",IF(B126="","CHECK: Supplier ID missing",IF(COUNTIF(INV_ID,B126)=0,"CHECK: Supplier ID not in inventory",IF(AND(F126&lt;&gt;"",COUNTIF(RSK_ID,F126)=0),"CHECK: Risk ID not found",IF(AND(F126&lt;&gt;"",COUNTIF(RSK_ID,F126)&gt;0,IFERROR(INDEX(RSK_SUP,MATCH(F126,RSK_ID,0)),"")&lt;&gt;B126),"CHECK: Risk belongs to a different supplier",IF(AND(N126="Accepted - exception approved",O126=""),"CHECK: exception approval reference missing","OK")))))))</f>
        <v/>
      </c>
      <c r="S126" s="61" t="str">
        <f aca="false">IF(OR(A126="",B126=""),"",IF(AND(Q126="Open gap",B126=RptSup),B126&amp;"|"&amp;COUNTIFS($B$7:B126,B126,$Q$7:Q126,"Open gap"),""))</f>
        <v/>
      </c>
    </row>
    <row r="127" customFormat="false" ht="15" hidden="false" customHeight="false" outlineLevel="0" collapsed="false">
      <c r="A127" s="50"/>
      <c r="B127" s="50"/>
      <c r="C127" s="59" t="str">
        <f aca="false">IF(B127="","",IFERROR(INDEX(INV_NAME,MATCH(B127,INV_ID,0)),"CHECK: Supplier ID not found"))</f>
        <v/>
      </c>
      <c r="D127" s="34"/>
      <c r="E127" s="34"/>
      <c r="F127" s="50"/>
      <c r="G127" s="34"/>
      <c r="H127" s="34"/>
      <c r="I127" s="34"/>
      <c r="J127" s="34"/>
      <c r="K127" s="34"/>
      <c r="L127" s="34"/>
      <c r="M127" s="34"/>
      <c r="N127" s="34"/>
      <c r="O127" s="34"/>
      <c r="P127" s="51"/>
      <c r="Q127" s="54" t="str">
        <f aca="false">IF(A127="","",IF(I127="Gap identified",IF(OR(N127="Amended",N127="Accepted - exception approved",N127="No action required",N127="Not applicable",N127="Withdrawn"),"Gap dispositioned","Open gap"),IF(I127="Not reviewed","Not reviewed",IF(I127="Clause present - legal review pending","Present - legal review pending",IF(I127="Clause reviewed - no gap noted","Reviewed - no gap noted (not a legal compliance conclusion)",IF(I127="Not applicable","Not applicable","Not reviewed"))))))</f>
        <v/>
      </c>
      <c r="R127" s="54" t="str">
        <f aca="false">IF(A127="","",IF(COUNTIF(CON_ID,A127)&gt;1,"CHECK: duplicate ID",IF(B127="","CHECK: Supplier ID missing",IF(COUNTIF(INV_ID,B127)=0,"CHECK: Supplier ID not in inventory",IF(AND(F127&lt;&gt;"",COUNTIF(RSK_ID,F127)=0),"CHECK: Risk ID not found",IF(AND(F127&lt;&gt;"",COUNTIF(RSK_ID,F127)&gt;0,IFERROR(INDEX(RSK_SUP,MATCH(F127,RSK_ID,0)),"")&lt;&gt;B127),"CHECK: Risk belongs to a different supplier",IF(AND(N127="Accepted - exception approved",O127=""),"CHECK: exception approval reference missing","OK")))))))</f>
        <v/>
      </c>
      <c r="S127" s="61" t="str">
        <f aca="false">IF(OR(A127="",B127=""),"",IF(AND(Q127="Open gap",B127=RptSup),B127&amp;"|"&amp;COUNTIFS($B$7:B127,B127,$Q$7:Q127,"Open gap"),""))</f>
        <v/>
      </c>
    </row>
    <row r="128" customFormat="false" ht="15" hidden="false" customHeight="false" outlineLevel="0" collapsed="false">
      <c r="A128" s="50"/>
      <c r="B128" s="50"/>
      <c r="C128" s="59" t="str">
        <f aca="false">IF(B128="","",IFERROR(INDEX(INV_NAME,MATCH(B128,INV_ID,0)),"CHECK: Supplier ID not found"))</f>
        <v/>
      </c>
      <c r="D128" s="34"/>
      <c r="E128" s="34"/>
      <c r="F128" s="50"/>
      <c r="G128" s="34"/>
      <c r="H128" s="34"/>
      <c r="I128" s="34"/>
      <c r="J128" s="34"/>
      <c r="K128" s="34"/>
      <c r="L128" s="34"/>
      <c r="M128" s="34"/>
      <c r="N128" s="34"/>
      <c r="O128" s="34"/>
      <c r="P128" s="51"/>
      <c r="Q128" s="54" t="str">
        <f aca="false">IF(A128="","",IF(I128="Gap identified",IF(OR(N128="Amended",N128="Accepted - exception approved",N128="No action required",N128="Not applicable",N128="Withdrawn"),"Gap dispositioned","Open gap"),IF(I128="Not reviewed","Not reviewed",IF(I128="Clause present - legal review pending","Present - legal review pending",IF(I128="Clause reviewed - no gap noted","Reviewed - no gap noted (not a legal compliance conclusion)",IF(I128="Not applicable","Not applicable","Not reviewed"))))))</f>
        <v/>
      </c>
      <c r="R128" s="54" t="str">
        <f aca="false">IF(A128="","",IF(COUNTIF(CON_ID,A128)&gt;1,"CHECK: duplicate ID",IF(B128="","CHECK: Supplier ID missing",IF(COUNTIF(INV_ID,B128)=0,"CHECK: Supplier ID not in inventory",IF(AND(F128&lt;&gt;"",COUNTIF(RSK_ID,F128)=0),"CHECK: Risk ID not found",IF(AND(F128&lt;&gt;"",COUNTIF(RSK_ID,F128)&gt;0,IFERROR(INDEX(RSK_SUP,MATCH(F128,RSK_ID,0)),"")&lt;&gt;B128),"CHECK: Risk belongs to a different supplier",IF(AND(N128="Accepted - exception approved",O128=""),"CHECK: exception approval reference missing","OK")))))))</f>
        <v/>
      </c>
      <c r="S128" s="61" t="str">
        <f aca="false">IF(OR(A128="",B128=""),"",IF(AND(Q128="Open gap",B128=RptSup),B128&amp;"|"&amp;COUNTIFS($B$7:B128,B128,$Q$7:Q128,"Open gap"),""))</f>
        <v/>
      </c>
    </row>
    <row r="129" customFormat="false" ht="15" hidden="false" customHeight="false" outlineLevel="0" collapsed="false">
      <c r="A129" s="50"/>
      <c r="B129" s="50"/>
      <c r="C129" s="59" t="str">
        <f aca="false">IF(B129="","",IFERROR(INDEX(INV_NAME,MATCH(B129,INV_ID,0)),"CHECK: Supplier ID not found"))</f>
        <v/>
      </c>
      <c r="D129" s="34"/>
      <c r="E129" s="34"/>
      <c r="F129" s="50"/>
      <c r="G129" s="34"/>
      <c r="H129" s="34"/>
      <c r="I129" s="34"/>
      <c r="J129" s="34"/>
      <c r="K129" s="34"/>
      <c r="L129" s="34"/>
      <c r="M129" s="34"/>
      <c r="N129" s="34"/>
      <c r="O129" s="34"/>
      <c r="P129" s="51"/>
      <c r="Q129" s="54" t="str">
        <f aca="false">IF(A129="","",IF(I129="Gap identified",IF(OR(N129="Amended",N129="Accepted - exception approved",N129="No action required",N129="Not applicable",N129="Withdrawn"),"Gap dispositioned","Open gap"),IF(I129="Not reviewed","Not reviewed",IF(I129="Clause present - legal review pending","Present - legal review pending",IF(I129="Clause reviewed - no gap noted","Reviewed - no gap noted (not a legal compliance conclusion)",IF(I129="Not applicable","Not applicable","Not reviewed"))))))</f>
        <v/>
      </c>
      <c r="R129" s="54" t="str">
        <f aca="false">IF(A129="","",IF(COUNTIF(CON_ID,A129)&gt;1,"CHECK: duplicate ID",IF(B129="","CHECK: Supplier ID missing",IF(COUNTIF(INV_ID,B129)=0,"CHECK: Supplier ID not in inventory",IF(AND(F129&lt;&gt;"",COUNTIF(RSK_ID,F129)=0),"CHECK: Risk ID not found",IF(AND(F129&lt;&gt;"",COUNTIF(RSK_ID,F129)&gt;0,IFERROR(INDEX(RSK_SUP,MATCH(F129,RSK_ID,0)),"")&lt;&gt;B129),"CHECK: Risk belongs to a different supplier",IF(AND(N129="Accepted - exception approved",O129=""),"CHECK: exception approval reference missing","OK")))))))</f>
        <v/>
      </c>
      <c r="S129" s="61" t="str">
        <f aca="false">IF(OR(A129="",B129=""),"",IF(AND(Q129="Open gap",B129=RptSup),B129&amp;"|"&amp;COUNTIFS($B$7:B129,B129,$Q$7:Q129,"Open gap"),""))</f>
        <v/>
      </c>
    </row>
    <row r="130" customFormat="false" ht="15" hidden="false" customHeight="false" outlineLevel="0" collapsed="false">
      <c r="A130" s="50"/>
      <c r="B130" s="50"/>
      <c r="C130" s="59" t="str">
        <f aca="false">IF(B130="","",IFERROR(INDEX(INV_NAME,MATCH(B130,INV_ID,0)),"CHECK: Supplier ID not found"))</f>
        <v/>
      </c>
      <c r="D130" s="34"/>
      <c r="E130" s="34"/>
      <c r="F130" s="50"/>
      <c r="G130" s="34"/>
      <c r="H130" s="34"/>
      <c r="I130" s="34"/>
      <c r="J130" s="34"/>
      <c r="K130" s="34"/>
      <c r="L130" s="34"/>
      <c r="M130" s="34"/>
      <c r="N130" s="34"/>
      <c r="O130" s="34"/>
      <c r="P130" s="51"/>
      <c r="Q130" s="54" t="str">
        <f aca="false">IF(A130="","",IF(I130="Gap identified",IF(OR(N130="Amended",N130="Accepted - exception approved",N130="No action required",N130="Not applicable",N130="Withdrawn"),"Gap dispositioned","Open gap"),IF(I130="Not reviewed","Not reviewed",IF(I130="Clause present - legal review pending","Present - legal review pending",IF(I130="Clause reviewed - no gap noted","Reviewed - no gap noted (not a legal compliance conclusion)",IF(I130="Not applicable","Not applicable","Not reviewed"))))))</f>
        <v/>
      </c>
      <c r="R130" s="54" t="str">
        <f aca="false">IF(A130="","",IF(COUNTIF(CON_ID,A130)&gt;1,"CHECK: duplicate ID",IF(B130="","CHECK: Supplier ID missing",IF(COUNTIF(INV_ID,B130)=0,"CHECK: Supplier ID not in inventory",IF(AND(F130&lt;&gt;"",COUNTIF(RSK_ID,F130)=0),"CHECK: Risk ID not found",IF(AND(F130&lt;&gt;"",COUNTIF(RSK_ID,F130)&gt;0,IFERROR(INDEX(RSK_SUP,MATCH(F130,RSK_ID,0)),"")&lt;&gt;B130),"CHECK: Risk belongs to a different supplier",IF(AND(N130="Accepted - exception approved",O130=""),"CHECK: exception approval reference missing","OK")))))))</f>
        <v/>
      </c>
      <c r="S130" s="61" t="str">
        <f aca="false">IF(OR(A130="",B130=""),"",IF(AND(Q130="Open gap",B130=RptSup),B130&amp;"|"&amp;COUNTIFS($B$7:B130,B130,$Q$7:Q130,"Open gap"),""))</f>
        <v/>
      </c>
    </row>
    <row r="131" customFormat="false" ht="15" hidden="false" customHeight="false" outlineLevel="0" collapsed="false">
      <c r="A131" s="50"/>
      <c r="B131" s="50"/>
      <c r="C131" s="59" t="str">
        <f aca="false">IF(B131="","",IFERROR(INDEX(INV_NAME,MATCH(B131,INV_ID,0)),"CHECK: Supplier ID not found"))</f>
        <v/>
      </c>
      <c r="D131" s="34"/>
      <c r="E131" s="34"/>
      <c r="F131" s="50"/>
      <c r="G131" s="34"/>
      <c r="H131" s="34"/>
      <c r="I131" s="34"/>
      <c r="J131" s="34"/>
      <c r="K131" s="34"/>
      <c r="L131" s="34"/>
      <c r="M131" s="34"/>
      <c r="N131" s="34"/>
      <c r="O131" s="34"/>
      <c r="P131" s="51"/>
      <c r="Q131" s="54" t="str">
        <f aca="false">IF(A131="","",IF(I131="Gap identified",IF(OR(N131="Amended",N131="Accepted - exception approved",N131="No action required",N131="Not applicable",N131="Withdrawn"),"Gap dispositioned","Open gap"),IF(I131="Not reviewed","Not reviewed",IF(I131="Clause present - legal review pending","Present - legal review pending",IF(I131="Clause reviewed - no gap noted","Reviewed - no gap noted (not a legal compliance conclusion)",IF(I131="Not applicable","Not applicable","Not reviewed"))))))</f>
        <v/>
      </c>
      <c r="R131" s="54" t="str">
        <f aca="false">IF(A131="","",IF(COUNTIF(CON_ID,A131)&gt;1,"CHECK: duplicate ID",IF(B131="","CHECK: Supplier ID missing",IF(COUNTIF(INV_ID,B131)=0,"CHECK: Supplier ID not in inventory",IF(AND(F131&lt;&gt;"",COUNTIF(RSK_ID,F131)=0),"CHECK: Risk ID not found",IF(AND(F131&lt;&gt;"",COUNTIF(RSK_ID,F131)&gt;0,IFERROR(INDEX(RSK_SUP,MATCH(F131,RSK_ID,0)),"")&lt;&gt;B131),"CHECK: Risk belongs to a different supplier",IF(AND(N131="Accepted - exception approved",O131=""),"CHECK: exception approval reference missing","OK")))))))</f>
        <v/>
      </c>
      <c r="S131" s="61" t="str">
        <f aca="false">IF(OR(A131="",B131=""),"",IF(AND(Q131="Open gap",B131=RptSup),B131&amp;"|"&amp;COUNTIFS($B$7:B131,B131,$Q$7:Q131,"Open gap"),""))</f>
        <v/>
      </c>
    </row>
    <row r="132" customFormat="false" ht="15" hidden="false" customHeight="false" outlineLevel="0" collapsed="false">
      <c r="A132" s="50"/>
      <c r="B132" s="50"/>
      <c r="C132" s="59" t="str">
        <f aca="false">IF(B132="","",IFERROR(INDEX(INV_NAME,MATCH(B132,INV_ID,0)),"CHECK: Supplier ID not found"))</f>
        <v/>
      </c>
      <c r="D132" s="34"/>
      <c r="E132" s="34"/>
      <c r="F132" s="50"/>
      <c r="G132" s="34"/>
      <c r="H132" s="34"/>
      <c r="I132" s="34"/>
      <c r="J132" s="34"/>
      <c r="K132" s="34"/>
      <c r="L132" s="34"/>
      <c r="M132" s="34"/>
      <c r="N132" s="34"/>
      <c r="O132" s="34"/>
      <c r="P132" s="51"/>
      <c r="Q132" s="54" t="str">
        <f aca="false">IF(A132="","",IF(I132="Gap identified",IF(OR(N132="Amended",N132="Accepted - exception approved",N132="No action required",N132="Not applicable",N132="Withdrawn"),"Gap dispositioned","Open gap"),IF(I132="Not reviewed","Not reviewed",IF(I132="Clause present - legal review pending","Present - legal review pending",IF(I132="Clause reviewed - no gap noted","Reviewed - no gap noted (not a legal compliance conclusion)",IF(I132="Not applicable","Not applicable","Not reviewed"))))))</f>
        <v/>
      </c>
      <c r="R132" s="54" t="str">
        <f aca="false">IF(A132="","",IF(COUNTIF(CON_ID,A132)&gt;1,"CHECK: duplicate ID",IF(B132="","CHECK: Supplier ID missing",IF(COUNTIF(INV_ID,B132)=0,"CHECK: Supplier ID not in inventory",IF(AND(F132&lt;&gt;"",COUNTIF(RSK_ID,F132)=0),"CHECK: Risk ID not found",IF(AND(F132&lt;&gt;"",COUNTIF(RSK_ID,F132)&gt;0,IFERROR(INDEX(RSK_SUP,MATCH(F132,RSK_ID,0)),"")&lt;&gt;B132),"CHECK: Risk belongs to a different supplier",IF(AND(N132="Accepted - exception approved",O132=""),"CHECK: exception approval reference missing","OK")))))))</f>
        <v/>
      </c>
      <c r="S132" s="61" t="str">
        <f aca="false">IF(OR(A132="",B132=""),"",IF(AND(Q132="Open gap",B132=RptSup),B132&amp;"|"&amp;COUNTIFS($B$7:B132,B132,$Q$7:Q132,"Open gap"),""))</f>
        <v/>
      </c>
    </row>
    <row r="133" customFormat="false" ht="15" hidden="false" customHeight="false" outlineLevel="0" collapsed="false">
      <c r="A133" s="50"/>
      <c r="B133" s="50"/>
      <c r="C133" s="59" t="str">
        <f aca="false">IF(B133="","",IFERROR(INDEX(INV_NAME,MATCH(B133,INV_ID,0)),"CHECK: Supplier ID not found"))</f>
        <v/>
      </c>
      <c r="D133" s="34"/>
      <c r="E133" s="34"/>
      <c r="F133" s="50"/>
      <c r="G133" s="34"/>
      <c r="H133" s="34"/>
      <c r="I133" s="34"/>
      <c r="J133" s="34"/>
      <c r="K133" s="34"/>
      <c r="L133" s="34"/>
      <c r="M133" s="34"/>
      <c r="N133" s="34"/>
      <c r="O133" s="34"/>
      <c r="P133" s="51"/>
      <c r="Q133" s="54" t="str">
        <f aca="false">IF(A133="","",IF(I133="Gap identified",IF(OR(N133="Amended",N133="Accepted - exception approved",N133="No action required",N133="Not applicable",N133="Withdrawn"),"Gap dispositioned","Open gap"),IF(I133="Not reviewed","Not reviewed",IF(I133="Clause present - legal review pending","Present - legal review pending",IF(I133="Clause reviewed - no gap noted","Reviewed - no gap noted (not a legal compliance conclusion)",IF(I133="Not applicable","Not applicable","Not reviewed"))))))</f>
        <v/>
      </c>
      <c r="R133" s="54" t="str">
        <f aca="false">IF(A133="","",IF(COUNTIF(CON_ID,A133)&gt;1,"CHECK: duplicate ID",IF(B133="","CHECK: Supplier ID missing",IF(COUNTIF(INV_ID,B133)=0,"CHECK: Supplier ID not in inventory",IF(AND(F133&lt;&gt;"",COUNTIF(RSK_ID,F133)=0),"CHECK: Risk ID not found",IF(AND(F133&lt;&gt;"",COUNTIF(RSK_ID,F133)&gt;0,IFERROR(INDEX(RSK_SUP,MATCH(F133,RSK_ID,0)),"")&lt;&gt;B133),"CHECK: Risk belongs to a different supplier",IF(AND(N133="Accepted - exception approved",O133=""),"CHECK: exception approval reference missing","OK")))))))</f>
        <v/>
      </c>
      <c r="S133" s="61" t="str">
        <f aca="false">IF(OR(A133="",B133=""),"",IF(AND(Q133="Open gap",B133=RptSup),B133&amp;"|"&amp;COUNTIFS($B$7:B133,B133,$Q$7:Q133,"Open gap"),""))</f>
        <v/>
      </c>
    </row>
    <row r="134" customFormat="false" ht="15" hidden="false" customHeight="false" outlineLevel="0" collapsed="false">
      <c r="A134" s="50"/>
      <c r="B134" s="50"/>
      <c r="C134" s="59" t="str">
        <f aca="false">IF(B134="","",IFERROR(INDEX(INV_NAME,MATCH(B134,INV_ID,0)),"CHECK: Supplier ID not found"))</f>
        <v/>
      </c>
      <c r="D134" s="34"/>
      <c r="E134" s="34"/>
      <c r="F134" s="50"/>
      <c r="G134" s="34"/>
      <c r="H134" s="34"/>
      <c r="I134" s="34"/>
      <c r="J134" s="34"/>
      <c r="K134" s="34"/>
      <c r="L134" s="34"/>
      <c r="M134" s="34"/>
      <c r="N134" s="34"/>
      <c r="O134" s="34"/>
      <c r="P134" s="51"/>
      <c r="Q134" s="54" t="str">
        <f aca="false">IF(A134="","",IF(I134="Gap identified",IF(OR(N134="Amended",N134="Accepted - exception approved",N134="No action required",N134="Not applicable",N134="Withdrawn"),"Gap dispositioned","Open gap"),IF(I134="Not reviewed","Not reviewed",IF(I134="Clause present - legal review pending","Present - legal review pending",IF(I134="Clause reviewed - no gap noted","Reviewed - no gap noted (not a legal compliance conclusion)",IF(I134="Not applicable","Not applicable","Not reviewed"))))))</f>
        <v/>
      </c>
      <c r="R134" s="54" t="str">
        <f aca="false">IF(A134="","",IF(COUNTIF(CON_ID,A134)&gt;1,"CHECK: duplicate ID",IF(B134="","CHECK: Supplier ID missing",IF(COUNTIF(INV_ID,B134)=0,"CHECK: Supplier ID not in inventory",IF(AND(F134&lt;&gt;"",COUNTIF(RSK_ID,F134)=0),"CHECK: Risk ID not found",IF(AND(F134&lt;&gt;"",COUNTIF(RSK_ID,F134)&gt;0,IFERROR(INDEX(RSK_SUP,MATCH(F134,RSK_ID,0)),"")&lt;&gt;B134),"CHECK: Risk belongs to a different supplier",IF(AND(N134="Accepted - exception approved",O134=""),"CHECK: exception approval reference missing","OK")))))))</f>
        <v/>
      </c>
      <c r="S134" s="61" t="str">
        <f aca="false">IF(OR(A134="",B134=""),"",IF(AND(Q134="Open gap",B134=RptSup),B134&amp;"|"&amp;COUNTIFS($B$7:B134,B134,$Q$7:Q134,"Open gap"),""))</f>
        <v/>
      </c>
    </row>
    <row r="135" customFormat="false" ht="15" hidden="false" customHeight="false" outlineLevel="0" collapsed="false">
      <c r="A135" s="50"/>
      <c r="B135" s="50"/>
      <c r="C135" s="59" t="str">
        <f aca="false">IF(B135="","",IFERROR(INDEX(INV_NAME,MATCH(B135,INV_ID,0)),"CHECK: Supplier ID not found"))</f>
        <v/>
      </c>
      <c r="D135" s="34"/>
      <c r="E135" s="34"/>
      <c r="F135" s="50"/>
      <c r="G135" s="34"/>
      <c r="H135" s="34"/>
      <c r="I135" s="34"/>
      <c r="J135" s="34"/>
      <c r="K135" s="34"/>
      <c r="L135" s="34"/>
      <c r="M135" s="34"/>
      <c r="N135" s="34"/>
      <c r="O135" s="34"/>
      <c r="P135" s="51"/>
      <c r="Q135" s="54" t="str">
        <f aca="false">IF(A135="","",IF(I135="Gap identified",IF(OR(N135="Amended",N135="Accepted - exception approved",N135="No action required",N135="Not applicable",N135="Withdrawn"),"Gap dispositioned","Open gap"),IF(I135="Not reviewed","Not reviewed",IF(I135="Clause present - legal review pending","Present - legal review pending",IF(I135="Clause reviewed - no gap noted","Reviewed - no gap noted (not a legal compliance conclusion)",IF(I135="Not applicable","Not applicable","Not reviewed"))))))</f>
        <v/>
      </c>
      <c r="R135" s="54" t="str">
        <f aca="false">IF(A135="","",IF(COUNTIF(CON_ID,A135)&gt;1,"CHECK: duplicate ID",IF(B135="","CHECK: Supplier ID missing",IF(COUNTIF(INV_ID,B135)=0,"CHECK: Supplier ID not in inventory",IF(AND(F135&lt;&gt;"",COUNTIF(RSK_ID,F135)=0),"CHECK: Risk ID not found",IF(AND(F135&lt;&gt;"",COUNTIF(RSK_ID,F135)&gt;0,IFERROR(INDEX(RSK_SUP,MATCH(F135,RSK_ID,0)),"")&lt;&gt;B135),"CHECK: Risk belongs to a different supplier",IF(AND(N135="Accepted - exception approved",O135=""),"CHECK: exception approval reference missing","OK")))))))</f>
        <v/>
      </c>
      <c r="S135" s="61" t="str">
        <f aca="false">IF(OR(A135="",B135=""),"",IF(AND(Q135="Open gap",B135=RptSup),B135&amp;"|"&amp;COUNTIFS($B$7:B135,B135,$Q$7:Q135,"Open gap"),""))</f>
        <v/>
      </c>
    </row>
    <row r="136" customFormat="false" ht="15" hidden="false" customHeight="false" outlineLevel="0" collapsed="false">
      <c r="A136" s="50"/>
      <c r="B136" s="50"/>
      <c r="C136" s="59" t="str">
        <f aca="false">IF(B136="","",IFERROR(INDEX(INV_NAME,MATCH(B136,INV_ID,0)),"CHECK: Supplier ID not found"))</f>
        <v/>
      </c>
      <c r="D136" s="34"/>
      <c r="E136" s="34"/>
      <c r="F136" s="50"/>
      <c r="G136" s="34"/>
      <c r="H136" s="34"/>
      <c r="I136" s="34"/>
      <c r="J136" s="34"/>
      <c r="K136" s="34"/>
      <c r="L136" s="34"/>
      <c r="M136" s="34"/>
      <c r="N136" s="34"/>
      <c r="O136" s="34"/>
      <c r="P136" s="51"/>
      <c r="Q136" s="54" t="str">
        <f aca="false">IF(A136="","",IF(I136="Gap identified",IF(OR(N136="Amended",N136="Accepted - exception approved",N136="No action required",N136="Not applicable",N136="Withdrawn"),"Gap dispositioned","Open gap"),IF(I136="Not reviewed","Not reviewed",IF(I136="Clause present - legal review pending","Present - legal review pending",IF(I136="Clause reviewed - no gap noted","Reviewed - no gap noted (not a legal compliance conclusion)",IF(I136="Not applicable","Not applicable","Not reviewed"))))))</f>
        <v/>
      </c>
      <c r="R136" s="54" t="str">
        <f aca="false">IF(A136="","",IF(COUNTIF(CON_ID,A136)&gt;1,"CHECK: duplicate ID",IF(B136="","CHECK: Supplier ID missing",IF(COUNTIF(INV_ID,B136)=0,"CHECK: Supplier ID not in inventory",IF(AND(F136&lt;&gt;"",COUNTIF(RSK_ID,F136)=0),"CHECK: Risk ID not found",IF(AND(F136&lt;&gt;"",COUNTIF(RSK_ID,F136)&gt;0,IFERROR(INDEX(RSK_SUP,MATCH(F136,RSK_ID,0)),"")&lt;&gt;B136),"CHECK: Risk belongs to a different supplier",IF(AND(N136="Accepted - exception approved",O136=""),"CHECK: exception approval reference missing","OK")))))))</f>
        <v/>
      </c>
      <c r="S136" s="61" t="str">
        <f aca="false">IF(OR(A136="",B136=""),"",IF(AND(Q136="Open gap",B136=RptSup),B136&amp;"|"&amp;COUNTIFS($B$7:B136,B136,$Q$7:Q136,"Open gap"),""))</f>
        <v/>
      </c>
    </row>
    <row r="137" customFormat="false" ht="15" hidden="false" customHeight="false" outlineLevel="0" collapsed="false">
      <c r="A137" s="50"/>
      <c r="B137" s="50"/>
      <c r="C137" s="59" t="str">
        <f aca="false">IF(B137="","",IFERROR(INDEX(INV_NAME,MATCH(B137,INV_ID,0)),"CHECK: Supplier ID not found"))</f>
        <v/>
      </c>
      <c r="D137" s="34"/>
      <c r="E137" s="34"/>
      <c r="F137" s="50"/>
      <c r="G137" s="34"/>
      <c r="H137" s="34"/>
      <c r="I137" s="34"/>
      <c r="J137" s="34"/>
      <c r="K137" s="34"/>
      <c r="L137" s="34"/>
      <c r="M137" s="34"/>
      <c r="N137" s="34"/>
      <c r="O137" s="34"/>
      <c r="P137" s="51"/>
      <c r="Q137" s="54" t="str">
        <f aca="false">IF(A137="","",IF(I137="Gap identified",IF(OR(N137="Amended",N137="Accepted - exception approved",N137="No action required",N137="Not applicable",N137="Withdrawn"),"Gap dispositioned","Open gap"),IF(I137="Not reviewed","Not reviewed",IF(I137="Clause present - legal review pending","Present - legal review pending",IF(I137="Clause reviewed - no gap noted","Reviewed - no gap noted (not a legal compliance conclusion)",IF(I137="Not applicable","Not applicable","Not reviewed"))))))</f>
        <v/>
      </c>
      <c r="R137" s="54" t="str">
        <f aca="false">IF(A137="","",IF(COUNTIF(CON_ID,A137)&gt;1,"CHECK: duplicate ID",IF(B137="","CHECK: Supplier ID missing",IF(COUNTIF(INV_ID,B137)=0,"CHECK: Supplier ID not in inventory",IF(AND(F137&lt;&gt;"",COUNTIF(RSK_ID,F137)=0),"CHECK: Risk ID not found",IF(AND(F137&lt;&gt;"",COUNTIF(RSK_ID,F137)&gt;0,IFERROR(INDEX(RSK_SUP,MATCH(F137,RSK_ID,0)),"")&lt;&gt;B137),"CHECK: Risk belongs to a different supplier",IF(AND(N137="Accepted - exception approved",O137=""),"CHECK: exception approval reference missing","OK")))))))</f>
        <v/>
      </c>
      <c r="S137" s="61" t="str">
        <f aca="false">IF(OR(A137="",B137=""),"",IF(AND(Q137="Open gap",B137=RptSup),B137&amp;"|"&amp;COUNTIFS($B$7:B137,B137,$Q$7:Q137,"Open gap"),""))</f>
        <v/>
      </c>
    </row>
    <row r="138" customFormat="false" ht="15" hidden="false" customHeight="false" outlineLevel="0" collapsed="false">
      <c r="A138" s="50"/>
      <c r="B138" s="50"/>
      <c r="C138" s="59" t="str">
        <f aca="false">IF(B138="","",IFERROR(INDEX(INV_NAME,MATCH(B138,INV_ID,0)),"CHECK: Supplier ID not found"))</f>
        <v/>
      </c>
      <c r="D138" s="34"/>
      <c r="E138" s="34"/>
      <c r="F138" s="50"/>
      <c r="G138" s="34"/>
      <c r="H138" s="34"/>
      <c r="I138" s="34"/>
      <c r="J138" s="34"/>
      <c r="K138" s="34"/>
      <c r="L138" s="34"/>
      <c r="M138" s="34"/>
      <c r="N138" s="34"/>
      <c r="O138" s="34"/>
      <c r="P138" s="51"/>
      <c r="Q138" s="54" t="str">
        <f aca="false">IF(A138="","",IF(I138="Gap identified",IF(OR(N138="Amended",N138="Accepted - exception approved",N138="No action required",N138="Not applicable",N138="Withdrawn"),"Gap dispositioned","Open gap"),IF(I138="Not reviewed","Not reviewed",IF(I138="Clause present - legal review pending","Present - legal review pending",IF(I138="Clause reviewed - no gap noted","Reviewed - no gap noted (not a legal compliance conclusion)",IF(I138="Not applicable","Not applicable","Not reviewed"))))))</f>
        <v/>
      </c>
      <c r="R138" s="54" t="str">
        <f aca="false">IF(A138="","",IF(COUNTIF(CON_ID,A138)&gt;1,"CHECK: duplicate ID",IF(B138="","CHECK: Supplier ID missing",IF(COUNTIF(INV_ID,B138)=0,"CHECK: Supplier ID not in inventory",IF(AND(F138&lt;&gt;"",COUNTIF(RSK_ID,F138)=0),"CHECK: Risk ID not found",IF(AND(F138&lt;&gt;"",COUNTIF(RSK_ID,F138)&gt;0,IFERROR(INDEX(RSK_SUP,MATCH(F138,RSK_ID,0)),"")&lt;&gt;B138),"CHECK: Risk belongs to a different supplier",IF(AND(N138="Accepted - exception approved",O138=""),"CHECK: exception approval reference missing","OK")))))))</f>
        <v/>
      </c>
      <c r="S138" s="61" t="str">
        <f aca="false">IF(OR(A138="",B138=""),"",IF(AND(Q138="Open gap",B138=RptSup),B138&amp;"|"&amp;COUNTIFS($B$7:B138,B138,$Q$7:Q138,"Open gap"),""))</f>
        <v/>
      </c>
    </row>
    <row r="139" customFormat="false" ht="15" hidden="false" customHeight="false" outlineLevel="0" collapsed="false">
      <c r="A139" s="50"/>
      <c r="B139" s="50"/>
      <c r="C139" s="59" t="str">
        <f aca="false">IF(B139="","",IFERROR(INDEX(INV_NAME,MATCH(B139,INV_ID,0)),"CHECK: Supplier ID not found"))</f>
        <v/>
      </c>
      <c r="D139" s="34"/>
      <c r="E139" s="34"/>
      <c r="F139" s="50"/>
      <c r="G139" s="34"/>
      <c r="H139" s="34"/>
      <c r="I139" s="34"/>
      <c r="J139" s="34"/>
      <c r="K139" s="34"/>
      <c r="L139" s="34"/>
      <c r="M139" s="34"/>
      <c r="N139" s="34"/>
      <c r="O139" s="34"/>
      <c r="P139" s="51"/>
      <c r="Q139" s="54" t="str">
        <f aca="false">IF(A139="","",IF(I139="Gap identified",IF(OR(N139="Amended",N139="Accepted - exception approved",N139="No action required",N139="Not applicable",N139="Withdrawn"),"Gap dispositioned","Open gap"),IF(I139="Not reviewed","Not reviewed",IF(I139="Clause present - legal review pending","Present - legal review pending",IF(I139="Clause reviewed - no gap noted","Reviewed - no gap noted (not a legal compliance conclusion)",IF(I139="Not applicable","Not applicable","Not reviewed"))))))</f>
        <v/>
      </c>
      <c r="R139" s="54" t="str">
        <f aca="false">IF(A139="","",IF(COUNTIF(CON_ID,A139)&gt;1,"CHECK: duplicate ID",IF(B139="","CHECK: Supplier ID missing",IF(COUNTIF(INV_ID,B139)=0,"CHECK: Supplier ID not in inventory",IF(AND(F139&lt;&gt;"",COUNTIF(RSK_ID,F139)=0),"CHECK: Risk ID not found",IF(AND(F139&lt;&gt;"",COUNTIF(RSK_ID,F139)&gt;0,IFERROR(INDEX(RSK_SUP,MATCH(F139,RSK_ID,0)),"")&lt;&gt;B139),"CHECK: Risk belongs to a different supplier",IF(AND(N139="Accepted - exception approved",O139=""),"CHECK: exception approval reference missing","OK")))))))</f>
        <v/>
      </c>
      <c r="S139" s="61" t="str">
        <f aca="false">IF(OR(A139="",B139=""),"",IF(AND(Q139="Open gap",B139=RptSup),B139&amp;"|"&amp;COUNTIFS($B$7:B139,B139,$Q$7:Q139,"Open gap"),""))</f>
        <v/>
      </c>
    </row>
    <row r="140" customFormat="false" ht="15" hidden="false" customHeight="false" outlineLevel="0" collapsed="false">
      <c r="A140" s="50"/>
      <c r="B140" s="50"/>
      <c r="C140" s="59" t="str">
        <f aca="false">IF(B140="","",IFERROR(INDEX(INV_NAME,MATCH(B140,INV_ID,0)),"CHECK: Supplier ID not found"))</f>
        <v/>
      </c>
      <c r="D140" s="34"/>
      <c r="E140" s="34"/>
      <c r="F140" s="50"/>
      <c r="G140" s="34"/>
      <c r="H140" s="34"/>
      <c r="I140" s="34"/>
      <c r="J140" s="34"/>
      <c r="K140" s="34"/>
      <c r="L140" s="34"/>
      <c r="M140" s="34"/>
      <c r="N140" s="34"/>
      <c r="O140" s="34"/>
      <c r="P140" s="51"/>
      <c r="Q140" s="54" t="str">
        <f aca="false">IF(A140="","",IF(I140="Gap identified",IF(OR(N140="Amended",N140="Accepted - exception approved",N140="No action required",N140="Not applicable",N140="Withdrawn"),"Gap dispositioned","Open gap"),IF(I140="Not reviewed","Not reviewed",IF(I140="Clause present - legal review pending","Present - legal review pending",IF(I140="Clause reviewed - no gap noted","Reviewed - no gap noted (not a legal compliance conclusion)",IF(I140="Not applicable","Not applicable","Not reviewed"))))))</f>
        <v/>
      </c>
      <c r="R140" s="54" t="str">
        <f aca="false">IF(A140="","",IF(COUNTIF(CON_ID,A140)&gt;1,"CHECK: duplicate ID",IF(B140="","CHECK: Supplier ID missing",IF(COUNTIF(INV_ID,B140)=0,"CHECK: Supplier ID not in inventory",IF(AND(F140&lt;&gt;"",COUNTIF(RSK_ID,F140)=0),"CHECK: Risk ID not found",IF(AND(F140&lt;&gt;"",COUNTIF(RSK_ID,F140)&gt;0,IFERROR(INDEX(RSK_SUP,MATCH(F140,RSK_ID,0)),"")&lt;&gt;B140),"CHECK: Risk belongs to a different supplier",IF(AND(N140="Accepted - exception approved",O140=""),"CHECK: exception approval reference missing","OK")))))))</f>
        <v/>
      </c>
      <c r="S140" s="61" t="str">
        <f aca="false">IF(OR(A140="",B140=""),"",IF(AND(Q140="Open gap",B140=RptSup),B140&amp;"|"&amp;COUNTIFS($B$7:B140,B140,$Q$7:Q140,"Open gap"),""))</f>
        <v/>
      </c>
    </row>
    <row r="141" customFormat="false" ht="15" hidden="false" customHeight="false" outlineLevel="0" collapsed="false">
      <c r="A141" s="50"/>
      <c r="B141" s="50"/>
      <c r="C141" s="59" t="str">
        <f aca="false">IF(B141="","",IFERROR(INDEX(INV_NAME,MATCH(B141,INV_ID,0)),"CHECK: Supplier ID not found"))</f>
        <v/>
      </c>
      <c r="D141" s="34"/>
      <c r="E141" s="34"/>
      <c r="F141" s="50"/>
      <c r="G141" s="34"/>
      <c r="H141" s="34"/>
      <c r="I141" s="34"/>
      <c r="J141" s="34"/>
      <c r="K141" s="34"/>
      <c r="L141" s="34"/>
      <c r="M141" s="34"/>
      <c r="N141" s="34"/>
      <c r="O141" s="34"/>
      <c r="P141" s="51"/>
      <c r="Q141" s="54" t="str">
        <f aca="false">IF(A141="","",IF(I141="Gap identified",IF(OR(N141="Amended",N141="Accepted - exception approved",N141="No action required",N141="Not applicable",N141="Withdrawn"),"Gap dispositioned","Open gap"),IF(I141="Not reviewed","Not reviewed",IF(I141="Clause present - legal review pending","Present - legal review pending",IF(I141="Clause reviewed - no gap noted","Reviewed - no gap noted (not a legal compliance conclusion)",IF(I141="Not applicable","Not applicable","Not reviewed"))))))</f>
        <v/>
      </c>
      <c r="R141" s="54" t="str">
        <f aca="false">IF(A141="","",IF(COUNTIF(CON_ID,A141)&gt;1,"CHECK: duplicate ID",IF(B141="","CHECK: Supplier ID missing",IF(COUNTIF(INV_ID,B141)=0,"CHECK: Supplier ID not in inventory",IF(AND(F141&lt;&gt;"",COUNTIF(RSK_ID,F141)=0),"CHECK: Risk ID not found",IF(AND(F141&lt;&gt;"",COUNTIF(RSK_ID,F141)&gt;0,IFERROR(INDEX(RSK_SUP,MATCH(F141,RSK_ID,0)),"")&lt;&gt;B141),"CHECK: Risk belongs to a different supplier",IF(AND(N141="Accepted - exception approved",O141=""),"CHECK: exception approval reference missing","OK")))))))</f>
        <v/>
      </c>
      <c r="S141" s="61" t="str">
        <f aca="false">IF(OR(A141="",B141=""),"",IF(AND(Q141="Open gap",B141=RptSup),B141&amp;"|"&amp;COUNTIFS($B$7:B141,B141,$Q$7:Q141,"Open gap"),""))</f>
        <v/>
      </c>
    </row>
    <row r="142" customFormat="false" ht="15" hidden="false" customHeight="false" outlineLevel="0" collapsed="false">
      <c r="A142" s="50"/>
      <c r="B142" s="50"/>
      <c r="C142" s="59" t="str">
        <f aca="false">IF(B142="","",IFERROR(INDEX(INV_NAME,MATCH(B142,INV_ID,0)),"CHECK: Supplier ID not found"))</f>
        <v/>
      </c>
      <c r="D142" s="34"/>
      <c r="E142" s="34"/>
      <c r="F142" s="50"/>
      <c r="G142" s="34"/>
      <c r="H142" s="34"/>
      <c r="I142" s="34"/>
      <c r="J142" s="34"/>
      <c r="K142" s="34"/>
      <c r="L142" s="34"/>
      <c r="M142" s="34"/>
      <c r="N142" s="34"/>
      <c r="O142" s="34"/>
      <c r="P142" s="51"/>
      <c r="Q142" s="54" t="str">
        <f aca="false">IF(A142="","",IF(I142="Gap identified",IF(OR(N142="Amended",N142="Accepted - exception approved",N142="No action required",N142="Not applicable",N142="Withdrawn"),"Gap dispositioned","Open gap"),IF(I142="Not reviewed","Not reviewed",IF(I142="Clause present - legal review pending","Present - legal review pending",IF(I142="Clause reviewed - no gap noted","Reviewed - no gap noted (not a legal compliance conclusion)",IF(I142="Not applicable","Not applicable","Not reviewed"))))))</f>
        <v/>
      </c>
      <c r="R142" s="54" t="str">
        <f aca="false">IF(A142="","",IF(COUNTIF(CON_ID,A142)&gt;1,"CHECK: duplicate ID",IF(B142="","CHECK: Supplier ID missing",IF(COUNTIF(INV_ID,B142)=0,"CHECK: Supplier ID not in inventory",IF(AND(F142&lt;&gt;"",COUNTIF(RSK_ID,F142)=0),"CHECK: Risk ID not found",IF(AND(F142&lt;&gt;"",COUNTIF(RSK_ID,F142)&gt;0,IFERROR(INDEX(RSK_SUP,MATCH(F142,RSK_ID,0)),"")&lt;&gt;B142),"CHECK: Risk belongs to a different supplier",IF(AND(N142="Accepted - exception approved",O142=""),"CHECK: exception approval reference missing","OK")))))))</f>
        <v/>
      </c>
      <c r="S142" s="61" t="str">
        <f aca="false">IF(OR(A142="",B142=""),"",IF(AND(Q142="Open gap",B142=RptSup),B142&amp;"|"&amp;COUNTIFS($B$7:B142,B142,$Q$7:Q142,"Open gap"),""))</f>
        <v/>
      </c>
    </row>
    <row r="143" customFormat="false" ht="15" hidden="false" customHeight="false" outlineLevel="0" collapsed="false">
      <c r="A143" s="50"/>
      <c r="B143" s="50"/>
      <c r="C143" s="59" t="str">
        <f aca="false">IF(B143="","",IFERROR(INDEX(INV_NAME,MATCH(B143,INV_ID,0)),"CHECK: Supplier ID not found"))</f>
        <v/>
      </c>
      <c r="D143" s="34"/>
      <c r="E143" s="34"/>
      <c r="F143" s="50"/>
      <c r="G143" s="34"/>
      <c r="H143" s="34"/>
      <c r="I143" s="34"/>
      <c r="J143" s="34"/>
      <c r="K143" s="34"/>
      <c r="L143" s="34"/>
      <c r="M143" s="34"/>
      <c r="N143" s="34"/>
      <c r="O143" s="34"/>
      <c r="P143" s="51"/>
      <c r="Q143" s="54" t="str">
        <f aca="false">IF(A143="","",IF(I143="Gap identified",IF(OR(N143="Amended",N143="Accepted - exception approved",N143="No action required",N143="Not applicable",N143="Withdrawn"),"Gap dispositioned","Open gap"),IF(I143="Not reviewed","Not reviewed",IF(I143="Clause present - legal review pending","Present - legal review pending",IF(I143="Clause reviewed - no gap noted","Reviewed - no gap noted (not a legal compliance conclusion)",IF(I143="Not applicable","Not applicable","Not reviewed"))))))</f>
        <v/>
      </c>
      <c r="R143" s="54" t="str">
        <f aca="false">IF(A143="","",IF(COUNTIF(CON_ID,A143)&gt;1,"CHECK: duplicate ID",IF(B143="","CHECK: Supplier ID missing",IF(COUNTIF(INV_ID,B143)=0,"CHECK: Supplier ID not in inventory",IF(AND(F143&lt;&gt;"",COUNTIF(RSK_ID,F143)=0),"CHECK: Risk ID not found",IF(AND(F143&lt;&gt;"",COUNTIF(RSK_ID,F143)&gt;0,IFERROR(INDEX(RSK_SUP,MATCH(F143,RSK_ID,0)),"")&lt;&gt;B143),"CHECK: Risk belongs to a different supplier",IF(AND(N143="Accepted - exception approved",O143=""),"CHECK: exception approval reference missing","OK")))))))</f>
        <v/>
      </c>
      <c r="S143" s="61" t="str">
        <f aca="false">IF(OR(A143="",B143=""),"",IF(AND(Q143="Open gap",B143=RptSup),B143&amp;"|"&amp;COUNTIFS($B$7:B143,B143,$Q$7:Q143,"Open gap"),""))</f>
        <v/>
      </c>
    </row>
    <row r="144" customFormat="false" ht="15" hidden="false" customHeight="false" outlineLevel="0" collapsed="false">
      <c r="A144" s="50"/>
      <c r="B144" s="50"/>
      <c r="C144" s="59" t="str">
        <f aca="false">IF(B144="","",IFERROR(INDEX(INV_NAME,MATCH(B144,INV_ID,0)),"CHECK: Supplier ID not found"))</f>
        <v/>
      </c>
      <c r="D144" s="34"/>
      <c r="E144" s="34"/>
      <c r="F144" s="50"/>
      <c r="G144" s="34"/>
      <c r="H144" s="34"/>
      <c r="I144" s="34"/>
      <c r="J144" s="34"/>
      <c r="K144" s="34"/>
      <c r="L144" s="34"/>
      <c r="M144" s="34"/>
      <c r="N144" s="34"/>
      <c r="O144" s="34"/>
      <c r="P144" s="51"/>
      <c r="Q144" s="54" t="str">
        <f aca="false">IF(A144="","",IF(I144="Gap identified",IF(OR(N144="Amended",N144="Accepted - exception approved",N144="No action required",N144="Not applicable",N144="Withdrawn"),"Gap dispositioned","Open gap"),IF(I144="Not reviewed","Not reviewed",IF(I144="Clause present - legal review pending","Present - legal review pending",IF(I144="Clause reviewed - no gap noted","Reviewed - no gap noted (not a legal compliance conclusion)",IF(I144="Not applicable","Not applicable","Not reviewed"))))))</f>
        <v/>
      </c>
      <c r="R144" s="54" t="str">
        <f aca="false">IF(A144="","",IF(COUNTIF(CON_ID,A144)&gt;1,"CHECK: duplicate ID",IF(B144="","CHECK: Supplier ID missing",IF(COUNTIF(INV_ID,B144)=0,"CHECK: Supplier ID not in inventory",IF(AND(F144&lt;&gt;"",COUNTIF(RSK_ID,F144)=0),"CHECK: Risk ID not found",IF(AND(F144&lt;&gt;"",COUNTIF(RSK_ID,F144)&gt;0,IFERROR(INDEX(RSK_SUP,MATCH(F144,RSK_ID,0)),"")&lt;&gt;B144),"CHECK: Risk belongs to a different supplier",IF(AND(N144="Accepted - exception approved",O144=""),"CHECK: exception approval reference missing","OK")))))))</f>
        <v/>
      </c>
      <c r="S144" s="61" t="str">
        <f aca="false">IF(OR(A144="",B144=""),"",IF(AND(Q144="Open gap",B144=RptSup),B144&amp;"|"&amp;COUNTIFS($B$7:B144,B144,$Q$7:Q144,"Open gap"),""))</f>
        <v/>
      </c>
    </row>
    <row r="145" customFormat="false" ht="15" hidden="false" customHeight="false" outlineLevel="0" collapsed="false">
      <c r="A145" s="50"/>
      <c r="B145" s="50"/>
      <c r="C145" s="59" t="str">
        <f aca="false">IF(B145="","",IFERROR(INDEX(INV_NAME,MATCH(B145,INV_ID,0)),"CHECK: Supplier ID not found"))</f>
        <v/>
      </c>
      <c r="D145" s="34"/>
      <c r="E145" s="34"/>
      <c r="F145" s="50"/>
      <c r="G145" s="34"/>
      <c r="H145" s="34"/>
      <c r="I145" s="34"/>
      <c r="J145" s="34"/>
      <c r="K145" s="34"/>
      <c r="L145" s="34"/>
      <c r="M145" s="34"/>
      <c r="N145" s="34"/>
      <c r="O145" s="34"/>
      <c r="P145" s="51"/>
      <c r="Q145" s="54" t="str">
        <f aca="false">IF(A145="","",IF(I145="Gap identified",IF(OR(N145="Amended",N145="Accepted - exception approved",N145="No action required",N145="Not applicable",N145="Withdrawn"),"Gap dispositioned","Open gap"),IF(I145="Not reviewed","Not reviewed",IF(I145="Clause present - legal review pending","Present - legal review pending",IF(I145="Clause reviewed - no gap noted","Reviewed - no gap noted (not a legal compliance conclusion)",IF(I145="Not applicable","Not applicable","Not reviewed"))))))</f>
        <v/>
      </c>
      <c r="R145" s="54" t="str">
        <f aca="false">IF(A145="","",IF(COUNTIF(CON_ID,A145)&gt;1,"CHECK: duplicate ID",IF(B145="","CHECK: Supplier ID missing",IF(COUNTIF(INV_ID,B145)=0,"CHECK: Supplier ID not in inventory",IF(AND(F145&lt;&gt;"",COUNTIF(RSK_ID,F145)=0),"CHECK: Risk ID not found",IF(AND(F145&lt;&gt;"",COUNTIF(RSK_ID,F145)&gt;0,IFERROR(INDEX(RSK_SUP,MATCH(F145,RSK_ID,0)),"")&lt;&gt;B145),"CHECK: Risk belongs to a different supplier",IF(AND(N145="Accepted - exception approved",O145=""),"CHECK: exception approval reference missing","OK")))))))</f>
        <v/>
      </c>
      <c r="S145" s="61" t="str">
        <f aca="false">IF(OR(A145="",B145=""),"",IF(AND(Q145="Open gap",B145=RptSup),B145&amp;"|"&amp;COUNTIFS($B$7:B145,B145,$Q$7:Q145,"Open gap"),""))</f>
        <v/>
      </c>
    </row>
    <row r="146" customFormat="false" ht="15" hidden="false" customHeight="false" outlineLevel="0" collapsed="false">
      <c r="A146" s="50"/>
      <c r="B146" s="50"/>
      <c r="C146" s="59" t="str">
        <f aca="false">IF(B146="","",IFERROR(INDEX(INV_NAME,MATCH(B146,INV_ID,0)),"CHECK: Supplier ID not found"))</f>
        <v/>
      </c>
      <c r="D146" s="34"/>
      <c r="E146" s="34"/>
      <c r="F146" s="50"/>
      <c r="G146" s="34"/>
      <c r="H146" s="34"/>
      <c r="I146" s="34"/>
      <c r="J146" s="34"/>
      <c r="K146" s="34"/>
      <c r="L146" s="34"/>
      <c r="M146" s="34"/>
      <c r="N146" s="34"/>
      <c r="O146" s="34"/>
      <c r="P146" s="51"/>
      <c r="Q146" s="54" t="str">
        <f aca="false">IF(A146="","",IF(I146="Gap identified",IF(OR(N146="Amended",N146="Accepted - exception approved",N146="No action required",N146="Not applicable",N146="Withdrawn"),"Gap dispositioned","Open gap"),IF(I146="Not reviewed","Not reviewed",IF(I146="Clause present - legal review pending","Present - legal review pending",IF(I146="Clause reviewed - no gap noted","Reviewed - no gap noted (not a legal compliance conclusion)",IF(I146="Not applicable","Not applicable","Not reviewed"))))))</f>
        <v/>
      </c>
      <c r="R146" s="54" t="str">
        <f aca="false">IF(A146="","",IF(COUNTIF(CON_ID,A146)&gt;1,"CHECK: duplicate ID",IF(B146="","CHECK: Supplier ID missing",IF(COUNTIF(INV_ID,B146)=0,"CHECK: Supplier ID not in inventory",IF(AND(F146&lt;&gt;"",COUNTIF(RSK_ID,F146)=0),"CHECK: Risk ID not found",IF(AND(F146&lt;&gt;"",COUNTIF(RSK_ID,F146)&gt;0,IFERROR(INDEX(RSK_SUP,MATCH(F146,RSK_ID,0)),"")&lt;&gt;B146),"CHECK: Risk belongs to a different supplier",IF(AND(N146="Accepted - exception approved",O146=""),"CHECK: exception approval reference missing","OK")))))))</f>
        <v/>
      </c>
      <c r="S146" s="61" t="str">
        <f aca="false">IF(OR(A146="",B146=""),"",IF(AND(Q146="Open gap",B146=RptSup),B146&amp;"|"&amp;COUNTIFS($B$7:B146,B146,$Q$7:Q146,"Open gap"),""))</f>
        <v/>
      </c>
    </row>
    <row r="147" customFormat="false" ht="15" hidden="false" customHeight="false" outlineLevel="0" collapsed="false">
      <c r="A147" s="50"/>
      <c r="B147" s="50"/>
      <c r="C147" s="59" t="str">
        <f aca="false">IF(B147="","",IFERROR(INDEX(INV_NAME,MATCH(B147,INV_ID,0)),"CHECK: Supplier ID not found"))</f>
        <v/>
      </c>
      <c r="D147" s="34"/>
      <c r="E147" s="34"/>
      <c r="F147" s="50"/>
      <c r="G147" s="34"/>
      <c r="H147" s="34"/>
      <c r="I147" s="34"/>
      <c r="J147" s="34"/>
      <c r="K147" s="34"/>
      <c r="L147" s="34"/>
      <c r="M147" s="34"/>
      <c r="N147" s="34"/>
      <c r="O147" s="34"/>
      <c r="P147" s="51"/>
      <c r="Q147" s="54" t="str">
        <f aca="false">IF(A147="","",IF(I147="Gap identified",IF(OR(N147="Amended",N147="Accepted - exception approved",N147="No action required",N147="Not applicable",N147="Withdrawn"),"Gap dispositioned","Open gap"),IF(I147="Not reviewed","Not reviewed",IF(I147="Clause present - legal review pending","Present - legal review pending",IF(I147="Clause reviewed - no gap noted","Reviewed - no gap noted (not a legal compliance conclusion)",IF(I147="Not applicable","Not applicable","Not reviewed"))))))</f>
        <v/>
      </c>
      <c r="R147" s="54" t="str">
        <f aca="false">IF(A147="","",IF(COUNTIF(CON_ID,A147)&gt;1,"CHECK: duplicate ID",IF(B147="","CHECK: Supplier ID missing",IF(COUNTIF(INV_ID,B147)=0,"CHECK: Supplier ID not in inventory",IF(AND(F147&lt;&gt;"",COUNTIF(RSK_ID,F147)=0),"CHECK: Risk ID not found",IF(AND(F147&lt;&gt;"",COUNTIF(RSK_ID,F147)&gt;0,IFERROR(INDEX(RSK_SUP,MATCH(F147,RSK_ID,0)),"")&lt;&gt;B147),"CHECK: Risk belongs to a different supplier",IF(AND(N147="Accepted - exception approved",O147=""),"CHECK: exception approval reference missing","OK")))))))</f>
        <v/>
      </c>
      <c r="S147" s="61" t="str">
        <f aca="false">IF(OR(A147="",B147=""),"",IF(AND(Q147="Open gap",B147=RptSup),B147&amp;"|"&amp;COUNTIFS($B$7:B147,B147,$Q$7:Q147,"Open gap"),""))</f>
        <v/>
      </c>
    </row>
    <row r="148" customFormat="false" ht="15" hidden="false" customHeight="false" outlineLevel="0" collapsed="false">
      <c r="A148" s="50"/>
      <c r="B148" s="50"/>
      <c r="C148" s="59" t="str">
        <f aca="false">IF(B148="","",IFERROR(INDEX(INV_NAME,MATCH(B148,INV_ID,0)),"CHECK: Supplier ID not found"))</f>
        <v/>
      </c>
      <c r="D148" s="34"/>
      <c r="E148" s="34"/>
      <c r="F148" s="50"/>
      <c r="G148" s="34"/>
      <c r="H148" s="34"/>
      <c r="I148" s="34"/>
      <c r="J148" s="34"/>
      <c r="K148" s="34"/>
      <c r="L148" s="34"/>
      <c r="M148" s="34"/>
      <c r="N148" s="34"/>
      <c r="O148" s="34"/>
      <c r="P148" s="51"/>
      <c r="Q148" s="54" t="str">
        <f aca="false">IF(A148="","",IF(I148="Gap identified",IF(OR(N148="Amended",N148="Accepted - exception approved",N148="No action required",N148="Not applicable",N148="Withdrawn"),"Gap dispositioned","Open gap"),IF(I148="Not reviewed","Not reviewed",IF(I148="Clause present - legal review pending","Present - legal review pending",IF(I148="Clause reviewed - no gap noted","Reviewed - no gap noted (not a legal compliance conclusion)",IF(I148="Not applicable","Not applicable","Not reviewed"))))))</f>
        <v/>
      </c>
      <c r="R148" s="54" t="str">
        <f aca="false">IF(A148="","",IF(COUNTIF(CON_ID,A148)&gt;1,"CHECK: duplicate ID",IF(B148="","CHECK: Supplier ID missing",IF(COUNTIF(INV_ID,B148)=0,"CHECK: Supplier ID not in inventory",IF(AND(F148&lt;&gt;"",COUNTIF(RSK_ID,F148)=0),"CHECK: Risk ID not found",IF(AND(F148&lt;&gt;"",COUNTIF(RSK_ID,F148)&gt;0,IFERROR(INDEX(RSK_SUP,MATCH(F148,RSK_ID,0)),"")&lt;&gt;B148),"CHECK: Risk belongs to a different supplier",IF(AND(N148="Accepted - exception approved",O148=""),"CHECK: exception approval reference missing","OK")))))))</f>
        <v/>
      </c>
      <c r="S148" s="61" t="str">
        <f aca="false">IF(OR(A148="",B148=""),"",IF(AND(Q148="Open gap",B148=RptSup),B148&amp;"|"&amp;COUNTIFS($B$7:B148,B148,$Q$7:Q148,"Open gap"),""))</f>
        <v/>
      </c>
    </row>
    <row r="149" customFormat="false" ht="15" hidden="false" customHeight="false" outlineLevel="0" collapsed="false">
      <c r="A149" s="50"/>
      <c r="B149" s="50"/>
      <c r="C149" s="59" t="str">
        <f aca="false">IF(B149="","",IFERROR(INDEX(INV_NAME,MATCH(B149,INV_ID,0)),"CHECK: Supplier ID not found"))</f>
        <v/>
      </c>
      <c r="D149" s="34"/>
      <c r="E149" s="34"/>
      <c r="F149" s="50"/>
      <c r="G149" s="34"/>
      <c r="H149" s="34"/>
      <c r="I149" s="34"/>
      <c r="J149" s="34"/>
      <c r="K149" s="34"/>
      <c r="L149" s="34"/>
      <c r="M149" s="34"/>
      <c r="N149" s="34"/>
      <c r="O149" s="34"/>
      <c r="P149" s="51"/>
      <c r="Q149" s="54" t="str">
        <f aca="false">IF(A149="","",IF(I149="Gap identified",IF(OR(N149="Amended",N149="Accepted - exception approved",N149="No action required",N149="Not applicable",N149="Withdrawn"),"Gap dispositioned","Open gap"),IF(I149="Not reviewed","Not reviewed",IF(I149="Clause present - legal review pending","Present - legal review pending",IF(I149="Clause reviewed - no gap noted","Reviewed - no gap noted (not a legal compliance conclusion)",IF(I149="Not applicable","Not applicable","Not reviewed"))))))</f>
        <v/>
      </c>
      <c r="R149" s="54" t="str">
        <f aca="false">IF(A149="","",IF(COUNTIF(CON_ID,A149)&gt;1,"CHECK: duplicate ID",IF(B149="","CHECK: Supplier ID missing",IF(COUNTIF(INV_ID,B149)=0,"CHECK: Supplier ID not in inventory",IF(AND(F149&lt;&gt;"",COUNTIF(RSK_ID,F149)=0),"CHECK: Risk ID not found",IF(AND(F149&lt;&gt;"",COUNTIF(RSK_ID,F149)&gt;0,IFERROR(INDEX(RSK_SUP,MATCH(F149,RSK_ID,0)),"")&lt;&gt;B149),"CHECK: Risk belongs to a different supplier",IF(AND(N149="Accepted - exception approved",O149=""),"CHECK: exception approval reference missing","OK")))))))</f>
        <v/>
      </c>
      <c r="S149" s="61" t="str">
        <f aca="false">IF(OR(A149="",B149=""),"",IF(AND(Q149="Open gap",B149=RptSup),B149&amp;"|"&amp;COUNTIFS($B$7:B149,B149,$Q$7:Q149,"Open gap"),""))</f>
        <v/>
      </c>
    </row>
    <row r="150" customFormat="false" ht="15" hidden="false" customHeight="false" outlineLevel="0" collapsed="false">
      <c r="A150" s="50"/>
      <c r="B150" s="50"/>
      <c r="C150" s="59" t="str">
        <f aca="false">IF(B150="","",IFERROR(INDEX(INV_NAME,MATCH(B150,INV_ID,0)),"CHECK: Supplier ID not found"))</f>
        <v/>
      </c>
      <c r="D150" s="34"/>
      <c r="E150" s="34"/>
      <c r="F150" s="50"/>
      <c r="G150" s="34"/>
      <c r="H150" s="34"/>
      <c r="I150" s="34"/>
      <c r="J150" s="34"/>
      <c r="K150" s="34"/>
      <c r="L150" s="34"/>
      <c r="M150" s="34"/>
      <c r="N150" s="34"/>
      <c r="O150" s="34"/>
      <c r="P150" s="51"/>
      <c r="Q150" s="54" t="str">
        <f aca="false">IF(A150="","",IF(I150="Gap identified",IF(OR(N150="Amended",N150="Accepted - exception approved",N150="No action required",N150="Not applicable",N150="Withdrawn"),"Gap dispositioned","Open gap"),IF(I150="Not reviewed","Not reviewed",IF(I150="Clause present - legal review pending","Present - legal review pending",IF(I150="Clause reviewed - no gap noted","Reviewed - no gap noted (not a legal compliance conclusion)",IF(I150="Not applicable","Not applicable","Not reviewed"))))))</f>
        <v/>
      </c>
      <c r="R150" s="54" t="str">
        <f aca="false">IF(A150="","",IF(COUNTIF(CON_ID,A150)&gt;1,"CHECK: duplicate ID",IF(B150="","CHECK: Supplier ID missing",IF(COUNTIF(INV_ID,B150)=0,"CHECK: Supplier ID not in inventory",IF(AND(F150&lt;&gt;"",COUNTIF(RSK_ID,F150)=0),"CHECK: Risk ID not found",IF(AND(F150&lt;&gt;"",COUNTIF(RSK_ID,F150)&gt;0,IFERROR(INDEX(RSK_SUP,MATCH(F150,RSK_ID,0)),"")&lt;&gt;B150),"CHECK: Risk belongs to a different supplier",IF(AND(N150="Accepted - exception approved",O150=""),"CHECK: exception approval reference missing","OK")))))))</f>
        <v/>
      </c>
      <c r="S150" s="61" t="str">
        <f aca="false">IF(OR(A150="",B150=""),"",IF(AND(Q150="Open gap",B150=RptSup),B150&amp;"|"&amp;COUNTIFS($B$7:B150,B150,$Q$7:Q150,"Open gap"),""))</f>
        <v/>
      </c>
    </row>
    <row r="151" customFormat="false" ht="15" hidden="false" customHeight="false" outlineLevel="0" collapsed="false">
      <c r="A151" s="50"/>
      <c r="B151" s="50"/>
      <c r="C151" s="59" t="str">
        <f aca="false">IF(B151="","",IFERROR(INDEX(INV_NAME,MATCH(B151,INV_ID,0)),"CHECK: Supplier ID not found"))</f>
        <v/>
      </c>
      <c r="D151" s="34"/>
      <c r="E151" s="34"/>
      <c r="F151" s="50"/>
      <c r="G151" s="34"/>
      <c r="H151" s="34"/>
      <c r="I151" s="34"/>
      <c r="J151" s="34"/>
      <c r="K151" s="34"/>
      <c r="L151" s="34"/>
      <c r="M151" s="34"/>
      <c r="N151" s="34"/>
      <c r="O151" s="34"/>
      <c r="P151" s="51"/>
      <c r="Q151" s="54" t="str">
        <f aca="false">IF(A151="","",IF(I151="Gap identified",IF(OR(N151="Amended",N151="Accepted - exception approved",N151="No action required",N151="Not applicable",N151="Withdrawn"),"Gap dispositioned","Open gap"),IF(I151="Not reviewed","Not reviewed",IF(I151="Clause present - legal review pending","Present - legal review pending",IF(I151="Clause reviewed - no gap noted","Reviewed - no gap noted (not a legal compliance conclusion)",IF(I151="Not applicable","Not applicable","Not reviewed"))))))</f>
        <v/>
      </c>
      <c r="R151" s="54" t="str">
        <f aca="false">IF(A151="","",IF(COUNTIF(CON_ID,A151)&gt;1,"CHECK: duplicate ID",IF(B151="","CHECK: Supplier ID missing",IF(COUNTIF(INV_ID,B151)=0,"CHECK: Supplier ID not in inventory",IF(AND(F151&lt;&gt;"",COUNTIF(RSK_ID,F151)=0),"CHECK: Risk ID not found",IF(AND(F151&lt;&gt;"",COUNTIF(RSK_ID,F151)&gt;0,IFERROR(INDEX(RSK_SUP,MATCH(F151,RSK_ID,0)),"")&lt;&gt;B151),"CHECK: Risk belongs to a different supplier",IF(AND(N151="Accepted - exception approved",O151=""),"CHECK: exception approval reference missing","OK")))))))</f>
        <v/>
      </c>
      <c r="S151" s="61" t="str">
        <f aca="false">IF(OR(A151="",B151=""),"",IF(AND(Q151="Open gap",B151=RptSup),B151&amp;"|"&amp;COUNTIFS($B$7:B151,B151,$Q$7:Q151,"Open gap"),""))</f>
        <v/>
      </c>
    </row>
    <row r="152" customFormat="false" ht="15" hidden="false" customHeight="false" outlineLevel="0" collapsed="false">
      <c r="A152" s="50"/>
      <c r="B152" s="50"/>
      <c r="C152" s="59" t="str">
        <f aca="false">IF(B152="","",IFERROR(INDEX(INV_NAME,MATCH(B152,INV_ID,0)),"CHECK: Supplier ID not found"))</f>
        <v/>
      </c>
      <c r="D152" s="34"/>
      <c r="E152" s="34"/>
      <c r="F152" s="50"/>
      <c r="G152" s="34"/>
      <c r="H152" s="34"/>
      <c r="I152" s="34"/>
      <c r="J152" s="34"/>
      <c r="K152" s="34"/>
      <c r="L152" s="34"/>
      <c r="M152" s="34"/>
      <c r="N152" s="34"/>
      <c r="O152" s="34"/>
      <c r="P152" s="51"/>
      <c r="Q152" s="54" t="str">
        <f aca="false">IF(A152="","",IF(I152="Gap identified",IF(OR(N152="Amended",N152="Accepted - exception approved",N152="No action required",N152="Not applicable",N152="Withdrawn"),"Gap dispositioned","Open gap"),IF(I152="Not reviewed","Not reviewed",IF(I152="Clause present - legal review pending","Present - legal review pending",IF(I152="Clause reviewed - no gap noted","Reviewed - no gap noted (not a legal compliance conclusion)",IF(I152="Not applicable","Not applicable","Not reviewed"))))))</f>
        <v/>
      </c>
      <c r="R152" s="54" t="str">
        <f aca="false">IF(A152="","",IF(COUNTIF(CON_ID,A152)&gt;1,"CHECK: duplicate ID",IF(B152="","CHECK: Supplier ID missing",IF(COUNTIF(INV_ID,B152)=0,"CHECK: Supplier ID not in inventory",IF(AND(F152&lt;&gt;"",COUNTIF(RSK_ID,F152)=0),"CHECK: Risk ID not found",IF(AND(F152&lt;&gt;"",COUNTIF(RSK_ID,F152)&gt;0,IFERROR(INDEX(RSK_SUP,MATCH(F152,RSK_ID,0)),"")&lt;&gt;B152),"CHECK: Risk belongs to a different supplier",IF(AND(N152="Accepted - exception approved",O152=""),"CHECK: exception approval reference missing","OK")))))))</f>
        <v/>
      </c>
      <c r="S152" s="61" t="str">
        <f aca="false">IF(OR(A152="",B152=""),"",IF(AND(Q152="Open gap",B152=RptSup),B152&amp;"|"&amp;COUNTIFS($B$7:B152,B152,$Q$7:Q152,"Open gap"),""))</f>
        <v/>
      </c>
    </row>
    <row r="153" customFormat="false" ht="15" hidden="false" customHeight="false" outlineLevel="0" collapsed="false">
      <c r="A153" s="50"/>
      <c r="B153" s="50"/>
      <c r="C153" s="59" t="str">
        <f aca="false">IF(B153="","",IFERROR(INDEX(INV_NAME,MATCH(B153,INV_ID,0)),"CHECK: Supplier ID not found"))</f>
        <v/>
      </c>
      <c r="D153" s="34"/>
      <c r="E153" s="34"/>
      <c r="F153" s="50"/>
      <c r="G153" s="34"/>
      <c r="H153" s="34"/>
      <c r="I153" s="34"/>
      <c r="J153" s="34"/>
      <c r="K153" s="34"/>
      <c r="L153" s="34"/>
      <c r="M153" s="34"/>
      <c r="N153" s="34"/>
      <c r="O153" s="34"/>
      <c r="P153" s="51"/>
      <c r="Q153" s="54" t="str">
        <f aca="false">IF(A153="","",IF(I153="Gap identified",IF(OR(N153="Amended",N153="Accepted - exception approved",N153="No action required",N153="Not applicable",N153="Withdrawn"),"Gap dispositioned","Open gap"),IF(I153="Not reviewed","Not reviewed",IF(I153="Clause present - legal review pending","Present - legal review pending",IF(I153="Clause reviewed - no gap noted","Reviewed - no gap noted (not a legal compliance conclusion)",IF(I153="Not applicable","Not applicable","Not reviewed"))))))</f>
        <v/>
      </c>
      <c r="R153" s="54" t="str">
        <f aca="false">IF(A153="","",IF(COUNTIF(CON_ID,A153)&gt;1,"CHECK: duplicate ID",IF(B153="","CHECK: Supplier ID missing",IF(COUNTIF(INV_ID,B153)=0,"CHECK: Supplier ID not in inventory",IF(AND(F153&lt;&gt;"",COUNTIF(RSK_ID,F153)=0),"CHECK: Risk ID not found",IF(AND(F153&lt;&gt;"",COUNTIF(RSK_ID,F153)&gt;0,IFERROR(INDEX(RSK_SUP,MATCH(F153,RSK_ID,0)),"")&lt;&gt;B153),"CHECK: Risk belongs to a different supplier",IF(AND(N153="Accepted - exception approved",O153=""),"CHECK: exception approval reference missing","OK")))))))</f>
        <v/>
      </c>
      <c r="S153" s="61" t="str">
        <f aca="false">IF(OR(A153="",B153=""),"",IF(AND(Q153="Open gap",B153=RptSup),B153&amp;"|"&amp;COUNTIFS($B$7:B153,B153,$Q$7:Q153,"Open gap"),""))</f>
        <v/>
      </c>
    </row>
    <row r="154" customFormat="false" ht="15" hidden="false" customHeight="false" outlineLevel="0" collapsed="false">
      <c r="A154" s="50"/>
      <c r="B154" s="50"/>
      <c r="C154" s="59" t="str">
        <f aca="false">IF(B154="","",IFERROR(INDEX(INV_NAME,MATCH(B154,INV_ID,0)),"CHECK: Supplier ID not found"))</f>
        <v/>
      </c>
      <c r="D154" s="34"/>
      <c r="E154" s="34"/>
      <c r="F154" s="50"/>
      <c r="G154" s="34"/>
      <c r="H154" s="34"/>
      <c r="I154" s="34"/>
      <c r="J154" s="34"/>
      <c r="K154" s="34"/>
      <c r="L154" s="34"/>
      <c r="M154" s="34"/>
      <c r="N154" s="34"/>
      <c r="O154" s="34"/>
      <c r="P154" s="51"/>
      <c r="Q154" s="54" t="str">
        <f aca="false">IF(A154="","",IF(I154="Gap identified",IF(OR(N154="Amended",N154="Accepted - exception approved",N154="No action required",N154="Not applicable",N154="Withdrawn"),"Gap dispositioned","Open gap"),IF(I154="Not reviewed","Not reviewed",IF(I154="Clause present - legal review pending","Present - legal review pending",IF(I154="Clause reviewed - no gap noted","Reviewed - no gap noted (not a legal compliance conclusion)",IF(I154="Not applicable","Not applicable","Not reviewed"))))))</f>
        <v/>
      </c>
      <c r="R154" s="54" t="str">
        <f aca="false">IF(A154="","",IF(COUNTIF(CON_ID,A154)&gt;1,"CHECK: duplicate ID",IF(B154="","CHECK: Supplier ID missing",IF(COUNTIF(INV_ID,B154)=0,"CHECK: Supplier ID not in inventory",IF(AND(F154&lt;&gt;"",COUNTIF(RSK_ID,F154)=0),"CHECK: Risk ID not found",IF(AND(F154&lt;&gt;"",COUNTIF(RSK_ID,F154)&gt;0,IFERROR(INDEX(RSK_SUP,MATCH(F154,RSK_ID,0)),"")&lt;&gt;B154),"CHECK: Risk belongs to a different supplier",IF(AND(N154="Accepted - exception approved",O154=""),"CHECK: exception approval reference missing","OK")))))))</f>
        <v/>
      </c>
      <c r="S154" s="61" t="str">
        <f aca="false">IF(OR(A154="",B154=""),"",IF(AND(Q154="Open gap",B154=RptSup),B154&amp;"|"&amp;COUNTIFS($B$7:B154,B154,$Q$7:Q154,"Open gap"),""))</f>
        <v/>
      </c>
    </row>
    <row r="155" customFormat="false" ht="15" hidden="false" customHeight="false" outlineLevel="0" collapsed="false">
      <c r="A155" s="50"/>
      <c r="B155" s="50"/>
      <c r="C155" s="59" t="str">
        <f aca="false">IF(B155="","",IFERROR(INDEX(INV_NAME,MATCH(B155,INV_ID,0)),"CHECK: Supplier ID not found"))</f>
        <v/>
      </c>
      <c r="D155" s="34"/>
      <c r="E155" s="34"/>
      <c r="F155" s="50"/>
      <c r="G155" s="34"/>
      <c r="H155" s="34"/>
      <c r="I155" s="34"/>
      <c r="J155" s="34"/>
      <c r="K155" s="34"/>
      <c r="L155" s="34"/>
      <c r="M155" s="34"/>
      <c r="N155" s="34"/>
      <c r="O155" s="34"/>
      <c r="P155" s="51"/>
      <c r="Q155" s="54" t="str">
        <f aca="false">IF(A155="","",IF(I155="Gap identified",IF(OR(N155="Amended",N155="Accepted - exception approved",N155="No action required",N155="Not applicable",N155="Withdrawn"),"Gap dispositioned","Open gap"),IF(I155="Not reviewed","Not reviewed",IF(I155="Clause present - legal review pending","Present - legal review pending",IF(I155="Clause reviewed - no gap noted","Reviewed - no gap noted (not a legal compliance conclusion)",IF(I155="Not applicable","Not applicable","Not reviewed"))))))</f>
        <v/>
      </c>
      <c r="R155" s="54" t="str">
        <f aca="false">IF(A155="","",IF(COUNTIF(CON_ID,A155)&gt;1,"CHECK: duplicate ID",IF(B155="","CHECK: Supplier ID missing",IF(COUNTIF(INV_ID,B155)=0,"CHECK: Supplier ID not in inventory",IF(AND(F155&lt;&gt;"",COUNTIF(RSK_ID,F155)=0),"CHECK: Risk ID not found",IF(AND(F155&lt;&gt;"",COUNTIF(RSK_ID,F155)&gt;0,IFERROR(INDEX(RSK_SUP,MATCH(F155,RSK_ID,0)),"")&lt;&gt;B155),"CHECK: Risk belongs to a different supplier",IF(AND(N155="Accepted - exception approved",O155=""),"CHECK: exception approval reference missing","OK")))))))</f>
        <v/>
      </c>
      <c r="S155" s="61" t="str">
        <f aca="false">IF(OR(A155="",B155=""),"",IF(AND(Q155="Open gap",B155=RptSup),B155&amp;"|"&amp;COUNTIFS($B$7:B155,B155,$Q$7:Q155,"Open gap"),""))</f>
        <v/>
      </c>
    </row>
    <row r="156" customFormat="false" ht="15" hidden="false" customHeight="false" outlineLevel="0" collapsed="false">
      <c r="A156" s="50"/>
      <c r="B156" s="50"/>
      <c r="C156" s="59" t="str">
        <f aca="false">IF(B156="","",IFERROR(INDEX(INV_NAME,MATCH(B156,INV_ID,0)),"CHECK: Supplier ID not found"))</f>
        <v/>
      </c>
      <c r="D156" s="34"/>
      <c r="E156" s="34"/>
      <c r="F156" s="50"/>
      <c r="G156" s="34"/>
      <c r="H156" s="34"/>
      <c r="I156" s="34"/>
      <c r="J156" s="34"/>
      <c r="K156" s="34"/>
      <c r="L156" s="34"/>
      <c r="M156" s="34"/>
      <c r="N156" s="34"/>
      <c r="O156" s="34"/>
      <c r="P156" s="51"/>
      <c r="Q156" s="54" t="str">
        <f aca="false">IF(A156="","",IF(I156="Gap identified",IF(OR(N156="Amended",N156="Accepted - exception approved",N156="No action required",N156="Not applicable",N156="Withdrawn"),"Gap dispositioned","Open gap"),IF(I156="Not reviewed","Not reviewed",IF(I156="Clause present - legal review pending","Present - legal review pending",IF(I156="Clause reviewed - no gap noted","Reviewed - no gap noted (not a legal compliance conclusion)",IF(I156="Not applicable","Not applicable","Not reviewed"))))))</f>
        <v/>
      </c>
      <c r="R156" s="54" t="str">
        <f aca="false">IF(A156="","",IF(COUNTIF(CON_ID,A156)&gt;1,"CHECK: duplicate ID",IF(B156="","CHECK: Supplier ID missing",IF(COUNTIF(INV_ID,B156)=0,"CHECK: Supplier ID not in inventory",IF(AND(F156&lt;&gt;"",COUNTIF(RSK_ID,F156)=0),"CHECK: Risk ID not found",IF(AND(F156&lt;&gt;"",COUNTIF(RSK_ID,F156)&gt;0,IFERROR(INDEX(RSK_SUP,MATCH(F156,RSK_ID,0)),"")&lt;&gt;B156),"CHECK: Risk belongs to a different supplier",IF(AND(N156="Accepted - exception approved",O156=""),"CHECK: exception approval reference missing","OK")))))))</f>
        <v/>
      </c>
      <c r="S156" s="61" t="str">
        <f aca="false">IF(OR(A156="",B156=""),"",IF(AND(Q156="Open gap",B156=RptSup),B156&amp;"|"&amp;COUNTIFS($B$7:B156,B156,$Q$7:Q156,"Open gap"),""))</f>
        <v/>
      </c>
    </row>
    <row r="157" customFormat="false" ht="15" hidden="false" customHeight="false" outlineLevel="0" collapsed="false">
      <c r="A157" s="50"/>
      <c r="B157" s="50"/>
      <c r="C157" s="59" t="str">
        <f aca="false">IF(B157="","",IFERROR(INDEX(INV_NAME,MATCH(B157,INV_ID,0)),"CHECK: Supplier ID not found"))</f>
        <v/>
      </c>
      <c r="D157" s="34"/>
      <c r="E157" s="34"/>
      <c r="F157" s="50"/>
      <c r="G157" s="34"/>
      <c r="H157" s="34"/>
      <c r="I157" s="34"/>
      <c r="J157" s="34"/>
      <c r="K157" s="34"/>
      <c r="L157" s="34"/>
      <c r="M157" s="34"/>
      <c r="N157" s="34"/>
      <c r="O157" s="34"/>
      <c r="P157" s="51"/>
      <c r="Q157" s="54" t="str">
        <f aca="false">IF(A157="","",IF(I157="Gap identified",IF(OR(N157="Amended",N157="Accepted - exception approved",N157="No action required",N157="Not applicable",N157="Withdrawn"),"Gap dispositioned","Open gap"),IF(I157="Not reviewed","Not reviewed",IF(I157="Clause present - legal review pending","Present - legal review pending",IF(I157="Clause reviewed - no gap noted","Reviewed - no gap noted (not a legal compliance conclusion)",IF(I157="Not applicable","Not applicable","Not reviewed"))))))</f>
        <v/>
      </c>
      <c r="R157" s="54" t="str">
        <f aca="false">IF(A157="","",IF(COUNTIF(CON_ID,A157)&gt;1,"CHECK: duplicate ID",IF(B157="","CHECK: Supplier ID missing",IF(COUNTIF(INV_ID,B157)=0,"CHECK: Supplier ID not in inventory",IF(AND(F157&lt;&gt;"",COUNTIF(RSK_ID,F157)=0),"CHECK: Risk ID not found",IF(AND(F157&lt;&gt;"",COUNTIF(RSK_ID,F157)&gt;0,IFERROR(INDEX(RSK_SUP,MATCH(F157,RSK_ID,0)),"")&lt;&gt;B157),"CHECK: Risk belongs to a different supplier",IF(AND(N157="Accepted - exception approved",O157=""),"CHECK: exception approval reference missing","OK")))))))</f>
        <v/>
      </c>
      <c r="S157" s="61" t="str">
        <f aca="false">IF(OR(A157="",B157=""),"",IF(AND(Q157="Open gap",B157=RptSup),B157&amp;"|"&amp;COUNTIFS($B$7:B157,B157,$Q$7:Q157,"Open gap"),""))</f>
        <v/>
      </c>
    </row>
    <row r="158" customFormat="false" ht="15" hidden="false" customHeight="false" outlineLevel="0" collapsed="false">
      <c r="A158" s="50"/>
      <c r="B158" s="50"/>
      <c r="C158" s="59" t="str">
        <f aca="false">IF(B158="","",IFERROR(INDEX(INV_NAME,MATCH(B158,INV_ID,0)),"CHECK: Supplier ID not found"))</f>
        <v/>
      </c>
      <c r="D158" s="34"/>
      <c r="E158" s="34"/>
      <c r="F158" s="50"/>
      <c r="G158" s="34"/>
      <c r="H158" s="34"/>
      <c r="I158" s="34"/>
      <c r="J158" s="34"/>
      <c r="K158" s="34"/>
      <c r="L158" s="34"/>
      <c r="M158" s="34"/>
      <c r="N158" s="34"/>
      <c r="O158" s="34"/>
      <c r="P158" s="51"/>
      <c r="Q158" s="54" t="str">
        <f aca="false">IF(A158="","",IF(I158="Gap identified",IF(OR(N158="Amended",N158="Accepted - exception approved",N158="No action required",N158="Not applicable",N158="Withdrawn"),"Gap dispositioned","Open gap"),IF(I158="Not reviewed","Not reviewed",IF(I158="Clause present - legal review pending","Present - legal review pending",IF(I158="Clause reviewed - no gap noted","Reviewed - no gap noted (not a legal compliance conclusion)",IF(I158="Not applicable","Not applicable","Not reviewed"))))))</f>
        <v/>
      </c>
      <c r="R158" s="54" t="str">
        <f aca="false">IF(A158="","",IF(COUNTIF(CON_ID,A158)&gt;1,"CHECK: duplicate ID",IF(B158="","CHECK: Supplier ID missing",IF(COUNTIF(INV_ID,B158)=0,"CHECK: Supplier ID not in inventory",IF(AND(F158&lt;&gt;"",COUNTIF(RSK_ID,F158)=0),"CHECK: Risk ID not found",IF(AND(F158&lt;&gt;"",COUNTIF(RSK_ID,F158)&gt;0,IFERROR(INDEX(RSK_SUP,MATCH(F158,RSK_ID,0)),"")&lt;&gt;B158),"CHECK: Risk belongs to a different supplier",IF(AND(N158="Accepted - exception approved",O158=""),"CHECK: exception approval reference missing","OK")))))))</f>
        <v/>
      </c>
      <c r="S158" s="61" t="str">
        <f aca="false">IF(OR(A158="",B158=""),"",IF(AND(Q158="Open gap",B158=RptSup),B158&amp;"|"&amp;COUNTIFS($B$7:B158,B158,$Q$7:Q158,"Open gap"),""))</f>
        <v/>
      </c>
    </row>
    <row r="159" customFormat="false" ht="15" hidden="false" customHeight="false" outlineLevel="0" collapsed="false">
      <c r="A159" s="50"/>
      <c r="B159" s="50"/>
      <c r="C159" s="59" t="str">
        <f aca="false">IF(B159="","",IFERROR(INDEX(INV_NAME,MATCH(B159,INV_ID,0)),"CHECK: Supplier ID not found"))</f>
        <v/>
      </c>
      <c r="D159" s="34"/>
      <c r="E159" s="34"/>
      <c r="F159" s="50"/>
      <c r="G159" s="34"/>
      <c r="H159" s="34"/>
      <c r="I159" s="34"/>
      <c r="J159" s="34"/>
      <c r="K159" s="34"/>
      <c r="L159" s="34"/>
      <c r="M159" s="34"/>
      <c r="N159" s="34"/>
      <c r="O159" s="34"/>
      <c r="P159" s="51"/>
      <c r="Q159" s="54" t="str">
        <f aca="false">IF(A159="","",IF(I159="Gap identified",IF(OR(N159="Amended",N159="Accepted - exception approved",N159="No action required",N159="Not applicable",N159="Withdrawn"),"Gap dispositioned","Open gap"),IF(I159="Not reviewed","Not reviewed",IF(I159="Clause present - legal review pending","Present - legal review pending",IF(I159="Clause reviewed - no gap noted","Reviewed - no gap noted (not a legal compliance conclusion)",IF(I159="Not applicable","Not applicable","Not reviewed"))))))</f>
        <v/>
      </c>
      <c r="R159" s="54" t="str">
        <f aca="false">IF(A159="","",IF(COUNTIF(CON_ID,A159)&gt;1,"CHECK: duplicate ID",IF(B159="","CHECK: Supplier ID missing",IF(COUNTIF(INV_ID,B159)=0,"CHECK: Supplier ID not in inventory",IF(AND(F159&lt;&gt;"",COUNTIF(RSK_ID,F159)=0),"CHECK: Risk ID not found",IF(AND(F159&lt;&gt;"",COUNTIF(RSK_ID,F159)&gt;0,IFERROR(INDEX(RSK_SUP,MATCH(F159,RSK_ID,0)),"")&lt;&gt;B159),"CHECK: Risk belongs to a different supplier",IF(AND(N159="Accepted - exception approved",O159=""),"CHECK: exception approval reference missing","OK")))))))</f>
        <v/>
      </c>
      <c r="S159" s="61" t="str">
        <f aca="false">IF(OR(A159="",B159=""),"",IF(AND(Q159="Open gap",B159=RptSup),B159&amp;"|"&amp;COUNTIFS($B$7:B159,B159,$Q$7:Q159,"Open gap"),""))</f>
        <v/>
      </c>
    </row>
    <row r="160" customFormat="false" ht="15" hidden="false" customHeight="false" outlineLevel="0" collapsed="false">
      <c r="A160" s="50"/>
      <c r="B160" s="50"/>
      <c r="C160" s="59" t="str">
        <f aca="false">IF(B160="","",IFERROR(INDEX(INV_NAME,MATCH(B160,INV_ID,0)),"CHECK: Supplier ID not found"))</f>
        <v/>
      </c>
      <c r="D160" s="34"/>
      <c r="E160" s="34"/>
      <c r="F160" s="50"/>
      <c r="G160" s="34"/>
      <c r="H160" s="34"/>
      <c r="I160" s="34"/>
      <c r="J160" s="34"/>
      <c r="K160" s="34"/>
      <c r="L160" s="34"/>
      <c r="M160" s="34"/>
      <c r="N160" s="34"/>
      <c r="O160" s="34"/>
      <c r="P160" s="51"/>
      <c r="Q160" s="54" t="str">
        <f aca="false">IF(A160="","",IF(I160="Gap identified",IF(OR(N160="Amended",N160="Accepted - exception approved",N160="No action required",N160="Not applicable",N160="Withdrawn"),"Gap dispositioned","Open gap"),IF(I160="Not reviewed","Not reviewed",IF(I160="Clause present - legal review pending","Present - legal review pending",IF(I160="Clause reviewed - no gap noted","Reviewed - no gap noted (not a legal compliance conclusion)",IF(I160="Not applicable","Not applicable","Not reviewed"))))))</f>
        <v/>
      </c>
      <c r="R160" s="54" t="str">
        <f aca="false">IF(A160="","",IF(COUNTIF(CON_ID,A160)&gt;1,"CHECK: duplicate ID",IF(B160="","CHECK: Supplier ID missing",IF(COUNTIF(INV_ID,B160)=0,"CHECK: Supplier ID not in inventory",IF(AND(F160&lt;&gt;"",COUNTIF(RSK_ID,F160)=0),"CHECK: Risk ID not found",IF(AND(F160&lt;&gt;"",COUNTIF(RSK_ID,F160)&gt;0,IFERROR(INDEX(RSK_SUP,MATCH(F160,RSK_ID,0)),"")&lt;&gt;B160),"CHECK: Risk belongs to a different supplier",IF(AND(N160="Accepted - exception approved",O160=""),"CHECK: exception approval reference missing","OK")))))))</f>
        <v/>
      </c>
      <c r="S160" s="61" t="str">
        <f aca="false">IF(OR(A160="",B160=""),"",IF(AND(Q160="Open gap",B160=RptSup),B160&amp;"|"&amp;COUNTIFS($B$7:B160,B160,$Q$7:Q160,"Open gap"),""))</f>
        <v/>
      </c>
    </row>
    <row r="161" customFormat="false" ht="15" hidden="false" customHeight="false" outlineLevel="0" collapsed="false">
      <c r="A161" s="50"/>
      <c r="B161" s="50"/>
      <c r="C161" s="59" t="str">
        <f aca="false">IF(B161="","",IFERROR(INDEX(INV_NAME,MATCH(B161,INV_ID,0)),"CHECK: Supplier ID not found"))</f>
        <v/>
      </c>
      <c r="D161" s="34"/>
      <c r="E161" s="34"/>
      <c r="F161" s="50"/>
      <c r="G161" s="34"/>
      <c r="H161" s="34"/>
      <c r="I161" s="34"/>
      <c r="J161" s="34"/>
      <c r="K161" s="34"/>
      <c r="L161" s="34"/>
      <c r="M161" s="34"/>
      <c r="N161" s="34"/>
      <c r="O161" s="34"/>
      <c r="P161" s="51"/>
      <c r="Q161" s="54" t="str">
        <f aca="false">IF(A161="","",IF(I161="Gap identified",IF(OR(N161="Amended",N161="Accepted - exception approved",N161="No action required",N161="Not applicable",N161="Withdrawn"),"Gap dispositioned","Open gap"),IF(I161="Not reviewed","Not reviewed",IF(I161="Clause present - legal review pending","Present - legal review pending",IF(I161="Clause reviewed - no gap noted","Reviewed - no gap noted (not a legal compliance conclusion)",IF(I161="Not applicable","Not applicable","Not reviewed"))))))</f>
        <v/>
      </c>
      <c r="R161" s="54" t="str">
        <f aca="false">IF(A161="","",IF(COUNTIF(CON_ID,A161)&gt;1,"CHECK: duplicate ID",IF(B161="","CHECK: Supplier ID missing",IF(COUNTIF(INV_ID,B161)=0,"CHECK: Supplier ID not in inventory",IF(AND(F161&lt;&gt;"",COUNTIF(RSK_ID,F161)=0),"CHECK: Risk ID not found",IF(AND(F161&lt;&gt;"",COUNTIF(RSK_ID,F161)&gt;0,IFERROR(INDEX(RSK_SUP,MATCH(F161,RSK_ID,0)),"")&lt;&gt;B161),"CHECK: Risk belongs to a different supplier",IF(AND(N161="Accepted - exception approved",O161=""),"CHECK: exception approval reference missing","OK")))))))</f>
        <v/>
      </c>
      <c r="S161" s="61" t="str">
        <f aca="false">IF(OR(A161="",B161=""),"",IF(AND(Q161="Open gap",B161=RptSup),B161&amp;"|"&amp;COUNTIFS($B$7:B161,B161,$Q$7:Q161,"Open gap"),""))</f>
        <v/>
      </c>
    </row>
    <row r="162" customFormat="false" ht="15" hidden="false" customHeight="false" outlineLevel="0" collapsed="false">
      <c r="A162" s="50"/>
      <c r="B162" s="50"/>
      <c r="C162" s="59" t="str">
        <f aca="false">IF(B162="","",IFERROR(INDEX(INV_NAME,MATCH(B162,INV_ID,0)),"CHECK: Supplier ID not found"))</f>
        <v/>
      </c>
      <c r="D162" s="34"/>
      <c r="E162" s="34"/>
      <c r="F162" s="50"/>
      <c r="G162" s="34"/>
      <c r="H162" s="34"/>
      <c r="I162" s="34"/>
      <c r="J162" s="34"/>
      <c r="K162" s="34"/>
      <c r="L162" s="34"/>
      <c r="M162" s="34"/>
      <c r="N162" s="34"/>
      <c r="O162" s="34"/>
      <c r="P162" s="51"/>
      <c r="Q162" s="54" t="str">
        <f aca="false">IF(A162="","",IF(I162="Gap identified",IF(OR(N162="Amended",N162="Accepted - exception approved",N162="No action required",N162="Not applicable",N162="Withdrawn"),"Gap dispositioned","Open gap"),IF(I162="Not reviewed","Not reviewed",IF(I162="Clause present - legal review pending","Present - legal review pending",IF(I162="Clause reviewed - no gap noted","Reviewed - no gap noted (not a legal compliance conclusion)",IF(I162="Not applicable","Not applicable","Not reviewed"))))))</f>
        <v/>
      </c>
      <c r="R162" s="54" t="str">
        <f aca="false">IF(A162="","",IF(COUNTIF(CON_ID,A162)&gt;1,"CHECK: duplicate ID",IF(B162="","CHECK: Supplier ID missing",IF(COUNTIF(INV_ID,B162)=0,"CHECK: Supplier ID not in inventory",IF(AND(F162&lt;&gt;"",COUNTIF(RSK_ID,F162)=0),"CHECK: Risk ID not found",IF(AND(F162&lt;&gt;"",COUNTIF(RSK_ID,F162)&gt;0,IFERROR(INDEX(RSK_SUP,MATCH(F162,RSK_ID,0)),"")&lt;&gt;B162),"CHECK: Risk belongs to a different supplier",IF(AND(N162="Accepted - exception approved",O162=""),"CHECK: exception approval reference missing","OK")))))))</f>
        <v/>
      </c>
      <c r="S162" s="61" t="str">
        <f aca="false">IF(OR(A162="",B162=""),"",IF(AND(Q162="Open gap",B162=RptSup),B162&amp;"|"&amp;COUNTIFS($B$7:B162,B162,$Q$7:Q162,"Open gap"),""))</f>
        <v/>
      </c>
    </row>
    <row r="163" customFormat="false" ht="15" hidden="false" customHeight="false" outlineLevel="0" collapsed="false">
      <c r="A163" s="50"/>
      <c r="B163" s="50"/>
      <c r="C163" s="59" t="str">
        <f aca="false">IF(B163="","",IFERROR(INDEX(INV_NAME,MATCH(B163,INV_ID,0)),"CHECK: Supplier ID not found"))</f>
        <v/>
      </c>
      <c r="D163" s="34"/>
      <c r="E163" s="34"/>
      <c r="F163" s="50"/>
      <c r="G163" s="34"/>
      <c r="H163" s="34"/>
      <c r="I163" s="34"/>
      <c r="J163" s="34"/>
      <c r="K163" s="34"/>
      <c r="L163" s="34"/>
      <c r="M163" s="34"/>
      <c r="N163" s="34"/>
      <c r="O163" s="34"/>
      <c r="P163" s="51"/>
      <c r="Q163" s="54" t="str">
        <f aca="false">IF(A163="","",IF(I163="Gap identified",IF(OR(N163="Amended",N163="Accepted - exception approved",N163="No action required",N163="Not applicable",N163="Withdrawn"),"Gap dispositioned","Open gap"),IF(I163="Not reviewed","Not reviewed",IF(I163="Clause present - legal review pending","Present - legal review pending",IF(I163="Clause reviewed - no gap noted","Reviewed - no gap noted (not a legal compliance conclusion)",IF(I163="Not applicable","Not applicable","Not reviewed"))))))</f>
        <v/>
      </c>
      <c r="R163" s="54" t="str">
        <f aca="false">IF(A163="","",IF(COUNTIF(CON_ID,A163)&gt;1,"CHECK: duplicate ID",IF(B163="","CHECK: Supplier ID missing",IF(COUNTIF(INV_ID,B163)=0,"CHECK: Supplier ID not in inventory",IF(AND(F163&lt;&gt;"",COUNTIF(RSK_ID,F163)=0),"CHECK: Risk ID not found",IF(AND(F163&lt;&gt;"",COUNTIF(RSK_ID,F163)&gt;0,IFERROR(INDEX(RSK_SUP,MATCH(F163,RSK_ID,0)),"")&lt;&gt;B163),"CHECK: Risk belongs to a different supplier",IF(AND(N163="Accepted - exception approved",O163=""),"CHECK: exception approval reference missing","OK")))))))</f>
        <v/>
      </c>
      <c r="S163" s="61" t="str">
        <f aca="false">IF(OR(A163="",B163=""),"",IF(AND(Q163="Open gap",B163=RptSup),B163&amp;"|"&amp;COUNTIFS($B$7:B163,B163,$Q$7:Q163,"Open gap"),""))</f>
        <v/>
      </c>
    </row>
    <row r="164" customFormat="false" ht="15" hidden="false" customHeight="false" outlineLevel="0" collapsed="false">
      <c r="A164" s="50"/>
      <c r="B164" s="50"/>
      <c r="C164" s="59" t="str">
        <f aca="false">IF(B164="","",IFERROR(INDEX(INV_NAME,MATCH(B164,INV_ID,0)),"CHECK: Supplier ID not found"))</f>
        <v/>
      </c>
      <c r="D164" s="34"/>
      <c r="E164" s="34"/>
      <c r="F164" s="50"/>
      <c r="G164" s="34"/>
      <c r="H164" s="34"/>
      <c r="I164" s="34"/>
      <c r="J164" s="34"/>
      <c r="K164" s="34"/>
      <c r="L164" s="34"/>
      <c r="M164" s="34"/>
      <c r="N164" s="34"/>
      <c r="O164" s="34"/>
      <c r="P164" s="51"/>
      <c r="Q164" s="54" t="str">
        <f aca="false">IF(A164="","",IF(I164="Gap identified",IF(OR(N164="Amended",N164="Accepted - exception approved",N164="No action required",N164="Not applicable",N164="Withdrawn"),"Gap dispositioned","Open gap"),IF(I164="Not reviewed","Not reviewed",IF(I164="Clause present - legal review pending","Present - legal review pending",IF(I164="Clause reviewed - no gap noted","Reviewed - no gap noted (not a legal compliance conclusion)",IF(I164="Not applicable","Not applicable","Not reviewed"))))))</f>
        <v/>
      </c>
      <c r="R164" s="54" t="str">
        <f aca="false">IF(A164="","",IF(COUNTIF(CON_ID,A164)&gt;1,"CHECK: duplicate ID",IF(B164="","CHECK: Supplier ID missing",IF(COUNTIF(INV_ID,B164)=0,"CHECK: Supplier ID not in inventory",IF(AND(F164&lt;&gt;"",COUNTIF(RSK_ID,F164)=0),"CHECK: Risk ID not found",IF(AND(F164&lt;&gt;"",COUNTIF(RSK_ID,F164)&gt;0,IFERROR(INDEX(RSK_SUP,MATCH(F164,RSK_ID,0)),"")&lt;&gt;B164),"CHECK: Risk belongs to a different supplier",IF(AND(N164="Accepted - exception approved",O164=""),"CHECK: exception approval reference missing","OK")))))))</f>
        <v/>
      </c>
      <c r="S164" s="61" t="str">
        <f aca="false">IF(OR(A164="",B164=""),"",IF(AND(Q164="Open gap",B164=RptSup),B164&amp;"|"&amp;COUNTIFS($B$7:B164,B164,$Q$7:Q164,"Open gap"),""))</f>
        <v/>
      </c>
    </row>
    <row r="165" customFormat="false" ht="15" hidden="false" customHeight="false" outlineLevel="0" collapsed="false">
      <c r="A165" s="50"/>
      <c r="B165" s="50"/>
      <c r="C165" s="59" t="str">
        <f aca="false">IF(B165="","",IFERROR(INDEX(INV_NAME,MATCH(B165,INV_ID,0)),"CHECK: Supplier ID not found"))</f>
        <v/>
      </c>
      <c r="D165" s="34"/>
      <c r="E165" s="34"/>
      <c r="F165" s="50"/>
      <c r="G165" s="34"/>
      <c r="H165" s="34"/>
      <c r="I165" s="34"/>
      <c r="J165" s="34"/>
      <c r="K165" s="34"/>
      <c r="L165" s="34"/>
      <c r="M165" s="34"/>
      <c r="N165" s="34"/>
      <c r="O165" s="34"/>
      <c r="P165" s="51"/>
      <c r="Q165" s="54" t="str">
        <f aca="false">IF(A165="","",IF(I165="Gap identified",IF(OR(N165="Amended",N165="Accepted - exception approved",N165="No action required",N165="Not applicable",N165="Withdrawn"),"Gap dispositioned","Open gap"),IF(I165="Not reviewed","Not reviewed",IF(I165="Clause present - legal review pending","Present - legal review pending",IF(I165="Clause reviewed - no gap noted","Reviewed - no gap noted (not a legal compliance conclusion)",IF(I165="Not applicable","Not applicable","Not reviewed"))))))</f>
        <v/>
      </c>
      <c r="R165" s="54" t="str">
        <f aca="false">IF(A165="","",IF(COUNTIF(CON_ID,A165)&gt;1,"CHECK: duplicate ID",IF(B165="","CHECK: Supplier ID missing",IF(COUNTIF(INV_ID,B165)=0,"CHECK: Supplier ID not in inventory",IF(AND(F165&lt;&gt;"",COUNTIF(RSK_ID,F165)=0),"CHECK: Risk ID not found",IF(AND(F165&lt;&gt;"",COUNTIF(RSK_ID,F165)&gt;0,IFERROR(INDEX(RSK_SUP,MATCH(F165,RSK_ID,0)),"")&lt;&gt;B165),"CHECK: Risk belongs to a different supplier",IF(AND(N165="Accepted - exception approved",O165=""),"CHECK: exception approval reference missing","OK")))))))</f>
        <v/>
      </c>
      <c r="S165" s="61" t="str">
        <f aca="false">IF(OR(A165="",B165=""),"",IF(AND(Q165="Open gap",B165=RptSup),B165&amp;"|"&amp;COUNTIFS($B$7:B165,B165,$Q$7:Q165,"Open gap"),""))</f>
        <v/>
      </c>
    </row>
    <row r="166" customFormat="false" ht="15" hidden="false" customHeight="false" outlineLevel="0" collapsed="false">
      <c r="A166" s="50"/>
      <c r="B166" s="50"/>
      <c r="C166" s="59" t="str">
        <f aca="false">IF(B166="","",IFERROR(INDEX(INV_NAME,MATCH(B166,INV_ID,0)),"CHECK: Supplier ID not found"))</f>
        <v/>
      </c>
      <c r="D166" s="34"/>
      <c r="E166" s="34"/>
      <c r="F166" s="50"/>
      <c r="G166" s="34"/>
      <c r="H166" s="34"/>
      <c r="I166" s="34"/>
      <c r="J166" s="34"/>
      <c r="K166" s="34"/>
      <c r="L166" s="34"/>
      <c r="M166" s="34"/>
      <c r="N166" s="34"/>
      <c r="O166" s="34"/>
      <c r="P166" s="51"/>
      <c r="Q166" s="54" t="str">
        <f aca="false">IF(A166="","",IF(I166="Gap identified",IF(OR(N166="Amended",N166="Accepted - exception approved",N166="No action required",N166="Not applicable",N166="Withdrawn"),"Gap dispositioned","Open gap"),IF(I166="Not reviewed","Not reviewed",IF(I166="Clause present - legal review pending","Present - legal review pending",IF(I166="Clause reviewed - no gap noted","Reviewed - no gap noted (not a legal compliance conclusion)",IF(I166="Not applicable","Not applicable","Not reviewed"))))))</f>
        <v/>
      </c>
      <c r="R166" s="54" t="str">
        <f aca="false">IF(A166="","",IF(COUNTIF(CON_ID,A166)&gt;1,"CHECK: duplicate ID",IF(B166="","CHECK: Supplier ID missing",IF(COUNTIF(INV_ID,B166)=0,"CHECK: Supplier ID not in inventory",IF(AND(F166&lt;&gt;"",COUNTIF(RSK_ID,F166)=0),"CHECK: Risk ID not found",IF(AND(F166&lt;&gt;"",COUNTIF(RSK_ID,F166)&gt;0,IFERROR(INDEX(RSK_SUP,MATCH(F166,RSK_ID,0)),"")&lt;&gt;B166),"CHECK: Risk belongs to a different supplier",IF(AND(N166="Accepted - exception approved",O166=""),"CHECK: exception approval reference missing","OK")))))))</f>
        <v/>
      </c>
      <c r="S166" s="61" t="str">
        <f aca="false">IF(OR(A166="",B166=""),"",IF(AND(Q166="Open gap",B166=RptSup),B166&amp;"|"&amp;COUNTIFS($B$7:B166,B166,$Q$7:Q166,"Open gap"),""))</f>
        <v/>
      </c>
    </row>
    <row r="167" customFormat="false" ht="15" hidden="false" customHeight="false" outlineLevel="0" collapsed="false">
      <c r="A167" s="50"/>
      <c r="B167" s="50"/>
      <c r="C167" s="59" t="str">
        <f aca="false">IF(B167="","",IFERROR(INDEX(INV_NAME,MATCH(B167,INV_ID,0)),"CHECK: Supplier ID not found"))</f>
        <v/>
      </c>
      <c r="D167" s="34"/>
      <c r="E167" s="34"/>
      <c r="F167" s="50"/>
      <c r="G167" s="34"/>
      <c r="H167" s="34"/>
      <c r="I167" s="34"/>
      <c r="J167" s="34"/>
      <c r="K167" s="34"/>
      <c r="L167" s="34"/>
      <c r="M167" s="34"/>
      <c r="N167" s="34"/>
      <c r="O167" s="34"/>
      <c r="P167" s="51"/>
      <c r="Q167" s="54" t="str">
        <f aca="false">IF(A167="","",IF(I167="Gap identified",IF(OR(N167="Amended",N167="Accepted - exception approved",N167="No action required",N167="Not applicable",N167="Withdrawn"),"Gap dispositioned","Open gap"),IF(I167="Not reviewed","Not reviewed",IF(I167="Clause present - legal review pending","Present - legal review pending",IF(I167="Clause reviewed - no gap noted","Reviewed - no gap noted (not a legal compliance conclusion)",IF(I167="Not applicable","Not applicable","Not reviewed"))))))</f>
        <v/>
      </c>
      <c r="R167" s="54" t="str">
        <f aca="false">IF(A167="","",IF(COUNTIF(CON_ID,A167)&gt;1,"CHECK: duplicate ID",IF(B167="","CHECK: Supplier ID missing",IF(COUNTIF(INV_ID,B167)=0,"CHECK: Supplier ID not in inventory",IF(AND(F167&lt;&gt;"",COUNTIF(RSK_ID,F167)=0),"CHECK: Risk ID not found",IF(AND(F167&lt;&gt;"",COUNTIF(RSK_ID,F167)&gt;0,IFERROR(INDEX(RSK_SUP,MATCH(F167,RSK_ID,0)),"")&lt;&gt;B167),"CHECK: Risk belongs to a different supplier",IF(AND(N167="Accepted - exception approved",O167=""),"CHECK: exception approval reference missing","OK")))))))</f>
        <v/>
      </c>
      <c r="S167" s="61" t="str">
        <f aca="false">IF(OR(A167="",B167=""),"",IF(AND(Q167="Open gap",B167=RptSup),B167&amp;"|"&amp;COUNTIFS($B$7:B167,B167,$Q$7:Q167,"Open gap"),""))</f>
        <v/>
      </c>
    </row>
    <row r="168" customFormat="false" ht="15" hidden="false" customHeight="false" outlineLevel="0" collapsed="false">
      <c r="A168" s="50"/>
      <c r="B168" s="50"/>
      <c r="C168" s="59" t="str">
        <f aca="false">IF(B168="","",IFERROR(INDEX(INV_NAME,MATCH(B168,INV_ID,0)),"CHECK: Supplier ID not found"))</f>
        <v/>
      </c>
      <c r="D168" s="34"/>
      <c r="E168" s="34"/>
      <c r="F168" s="50"/>
      <c r="G168" s="34"/>
      <c r="H168" s="34"/>
      <c r="I168" s="34"/>
      <c r="J168" s="34"/>
      <c r="K168" s="34"/>
      <c r="L168" s="34"/>
      <c r="M168" s="34"/>
      <c r="N168" s="34"/>
      <c r="O168" s="34"/>
      <c r="P168" s="51"/>
      <c r="Q168" s="54" t="str">
        <f aca="false">IF(A168="","",IF(I168="Gap identified",IF(OR(N168="Amended",N168="Accepted - exception approved",N168="No action required",N168="Not applicable",N168="Withdrawn"),"Gap dispositioned","Open gap"),IF(I168="Not reviewed","Not reviewed",IF(I168="Clause present - legal review pending","Present - legal review pending",IF(I168="Clause reviewed - no gap noted","Reviewed - no gap noted (not a legal compliance conclusion)",IF(I168="Not applicable","Not applicable","Not reviewed"))))))</f>
        <v/>
      </c>
      <c r="R168" s="54" t="str">
        <f aca="false">IF(A168="","",IF(COUNTIF(CON_ID,A168)&gt;1,"CHECK: duplicate ID",IF(B168="","CHECK: Supplier ID missing",IF(COUNTIF(INV_ID,B168)=0,"CHECK: Supplier ID not in inventory",IF(AND(F168&lt;&gt;"",COUNTIF(RSK_ID,F168)=0),"CHECK: Risk ID not found",IF(AND(F168&lt;&gt;"",COUNTIF(RSK_ID,F168)&gt;0,IFERROR(INDEX(RSK_SUP,MATCH(F168,RSK_ID,0)),"")&lt;&gt;B168),"CHECK: Risk belongs to a different supplier",IF(AND(N168="Accepted - exception approved",O168=""),"CHECK: exception approval reference missing","OK")))))))</f>
        <v/>
      </c>
      <c r="S168" s="61" t="str">
        <f aca="false">IF(OR(A168="",B168=""),"",IF(AND(Q168="Open gap",B168=RptSup),B168&amp;"|"&amp;COUNTIFS($B$7:B168,B168,$Q$7:Q168,"Open gap"),""))</f>
        <v/>
      </c>
    </row>
    <row r="169" customFormat="false" ht="15" hidden="false" customHeight="false" outlineLevel="0" collapsed="false">
      <c r="A169" s="50"/>
      <c r="B169" s="50"/>
      <c r="C169" s="59" t="str">
        <f aca="false">IF(B169="","",IFERROR(INDEX(INV_NAME,MATCH(B169,INV_ID,0)),"CHECK: Supplier ID not found"))</f>
        <v/>
      </c>
      <c r="D169" s="34"/>
      <c r="E169" s="34"/>
      <c r="F169" s="50"/>
      <c r="G169" s="34"/>
      <c r="H169" s="34"/>
      <c r="I169" s="34"/>
      <c r="J169" s="34"/>
      <c r="K169" s="34"/>
      <c r="L169" s="34"/>
      <c r="M169" s="34"/>
      <c r="N169" s="34"/>
      <c r="O169" s="34"/>
      <c r="P169" s="51"/>
      <c r="Q169" s="54" t="str">
        <f aca="false">IF(A169="","",IF(I169="Gap identified",IF(OR(N169="Amended",N169="Accepted - exception approved",N169="No action required",N169="Not applicable",N169="Withdrawn"),"Gap dispositioned","Open gap"),IF(I169="Not reviewed","Not reviewed",IF(I169="Clause present - legal review pending","Present - legal review pending",IF(I169="Clause reviewed - no gap noted","Reviewed - no gap noted (not a legal compliance conclusion)",IF(I169="Not applicable","Not applicable","Not reviewed"))))))</f>
        <v/>
      </c>
      <c r="R169" s="54" t="str">
        <f aca="false">IF(A169="","",IF(COUNTIF(CON_ID,A169)&gt;1,"CHECK: duplicate ID",IF(B169="","CHECK: Supplier ID missing",IF(COUNTIF(INV_ID,B169)=0,"CHECK: Supplier ID not in inventory",IF(AND(F169&lt;&gt;"",COUNTIF(RSK_ID,F169)=0),"CHECK: Risk ID not found",IF(AND(F169&lt;&gt;"",COUNTIF(RSK_ID,F169)&gt;0,IFERROR(INDEX(RSK_SUP,MATCH(F169,RSK_ID,0)),"")&lt;&gt;B169),"CHECK: Risk belongs to a different supplier",IF(AND(N169="Accepted - exception approved",O169=""),"CHECK: exception approval reference missing","OK")))))))</f>
        <v/>
      </c>
      <c r="S169" s="61" t="str">
        <f aca="false">IF(OR(A169="",B169=""),"",IF(AND(Q169="Open gap",B169=RptSup),B169&amp;"|"&amp;COUNTIFS($B$7:B169,B169,$Q$7:Q169,"Open gap"),""))</f>
        <v/>
      </c>
    </row>
    <row r="170" customFormat="false" ht="15" hidden="false" customHeight="false" outlineLevel="0" collapsed="false">
      <c r="A170" s="50"/>
      <c r="B170" s="50"/>
      <c r="C170" s="59" t="str">
        <f aca="false">IF(B170="","",IFERROR(INDEX(INV_NAME,MATCH(B170,INV_ID,0)),"CHECK: Supplier ID not found"))</f>
        <v/>
      </c>
      <c r="D170" s="34"/>
      <c r="E170" s="34"/>
      <c r="F170" s="50"/>
      <c r="G170" s="34"/>
      <c r="H170" s="34"/>
      <c r="I170" s="34"/>
      <c r="J170" s="34"/>
      <c r="K170" s="34"/>
      <c r="L170" s="34"/>
      <c r="M170" s="34"/>
      <c r="N170" s="34"/>
      <c r="O170" s="34"/>
      <c r="P170" s="51"/>
      <c r="Q170" s="54" t="str">
        <f aca="false">IF(A170="","",IF(I170="Gap identified",IF(OR(N170="Amended",N170="Accepted - exception approved",N170="No action required",N170="Not applicable",N170="Withdrawn"),"Gap dispositioned","Open gap"),IF(I170="Not reviewed","Not reviewed",IF(I170="Clause present - legal review pending","Present - legal review pending",IF(I170="Clause reviewed - no gap noted","Reviewed - no gap noted (not a legal compliance conclusion)",IF(I170="Not applicable","Not applicable","Not reviewed"))))))</f>
        <v/>
      </c>
      <c r="R170" s="54" t="str">
        <f aca="false">IF(A170="","",IF(COUNTIF(CON_ID,A170)&gt;1,"CHECK: duplicate ID",IF(B170="","CHECK: Supplier ID missing",IF(COUNTIF(INV_ID,B170)=0,"CHECK: Supplier ID not in inventory",IF(AND(F170&lt;&gt;"",COUNTIF(RSK_ID,F170)=0),"CHECK: Risk ID not found",IF(AND(F170&lt;&gt;"",COUNTIF(RSK_ID,F170)&gt;0,IFERROR(INDEX(RSK_SUP,MATCH(F170,RSK_ID,0)),"")&lt;&gt;B170),"CHECK: Risk belongs to a different supplier",IF(AND(N170="Accepted - exception approved",O170=""),"CHECK: exception approval reference missing","OK")))))))</f>
        <v/>
      </c>
      <c r="S170" s="61" t="str">
        <f aca="false">IF(OR(A170="",B170=""),"",IF(AND(Q170="Open gap",B170=RptSup),B170&amp;"|"&amp;COUNTIFS($B$7:B170,B170,$Q$7:Q170,"Open gap"),""))</f>
        <v/>
      </c>
    </row>
    <row r="171" customFormat="false" ht="15" hidden="false" customHeight="false" outlineLevel="0" collapsed="false">
      <c r="A171" s="50"/>
      <c r="B171" s="50"/>
      <c r="C171" s="59" t="str">
        <f aca="false">IF(B171="","",IFERROR(INDEX(INV_NAME,MATCH(B171,INV_ID,0)),"CHECK: Supplier ID not found"))</f>
        <v/>
      </c>
      <c r="D171" s="34"/>
      <c r="E171" s="34"/>
      <c r="F171" s="50"/>
      <c r="G171" s="34"/>
      <c r="H171" s="34"/>
      <c r="I171" s="34"/>
      <c r="J171" s="34"/>
      <c r="K171" s="34"/>
      <c r="L171" s="34"/>
      <c r="M171" s="34"/>
      <c r="N171" s="34"/>
      <c r="O171" s="34"/>
      <c r="P171" s="51"/>
      <c r="Q171" s="54" t="str">
        <f aca="false">IF(A171="","",IF(I171="Gap identified",IF(OR(N171="Amended",N171="Accepted - exception approved",N171="No action required",N171="Not applicable",N171="Withdrawn"),"Gap dispositioned","Open gap"),IF(I171="Not reviewed","Not reviewed",IF(I171="Clause present - legal review pending","Present - legal review pending",IF(I171="Clause reviewed - no gap noted","Reviewed - no gap noted (not a legal compliance conclusion)",IF(I171="Not applicable","Not applicable","Not reviewed"))))))</f>
        <v/>
      </c>
      <c r="R171" s="54" t="str">
        <f aca="false">IF(A171="","",IF(COUNTIF(CON_ID,A171)&gt;1,"CHECK: duplicate ID",IF(B171="","CHECK: Supplier ID missing",IF(COUNTIF(INV_ID,B171)=0,"CHECK: Supplier ID not in inventory",IF(AND(F171&lt;&gt;"",COUNTIF(RSK_ID,F171)=0),"CHECK: Risk ID not found",IF(AND(F171&lt;&gt;"",COUNTIF(RSK_ID,F171)&gt;0,IFERROR(INDEX(RSK_SUP,MATCH(F171,RSK_ID,0)),"")&lt;&gt;B171),"CHECK: Risk belongs to a different supplier",IF(AND(N171="Accepted - exception approved",O171=""),"CHECK: exception approval reference missing","OK")))))))</f>
        <v/>
      </c>
      <c r="S171" s="61" t="str">
        <f aca="false">IF(OR(A171="",B171=""),"",IF(AND(Q171="Open gap",B171=RptSup),B171&amp;"|"&amp;COUNTIFS($B$7:B171,B171,$Q$7:Q171,"Open gap"),""))</f>
        <v/>
      </c>
    </row>
    <row r="172" customFormat="false" ht="15" hidden="false" customHeight="false" outlineLevel="0" collapsed="false">
      <c r="A172" s="50"/>
      <c r="B172" s="50"/>
      <c r="C172" s="59" t="str">
        <f aca="false">IF(B172="","",IFERROR(INDEX(INV_NAME,MATCH(B172,INV_ID,0)),"CHECK: Supplier ID not found"))</f>
        <v/>
      </c>
      <c r="D172" s="34"/>
      <c r="E172" s="34"/>
      <c r="F172" s="50"/>
      <c r="G172" s="34"/>
      <c r="H172" s="34"/>
      <c r="I172" s="34"/>
      <c r="J172" s="34"/>
      <c r="K172" s="34"/>
      <c r="L172" s="34"/>
      <c r="M172" s="34"/>
      <c r="N172" s="34"/>
      <c r="O172" s="34"/>
      <c r="P172" s="51"/>
      <c r="Q172" s="54" t="str">
        <f aca="false">IF(A172="","",IF(I172="Gap identified",IF(OR(N172="Amended",N172="Accepted - exception approved",N172="No action required",N172="Not applicable",N172="Withdrawn"),"Gap dispositioned","Open gap"),IF(I172="Not reviewed","Not reviewed",IF(I172="Clause present - legal review pending","Present - legal review pending",IF(I172="Clause reviewed - no gap noted","Reviewed - no gap noted (not a legal compliance conclusion)",IF(I172="Not applicable","Not applicable","Not reviewed"))))))</f>
        <v/>
      </c>
      <c r="R172" s="54" t="str">
        <f aca="false">IF(A172="","",IF(COUNTIF(CON_ID,A172)&gt;1,"CHECK: duplicate ID",IF(B172="","CHECK: Supplier ID missing",IF(COUNTIF(INV_ID,B172)=0,"CHECK: Supplier ID not in inventory",IF(AND(F172&lt;&gt;"",COUNTIF(RSK_ID,F172)=0),"CHECK: Risk ID not found",IF(AND(F172&lt;&gt;"",COUNTIF(RSK_ID,F172)&gt;0,IFERROR(INDEX(RSK_SUP,MATCH(F172,RSK_ID,0)),"")&lt;&gt;B172),"CHECK: Risk belongs to a different supplier",IF(AND(N172="Accepted - exception approved",O172=""),"CHECK: exception approval reference missing","OK")))))))</f>
        <v/>
      </c>
      <c r="S172" s="61" t="str">
        <f aca="false">IF(OR(A172="",B172=""),"",IF(AND(Q172="Open gap",B172=RptSup),B172&amp;"|"&amp;COUNTIFS($B$7:B172,B172,$Q$7:Q172,"Open gap"),""))</f>
        <v/>
      </c>
    </row>
    <row r="173" customFormat="false" ht="15" hidden="false" customHeight="false" outlineLevel="0" collapsed="false">
      <c r="A173" s="50"/>
      <c r="B173" s="50"/>
      <c r="C173" s="59" t="str">
        <f aca="false">IF(B173="","",IFERROR(INDEX(INV_NAME,MATCH(B173,INV_ID,0)),"CHECK: Supplier ID not found"))</f>
        <v/>
      </c>
      <c r="D173" s="34"/>
      <c r="E173" s="34"/>
      <c r="F173" s="50"/>
      <c r="G173" s="34"/>
      <c r="H173" s="34"/>
      <c r="I173" s="34"/>
      <c r="J173" s="34"/>
      <c r="K173" s="34"/>
      <c r="L173" s="34"/>
      <c r="M173" s="34"/>
      <c r="N173" s="34"/>
      <c r="O173" s="34"/>
      <c r="P173" s="51"/>
      <c r="Q173" s="54" t="str">
        <f aca="false">IF(A173="","",IF(I173="Gap identified",IF(OR(N173="Amended",N173="Accepted - exception approved",N173="No action required",N173="Not applicable",N173="Withdrawn"),"Gap dispositioned","Open gap"),IF(I173="Not reviewed","Not reviewed",IF(I173="Clause present - legal review pending","Present - legal review pending",IF(I173="Clause reviewed - no gap noted","Reviewed - no gap noted (not a legal compliance conclusion)",IF(I173="Not applicable","Not applicable","Not reviewed"))))))</f>
        <v/>
      </c>
      <c r="R173" s="54" t="str">
        <f aca="false">IF(A173="","",IF(COUNTIF(CON_ID,A173)&gt;1,"CHECK: duplicate ID",IF(B173="","CHECK: Supplier ID missing",IF(COUNTIF(INV_ID,B173)=0,"CHECK: Supplier ID not in inventory",IF(AND(F173&lt;&gt;"",COUNTIF(RSK_ID,F173)=0),"CHECK: Risk ID not found",IF(AND(F173&lt;&gt;"",COUNTIF(RSK_ID,F173)&gt;0,IFERROR(INDEX(RSK_SUP,MATCH(F173,RSK_ID,0)),"")&lt;&gt;B173),"CHECK: Risk belongs to a different supplier",IF(AND(N173="Accepted - exception approved",O173=""),"CHECK: exception approval reference missing","OK")))))))</f>
        <v/>
      </c>
      <c r="S173" s="61" t="str">
        <f aca="false">IF(OR(A173="",B173=""),"",IF(AND(Q173="Open gap",B173=RptSup),B173&amp;"|"&amp;COUNTIFS($B$7:B173,B173,$Q$7:Q173,"Open gap"),""))</f>
        <v/>
      </c>
    </row>
    <row r="174" customFormat="false" ht="15" hidden="false" customHeight="false" outlineLevel="0" collapsed="false">
      <c r="A174" s="50"/>
      <c r="B174" s="50"/>
      <c r="C174" s="59" t="str">
        <f aca="false">IF(B174="","",IFERROR(INDEX(INV_NAME,MATCH(B174,INV_ID,0)),"CHECK: Supplier ID not found"))</f>
        <v/>
      </c>
      <c r="D174" s="34"/>
      <c r="E174" s="34"/>
      <c r="F174" s="50"/>
      <c r="G174" s="34"/>
      <c r="H174" s="34"/>
      <c r="I174" s="34"/>
      <c r="J174" s="34"/>
      <c r="K174" s="34"/>
      <c r="L174" s="34"/>
      <c r="M174" s="34"/>
      <c r="N174" s="34"/>
      <c r="O174" s="34"/>
      <c r="P174" s="51"/>
      <c r="Q174" s="54" t="str">
        <f aca="false">IF(A174="","",IF(I174="Gap identified",IF(OR(N174="Amended",N174="Accepted - exception approved",N174="No action required",N174="Not applicable",N174="Withdrawn"),"Gap dispositioned","Open gap"),IF(I174="Not reviewed","Not reviewed",IF(I174="Clause present - legal review pending","Present - legal review pending",IF(I174="Clause reviewed - no gap noted","Reviewed - no gap noted (not a legal compliance conclusion)",IF(I174="Not applicable","Not applicable","Not reviewed"))))))</f>
        <v/>
      </c>
      <c r="R174" s="54" t="str">
        <f aca="false">IF(A174="","",IF(COUNTIF(CON_ID,A174)&gt;1,"CHECK: duplicate ID",IF(B174="","CHECK: Supplier ID missing",IF(COUNTIF(INV_ID,B174)=0,"CHECK: Supplier ID not in inventory",IF(AND(F174&lt;&gt;"",COUNTIF(RSK_ID,F174)=0),"CHECK: Risk ID not found",IF(AND(F174&lt;&gt;"",COUNTIF(RSK_ID,F174)&gt;0,IFERROR(INDEX(RSK_SUP,MATCH(F174,RSK_ID,0)),"")&lt;&gt;B174),"CHECK: Risk belongs to a different supplier",IF(AND(N174="Accepted - exception approved",O174=""),"CHECK: exception approval reference missing","OK")))))))</f>
        <v/>
      </c>
      <c r="S174" s="61" t="str">
        <f aca="false">IF(OR(A174="",B174=""),"",IF(AND(Q174="Open gap",B174=RptSup),B174&amp;"|"&amp;COUNTIFS($B$7:B174,B174,$Q$7:Q174,"Open gap"),""))</f>
        <v/>
      </c>
    </row>
    <row r="175" customFormat="false" ht="15" hidden="false" customHeight="false" outlineLevel="0" collapsed="false">
      <c r="A175" s="50"/>
      <c r="B175" s="50"/>
      <c r="C175" s="59" t="str">
        <f aca="false">IF(B175="","",IFERROR(INDEX(INV_NAME,MATCH(B175,INV_ID,0)),"CHECK: Supplier ID not found"))</f>
        <v/>
      </c>
      <c r="D175" s="34"/>
      <c r="E175" s="34"/>
      <c r="F175" s="50"/>
      <c r="G175" s="34"/>
      <c r="H175" s="34"/>
      <c r="I175" s="34"/>
      <c r="J175" s="34"/>
      <c r="K175" s="34"/>
      <c r="L175" s="34"/>
      <c r="M175" s="34"/>
      <c r="N175" s="34"/>
      <c r="O175" s="34"/>
      <c r="P175" s="51"/>
      <c r="Q175" s="54" t="str">
        <f aca="false">IF(A175="","",IF(I175="Gap identified",IF(OR(N175="Amended",N175="Accepted - exception approved",N175="No action required",N175="Not applicable",N175="Withdrawn"),"Gap dispositioned","Open gap"),IF(I175="Not reviewed","Not reviewed",IF(I175="Clause present - legal review pending","Present - legal review pending",IF(I175="Clause reviewed - no gap noted","Reviewed - no gap noted (not a legal compliance conclusion)",IF(I175="Not applicable","Not applicable","Not reviewed"))))))</f>
        <v/>
      </c>
      <c r="R175" s="54" t="str">
        <f aca="false">IF(A175="","",IF(COUNTIF(CON_ID,A175)&gt;1,"CHECK: duplicate ID",IF(B175="","CHECK: Supplier ID missing",IF(COUNTIF(INV_ID,B175)=0,"CHECK: Supplier ID not in inventory",IF(AND(F175&lt;&gt;"",COUNTIF(RSK_ID,F175)=0),"CHECK: Risk ID not found",IF(AND(F175&lt;&gt;"",COUNTIF(RSK_ID,F175)&gt;0,IFERROR(INDEX(RSK_SUP,MATCH(F175,RSK_ID,0)),"")&lt;&gt;B175),"CHECK: Risk belongs to a different supplier",IF(AND(N175="Accepted - exception approved",O175=""),"CHECK: exception approval reference missing","OK")))))))</f>
        <v/>
      </c>
      <c r="S175" s="61" t="str">
        <f aca="false">IF(OR(A175="",B175=""),"",IF(AND(Q175="Open gap",B175=RptSup),B175&amp;"|"&amp;COUNTIFS($B$7:B175,B175,$Q$7:Q175,"Open gap"),""))</f>
        <v/>
      </c>
    </row>
    <row r="176" customFormat="false" ht="15" hidden="false" customHeight="false" outlineLevel="0" collapsed="false">
      <c r="A176" s="50"/>
      <c r="B176" s="50"/>
      <c r="C176" s="59" t="str">
        <f aca="false">IF(B176="","",IFERROR(INDEX(INV_NAME,MATCH(B176,INV_ID,0)),"CHECK: Supplier ID not found"))</f>
        <v/>
      </c>
      <c r="D176" s="34"/>
      <c r="E176" s="34"/>
      <c r="F176" s="50"/>
      <c r="G176" s="34"/>
      <c r="H176" s="34"/>
      <c r="I176" s="34"/>
      <c r="J176" s="34"/>
      <c r="K176" s="34"/>
      <c r="L176" s="34"/>
      <c r="M176" s="34"/>
      <c r="N176" s="34"/>
      <c r="O176" s="34"/>
      <c r="P176" s="51"/>
      <c r="Q176" s="54" t="str">
        <f aca="false">IF(A176="","",IF(I176="Gap identified",IF(OR(N176="Amended",N176="Accepted - exception approved",N176="No action required",N176="Not applicable",N176="Withdrawn"),"Gap dispositioned","Open gap"),IF(I176="Not reviewed","Not reviewed",IF(I176="Clause present - legal review pending","Present - legal review pending",IF(I176="Clause reviewed - no gap noted","Reviewed - no gap noted (not a legal compliance conclusion)",IF(I176="Not applicable","Not applicable","Not reviewed"))))))</f>
        <v/>
      </c>
      <c r="R176" s="54" t="str">
        <f aca="false">IF(A176="","",IF(COUNTIF(CON_ID,A176)&gt;1,"CHECK: duplicate ID",IF(B176="","CHECK: Supplier ID missing",IF(COUNTIF(INV_ID,B176)=0,"CHECK: Supplier ID not in inventory",IF(AND(F176&lt;&gt;"",COUNTIF(RSK_ID,F176)=0),"CHECK: Risk ID not found",IF(AND(F176&lt;&gt;"",COUNTIF(RSK_ID,F176)&gt;0,IFERROR(INDEX(RSK_SUP,MATCH(F176,RSK_ID,0)),"")&lt;&gt;B176),"CHECK: Risk belongs to a different supplier",IF(AND(N176="Accepted - exception approved",O176=""),"CHECK: exception approval reference missing","OK")))))))</f>
        <v/>
      </c>
      <c r="S176" s="61" t="str">
        <f aca="false">IF(OR(A176="",B176=""),"",IF(AND(Q176="Open gap",B176=RptSup),B176&amp;"|"&amp;COUNTIFS($B$7:B176,B176,$Q$7:Q176,"Open gap"),""))</f>
        <v/>
      </c>
    </row>
    <row r="177" customFormat="false" ht="15" hidden="false" customHeight="false" outlineLevel="0" collapsed="false">
      <c r="A177" s="50"/>
      <c r="B177" s="50"/>
      <c r="C177" s="59" t="str">
        <f aca="false">IF(B177="","",IFERROR(INDEX(INV_NAME,MATCH(B177,INV_ID,0)),"CHECK: Supplier ID not found"))</f>
        <v/>
      </c>
      <c r="D177" s="34"/>
      <c r="E177" s="34"/>
      <c r="F177" s="50"/>
      <c r="G177" s="34"/>
      <c r="H177" s="34"/>
      <c r="I177" s="34"/>
      <c r="J177" s="34"/>
      <c r="K177" s="34"/>
      <c r="L177" s="34"/>
      <c r="M177" s="34"/>
      <c r="N177" s="34"/>
      <c r="O177" s="34"/>
      <c r="P177" s="51"/>
      <c r="Q177" s="54" t="str">
        <f aca="false">IF(A177="","",IF(I177="Gap identified",IF(OR(N177="Amended",N177="Accepted - exception approved",N177="No action required",N177="Not applicable",N177="Withdrawn"),"Gap dispositioned","Open gap"),IF(I177="Not reviewed","Not reviewed",IF(I177="Clause present - legal review pending","Present - legal review pending",IF(I177="Clause reviewed - no gap noted","Reviewed - no gap noted (not a legal compliance conclusion)",IF(I177="Not applicable","Not applicable","Not reviewed"))))))</f>
        <v/>
      </c>
      <c r="R177" s="54" t="str">
        <f aca="false">IF(A177="","",IF(COUNTIF(CON_ID,A177)&gt;1,"CHECK: duplicate ID",IF(B177="","CHECK: Supplier ID missing",IF(COUNTIF(INV_ID,B177)=0,"CHECK: Supplier ID not in inventory",IF(AND(F177&lt;&gt;"",COUNTIF(RSK_ID,F177)=0),"CHECK: Risk ID not found",IF(AND(F177&lt;&gt;"",COUNTIF(RSK_ID,F177)&gt;0,IFERROR(INDEX(RSK_SUP,MATCH(F177,RSK_ID,0)),"")&lt;&gt;B177),"CHECK: Risk belongs to a different supplier",IF(AND(N177="Accepted - exception approved",O177=""),"CHECK: exception approval reference missing","OK")))))))</f>
        <v/>
      </c>
      <c r="S177" s="61" t="str">
        <f aca="false">IF(OR(A177="",B177=""),"",IF(AND(Q177="Open gap",B177=RptSup),B177&amp;"|"&amp;COUNTIFS($B$7:B177,B177,$Q$7:Q177,"Open gap"),""))</f>
        <v/>
      </c>
    </row>
    <row r="178" customFormat="false" ht="15" hidden="false" customHeight="false" outlineLevel="0" collapsed="false">
      <c r="A178" s="50"/>
      <c r="B178" s="50"/>
      <c r="C178" s="59" t="str">
        <f aca="false">IF(B178="","",IFERROR(INDEX(INV_NAME,MATCH(B178,INV_ID,0)),"CHECK: Supplier ID not found"))</f>
        <v/>
      </c>
      <c r="D178" s="34"/>
      <c r="E178" s="34"/>
      <c r="F178" s="50"/>
      <c r="G178" s="34"/>
      <c r="H178" s="34"/>
      <c r="I178" s="34"/>
      <c r="J178" s="34"/>
      <c r="K178" s="34"/>
      <c r="L178" s="34"/>
      <c r="M178" s="34"/>
      <c r="N178" s="34"/>
      <c r="O178" s="34"/>
      <c r="P178" s="51"/>
      <c r="Q178" s="54" t="str">
        <f aca="false">IF(A178="","",IF(I178="Gap identified",IF(OR(N178="Amended",N178="Accepted - exception approved",N178="No action required",N178="Not applicable",N178="Withdrawn"),"Gap dispositioned","Open gap"),IF(I178="Not reviewed","Not reviewed",IF(I178="Clause present - legal review pending","Present - legal review pending",IF(I178="Clause reviewed - no gap noted","Reviewed - no gap noted (not a legal compliance conclusion)",IF(I178="Not applicable","Not applicable","Not reviewed"))))))</f>
        <v/>
      </c>
      <c r="R178" s="54" t="str">
        <f aca="false">IF(A178="","",IF(COUNTIF(CON_ID,A178)&gt;1,"CHECK: duplicate ID",IF(B178="","CHECK: Supplier ID missing",IF(COUNTIF(INV_ID,B178)=0,"CHECK: Supplier ID not in inventory",IF(AND(F178&lt;&gt;"",COUNTIF(RSK_ID,F178)=0),"CHECK: Risk ID not found",IF(AND(F178&lt;&gt;"",COUNTIF(RSK_ID,F178)&gt;0,IFERROR(INDEX(RSK_SUP,MATCH(F178,RSK_ID,0)),"")&lt;&gt;B178),"CHECK: Risk belongs to a different supplier",IF(AND(N178="Accepted - exception approved",O178=""),"CHECK: exception approval reference missing","OK")))))))</f>
        <v/>
      </c>
      <c r="S178" s="61" t="str">
        <f aca="false">IF(OR(A178="",B178=""),"",IF(AND(Q178="Open gap",B178=RptSup),B178&amp;"|"&amp;COUNTIFS($B$7:B178,B178,$Q$7:Q178,"Open gap"),""))</f>
        <v/>
      </c>
    </row>
    <row r="179" customFormat="false" ht="15" hidden="false" customHeight="false" outlineLevel="0" collapsed="false">
      <c r="A179" s="50"/>
      <c r="B179" s="50"/>
      <c r="C179" s="59" t="str">
        <f aca="false">IF(B179="","",IFERROR(INDEX(INV_NAME,MATCH(B179,INV_ID,0)),"CHECK: Supplier ID not found"))</f>
        <v/>
      </c>
      <c r="D179" s="34"/>
      <c r="E179" s="34"/>
      <c r="F179" s="50"/>
      <c r="G179" s="34"/>
      <c r="H179" s="34"/>
      <c r="I179" s="34"/>
      <c r="J179" s="34"/>
      <c r="K179" s="34"/>
      <c r="L179" s="34"/>
      <c r="M179" s="34"/>
      <c r="N179" s="34"/>
      <c r="O179" s="34"/>
      <c r="P179" s="51"/>
      <c r="Q179" s="54" t="str">
        <f aca="false">IF(A179="","",IF(I179="Gap identified",IF(OR(N179="Amended",N179="Accepted - exception approved",N179="No action required",N179="Not applicable",N179="Withdrawn"),"Gap dispositioned","Open gap"),IF(I179="Not reviewed","Not reviewed",IF(I179="Clause present - legal review pending","Present - legal review pending",IF(I179="Clause reviewed - no gap noted","Reviewed - no gap noted (not a legal compliance conclusion)",IF(I179="Not applicable","Not applicable","Not reviewed"))))))</f>
        <v/>
      </c>
      <c r="R179" s="54" t="str">
        <f aca="false">IF(A179="","",IF(COUNTIF(CON_ID,A179)&gt;1,"CHECK: duplicate ID",IF(B179="","CHECK: Supplier ID missing",IF(COUNTIF(INV_ID,B179)=0,"CHECK: Supplier ID not in inventory",IF(AND(F179&lt;&gt;"",COUNTIF(RSK_ID,F179)=0),"CHECK: Risk ID not found",IF(AND(F179&lt;&gt;"",COUNTIF(RSK_ID,F179)&gt;0,IFERROR(INDEX(RSK_SUP,MATCH(F179,RSK_ID,0)),"")&lt;&gt;B179),"CHECK: Risk belongs to a different supplier",IF(AND(N179="Accepted - exception approved",O179=""),"CHECK: exception approval reference missing","OK")))))))</f>
        <v/>
      </c>
      <c r="S179" s="61" t="str">
        <f aca="false">IF(OR(A179="",B179=""),"",IF(AND(Q179="Open gap",B179=RptSup),B179&amp;"|"&amp;COUNTIFS($B$7:B179,B179,$Q$7:Q179,"Open gap"),""))</f>
        <v/>
      </c>
    </row>
    <row r="180" customFormat="false" ht="15" hidden="false" customHeight="false" outlineLevel="0" collapsed="false">
      <c r="A180" s="50"/>
      <c r="B180" s="50"/>
      <c r="C180" s="59" t="str">
        <f aca="false">IF(B180="","",IFERROR(INDEX(INV_NAME,MATCH(B180,INV_ID,0)),"CHECK: Supplier ID not found"))</f>
        <v/>
      </c>
      <c r="D180" s="34"/>
      <c r="E180" s="34"/>
      <c r="F180" s="50"/>
      <c r="G180" s="34"/>
      <c r="H180" s="34"/>
      <c r="I180" s="34"/>
      <c r="J180" s="34"/>
      <c r="K180" s="34"/>
      <c r="L180" s="34"/>
      <c r="M180" s="34"/>
      <c r="N180" s="34"/>
      <c r="O180" s="34"/>
      <c r="P180" s="51"/>
      <c r="Q180" s="54" t="str">
        <f aca="false">IF(A180="","",IF(I180="Gap identified",IF(OR(N180="Amended",N180="Accepted - exception approved",N180="No action required",N180="Not applicable",N180="Withdrawn"),"Gap dispositioned","Open gap"),IF(I180="Not reviewed","Not reviewed",IF(I180="Clause present - legal review pending","Present - legal review pending",IF(I180="Clause reviewed - no gap noted","Reviewed - no gap noted (not a legal compliance conclusion)",IF(I180="Not applicable","Not applicable","Not reviewed"))))))</f>
        <v/>
      </c>
      <c r="R180" s="54" t="str">
        <f aca="false">IF(A180="","",IF(COUNTIF(CON_ID,A180)&gt;1,"CHECK: duplicate ID",IF(B180="","CHECK: Supplier ID missing",IF(COUNTIF(INV_ID,B180)=0,"CHECK: Supplier ID not in inventory",IF(AND(F180&lt;&gt;"",COUNTIF(RSK_ID,F180)=0),"CHECK: Risk ID not found",IF(AND(F180&lt;&gt;"",COUNTIF(RSK_ID,F180)&gt;0,IFERROR(INDEX(RSK_SUP,MATCH(F180,RSK_ID,0)),"")&lt;&gt;B180),"CHECK: Risk belongs to a different supplier",IF(AND(N180="Accepted - exception approved",O180=""),"CHECK: exception approval reference missing","OK")))))))</f>
        <v/>
      </c>
      <c r="S180" s="61" t="str">
        <f aca="false">IF(OR(A180="",B180=""),"",IF(AND(Q180="Open gap",B180=RptSup),B180&amp;"|"&amp;COUNTIFS($B$7:B180,B180,$Q$7:Q180,"Open gap"),""))</f>
        <v/>
      </c>
    </row>
    <row r="181" customFormat="false" ht="15" hidden="false" customHeight="false" outlineLevel="0" collapsed="false">
      <c r="A181" s="50"/>
      <c r="B181" s="50"/>
      <c r="C181" s="59" t="str">
        <f aca="false">IF(B181="","",IFERROR(INDEX(INV_NAME,MATCH(B181,INV_ID,0)),"CHECK: Supplier ID not found"))</f>
        <v/>
      </c>
      <c r="D181" s="34"/>
      <c r="E181" s="34"/>
      <c r="F181" s="50"/>
      <c r="G181" s="34"/>
      <c r="H181" s="34"/>
      <c r="I181" s="34"/>
      <c r="J181" s="34"/>
      <c r="K181" s="34"/>
      <c r="L181" s="34"/>
      <c r="M181" s="34"/>
      <c r="N181" s="34"/>
      <c r="O181" s="34"/>
      <c r="P181" s="51"/>
      <c r="Q181" s="54" t="str">
        <f aca="false">IF(A181="","",IF(I181="Gap identified",IF(OR(N181="Amended",N181="Accepted - exception approved",N181="No action required",N181="Not applicable",N181="Withdrawn"),"Gap dispositioned","Open gap"),IF(I181="Not reviewed","Not reviewed",IF(I181="Clause present - legal review pending","Present - legal review pending",IF(I181="Clause reviewed - no gap noted","Reviewed - no gap noted (not a legal compliance conclusion)",IF(I181="Not applicable","Not applicable","Not reviewed"))))))</f>
        <v/>
      </c>
      <c r="R181" s="54" t="str">
        <f aca="false">IF(A181="","",IF(COUNTIF(CON_ID,A181)&gt;1,"CHECK: duplicate ID",IF(B181="","CHECK: Supplier ID missing",IF(COUNTIF(INV_ID,B181)=0,"CHECK: Supplier ID not in inventory",IF(AND(F181&lt;&gt;"",COUNTIF(RSK_ID,F181)=0),"CHECK: Risk ID not found",IF(AND(F181&lt;&gt;"",COUNTIF(RSK_ID,F181)&gt;0,IFERROR(INDEX(RSK_SUP,MATCH(F181,RSK_ID,0)),"")&lt;&gt;B181),"CHECK: Risk belongs to a different supplier",IF(AND(N181="Accepted - exception approved",O181=""),"CHECK: exception approval reference missing","OK")))))))</f>
        <v/>
      </c>
      <c r="S181" s="61" t="str">
        <f aca="false">IF(OR(A181="",B181=""),"",IF(AND(Q181="Open gap",B181=RptSup),B181&amp;"|"&amp;COUNTIFS($B$7:B181,B181,$Q$7:Q181,"Open gap"),""))</f>
        <v/>
      </c>
    </row>
    <row r="182" customFormat="false" ht="15" hidden="false" customHeight="false" outlineLevel="0" collapsed="false">
      <c r="A182" s="50"/>
      <c r="B182" s="50"/>
      <c r="C182" s="59" t="str">
        <f aca="false">IF(B182="","",IFERROR(INDEX(INV_NAME,MATCH(B182,INV_ID,0)),"CHECK: Supplier ID not found"))</f>
        <v/>
      </c>
      <c r="D182" s="34"/>
      <c r="E182" s="34"/>
      <c r="F182" s="50"/>
      <c r="G182" s="34"/>
      <c r="H182" s="34"/>
      <c r="I182" s="34"/>
      <c r="J182" s="34"/>
      <c r="K182" s="34"/>
      <c r="L182" s="34"/>
      <c r="M182" s="34"/>
      <c r="N182" s="34"/>
      <c r="O182" s="34"/>
      <c r="P182" s="51"/>
      <c r="Q182" s="54" t="str">
        <f aca="false">IF(A182="","",IF(I182="Gap identified",IF(OR(N182="Amended",N182="Accepted - exception approved",N182="No action required",N182="Not applicable",N182="Withdrawn"),"Gap dispositioned","Open gap"),IF(I182="Not reviewed","Not reviewed",IF(I182="Clause present - legal review pending","Present - legal review pending",IF(I182="Clause reviewed - no gap noted","Reviewed - no gap noted (not a legal compliance conclusion)",IF(I182="Not applicable","Not applicable","Not reviewed"))))))</f>
        <v/>
      </c>
      <c r="R182" s="54" t="str">
        <f aca="false">IF(A182="","",IF(COUNTIF(CON_ID,A182)&gt;1,"CHECK: duplicate ID",IF(B182="","CHECK: Supplier ID missing",IF(COUNTIF(INV_ID,B182)=0,"CHECK: Supplier ID not in inventory",IF(AND(F182&lt;&gt;"",COUNTIF(RSK_ID,F182)=0),"CHECK: Risk ID not found",IF(AND(F182&lt;&gt;"",COUNTIF(RSK_ID,F182)&gt;0,IFERROR(INDEX(RSK_SUP,MATCH(F182,RSK_ID,0)),"")&lt;&gt;B182),"CHECK: Risk belongs to a different supplier",IF(AND(N182="Accepted - exception approved",O182=""),"CHECK: exception approval reference missing","OK")))))))</f>
        <v/>
      </c>
      <c r="S182" s="61" t="str">
        <f aca="false">IF(OR(A182="",B182=""),"",IF(AND(Q182="Open gap",B182=RptSup),B182&amp;"|"&amp;COUNTIFS($B$7:B182,B182,$Q$7:Q182,"Open gap"),""))</f>
        <v/>
      </c>
    </row>
    <row r="183" customFormat="false" ht="15" hidden="false" customHeight="false" outlineLevel="0" collapsed="false">
      <c r="A183" s="50"/>
      <c r="B183" s="50"/>
      <c r="C183" s="59" t="str">
        <f aca="false">IF(B183="","",IFERROR(INDEX(INV_NAME,MATCH(B183,INV_ID,0)),"CHECK: Supplier ID not found"))</f>
        <v/>
      </c>
      <c r="D183" s="34"/>
      <c r="E183" s="34"/>
      <c r="F183" s="50"/>
      <c r="G183" s="34"/>
      <c r="H183" s="34"/>
      <c r="I183" s="34"/>
      <c r="J183" s="34"/>
      <c r="K183" s="34"/>
      <c r="L183" s="34"/>
      <c r="M183" s="34"/>
      <c r="N183" s="34"/>
      <c r="O183" s="34"/>
      <c r="P183" s="51"/>
      <c r="Q183" s="54" t="str">
        <f aca="false">IF(A183="","",IF(I183="Gap identified",IF(OR(N183="Amended",N183="Accepted - exception approved",N183="No action required",N183="Not applicable",N183="Withdrawn"),"Gap dispositioned","Open gap"),IF(I183="Not reviewed","Not reviewed",IF(I183="Clause present - legal review pending","Present - legal review pending",IF(I183="Clause reviewed - no gap noted","Reviewed - no gap noted (not a legal compliance conclusion)",IF(I183="Not applicable","Not applicable","Not reviewed"))))))</f>
        <v/>
      </c>
      <c r="R183" s="54" t="str">
        <f aca="false">IF(A183="","",IF(COUNTIF(CON_ID,A183)&gt;1,"CHECK: duplicate ID",IF(B183="","CHECK: Supplier ID missing",IF(COUNTIF(INV_ID,B183)=0,"CHECK: Supplier ID not in inventory",IF(AND(F183&lt;&gt;"",COUNTIF(RSK_ID,F183)=0),"CHECK: Risk ID not found",IF(AND(F183&lt;&gt;"",COUNTIF(RSK_ID,F183)&gt;0,IFERROR(INDEX(RSK_SUP,MATCH(F183,RSK_ID,0)),"")&lt;&gt;B183),"CHECK: Risk belongs to a different supplier",IF(AND(N183="Accepted - exception approved",O183=""),"CHECK: exception approval reference missing","OK")))))))</f>
        <v/>
      </c>
      <c r="S183" s="61" t="str">
        <f aca="false">IF(OR(A183="",B183=""),"",IF(AND(Q183="Open gap",B183=RptSup),B183&amp;"|"&amp;COUNTIFS($B$7:B183,B183,$Q$7:Q183,"Open gap"),""))</f>
        <v/>
      </c>
    </row>
    <row r="184" customFormat="false" ht="15" hidden="false" customHeight="false" outlineLevel="0" collapsed="false">
      <c r="A184" s="50"/>
      <c r="B184" s="50"/>
      <c r="C184" s="59" t="str">
        <f aca="false">IF(B184="","",IFERROR(INDEX(INV_NAME,MATCH(B184,INV_ID,0)),"CHECK: Supplier ID not found"))</f>
        <v/>
      </c>
      <c r="D184" s="34"/>
      <c r="E184" s="34"/>
      <c r="F184" s="50"/>
      <c r="G184" s="34"/>
      <c r="H184" s="34"/>
      <c r="I184" s="34"/>
      <c r="J184" s="34"/>
      <c r="K184" s="34"/>
      <c r="L184" s="34"/>
      <c r="M184" s="34"/>
      <c r="N184" s="34"/>
      <c r="O184" s="34"/>
      <c r="P184" s="51"/>
      <c r="Q184" s="54" t="str">
        <f aca="false">IF(A184="","",IF(I184="Gap identified",IF(OR(N184="Amended",N184="Accepted - exception approved",N184="No action required",N184="Not applicable",N184="Withdrawn"),"Gap dispositioned","Open gap"),IF(I184="Not reviewed","Not reviewed",IF(I184="Clause present - legal review pending","Present - legal review pending",IF(I184="Clause reviewed - no gap noted","Reviewed - no gap noted (not a legal compliance conclusion)",IF(I184="Not applicable","Not applicable","Not reviewed"))))))</f>
        <v/>
      </c>
      <c r="R184" s="54" t="str">
        <f aca="false">IF(A184="","",IF(COUNTIF(CON_ID,A184)&gt;1,"CHECK: duplicate ID",IF(B184="","CHECK: Supplier ID missing",IF(COUNTIF(INV_ID,B184)=0,"CHECK: Supplier ID not in inventory",IF(AND(F184&lt;&gt;"",COUNTIF(RSK_ID,F184)=0),"CHECK: Risk ID not found",IF(AND(F184&lt;&gt;"",COUNTIF(RSK_ID,F184)&gt;0,IFERROR(INDEX(RSK_SUP,MATCH(F184,RSK_ID,0)),"")&lt;&gt;B184),"CHECK: Risk belongs to a different supplier",IF(AND(N184="Accepted - exception approved",O184=""),"CHECK: exception approval reference missing","OK")))))))</f>
        <v/>
      </c>
      <c r="S184" s="61" t="str">
        <f aca="false">IF(OR(A184="",B184=""),"",IF(AND(Q184="Open gap",B184=RptSup),B184&amp;"|"&amp;COUNTIFS($B$7:B184,B184,$Q$7:Q184,"Open gap"),""))</f>
        <v/>
      </c>
    </row>
    <row r="185" customFormat="false" ht="15" hidden="false" customHeight="false" outlineLevel="0" collapsed="false">
      <c r="A185" s="50"/>
      <c r="B185" s="50"/>
      <c r="C185" s="59" t="str">
        <f aca="false">IF(B185="","",IFERROR(INDEX(INV_NAME,MATCH(B185,INV_ID,0)),"CHECK: Supplier ID not found"))</f>
        <v/>
      </c>
      <c r="D185" s="34"/>
      <c r="E185" s="34"/>
      <c r="F185" s="50"/>
      <c r="G185" s="34"/>
      <c r="H185" s="34"/>
      <c r="I185" s="34"/>
      <c r="J185" s="34"/>
      <c r="K185" s="34"/>
      <c r="L185" s="34"/>
      <c r="M185" s="34"/>
      <c r="N185" s="34"/>
      <c r="O185" s="34"/>
      <c r="P185" s="51"/>
      <c r="Q185" s="54" t="str">
        <f aca="false">IF(A185="","",IF(I185="Gap identified",IF(OR(N185="Amended",N185="Accepted - exception approved",N185="No action required",N185="Not applicable",N185="Withdrawn"),"Gap dispositioned","Open gap"),IF(I185="Not reviewed","Not reviewed",IF(I185="Clause present - legal review pending","Present - legal review pending",IF(I185="Clause reviewed - no gap noted","Reviewed - no gap noted (not a legal compliance conclusion)",IF(I185="Not applicable","Not applicable","Not reviewed"))))))</f>
        <v/>
      </c>
      <c r="R185" s="54" t="str">
        <f aca="false">IF(A185="","",IF(COUNTIF(CON_ID,A185)&gt;1,"CHECK: duplicate ID",IF(B185="","CHECK: Supplier ID missing",IF(COUNTIF(INV_ID,B185)=0,"CHECK: Supplier ID not in inventory",IF(AND(F185&lt;&gt;"",COUNTIF(RSK_ID,F185)=0),"CHECK: Risk ID not found",IF(AND(F185&lt;&gt;"",COUNTIF(RSK_ID,F185)&gt;0,IFERROR(INDEX(RSK_SUP,MATCH(F185,RSK_ID,0)),"")&lt;&gt;B185),"CHECK: Risk belongs to a different supplier",IF(AND(N185="Accepted - exception approved",O185=""),"CHECK: exception approval reference missing","OK")))))))</f>
        <v/>
      </c>
      <c r="S185" s="61" t="str">
        <f aca="false">IF(OR(A185="",B185=""),"",IF(AND(Q185="Open gap",B185=RptSup),B185&amp;"|"&amp;COUNTIFS($B$7:B185,B185,$Q$7:Q185,"Open gap"),""))</f>
        <v/>
      </c>
    </row>
    <row r="186" customFormat="false" ht="15" hidden="false" customHeight="false" outlineLevel="0" collapsed="false">
      <c r="A186" s="50"/>
      <c r="B186" s="50"/>
      <c r="C186" s="59" t="str">
        <f aca="false">IF(B186="","",IFERROR(INDEX(INV_NAME,MATCH(B186,INV_ID,0)),"CHECK: Supplier ID not found"))</f>
        <v/>
      </c>
      <c r="D186" s="34"/>
      <c r="E186" s="34"/>
      <c r="F186" s="50"/>
      <c r="G186" s="34"/>
      <c r="H186" s="34"/>
      <c r="I186" s="34"/>
      <c r="J186" s="34"/>
      <c r="K186" s="34"/>
      <c r="L186" s="34"/>
      <c r="M186" s="34"/>
      <c r="N186" s="34"/>
      <c r="O186" s="34"/>
      <c r="P186" s="51"/>
      <c r="Q186" s="54" t="str">
        <f aca="false">IF(A186="","",IF(I186="Gap identified",IF(OR(N186="Amended",N186="Accepted - exception approved",N186="No action required",N186="Not applicable",N186="Withdrawn"),"Gap dispositioned","Open gap"),IF(I186="Not reviewed","Not reviewed",IF(I186="Clause present - legal review pending","Present - legal review pending",IF(I186="Clause reviewed - no gap noted","Reviewed - no gap noted (not a legal compliance conclusion)",IF(I186="Not applicable","Not applicable","Not reviewed"))))))</f>
        <v/>
      </c>
      <c r="R186" s="54" t="str">
        <f aca="false">IF(A186="","",IF(COUNTIF(CON_ID,A186)&gt;1,"CHECK: duplicate ID",IF(B186="","CHECK: Supplier ID missing",IF(COUNTIF(INV_ID,B186)=0,"CHECK: Supplier ID not in inventory",IF(AND(F186&lt;&gt;"",COUNTIF(RSK_ID,F186)=0),"CHECK: Risk ID not found",IF(AND(F186&lt;&gt;"",COUNTIF(RSK_ID,F186)&gt;0,IFERROR(INDEX(RSK_SUP,MATCH(F186,RSK_ID,0)),"")&lt;&gt;B186),"CHECK: Risk belongs to a different supplier",IF(AND(N186="Accepted - exception approved",O186=""),"CHECK: exception approval reference missing","OK")))))))</f>
        <v/>
      </c>
      <c r="S186" s="61" t="str">
        <f aca="false">IF(OR(A186="",B186=""),"",IF(AND(Q186="Open gap",B186=RptSup),B186&amp;"|"&amp;COUNTIFS($B$7:B186,B186,$Q$7:Q186,"Open gap"),""))</f>
        <v/>
      </c>
    </row>
    <row r="187" customFormat="false" ht="15" hidden="false" customHeight="false" outlineLevel="0" collapsed="false">
      <c r="A187" s="50"/>
      <c r="B187" s="50"/>
      <c r="C187" s="59" t="str">
        <f aca="false">IF(B187="","",IFERROR(INDEX(INV_NAME,MATCH(B187,INV_ID,0)),"CHECK: Supplier ID not found"))</f>
        <v/>
      </c>
      <c r="D187" s="34"/>
      <c r="E187" s="34"/>
      <c r="F187" s="50"/>
      <c r="G187" s="34"/>
      <c r="H187" s="34"/>
      <c r="I187" s="34"/>
      <c r="J187" s="34"/>
      <c r="K187" s="34"/>
      <c r="L187" s="34"/>
      <c r="M187" s="34"/>
      <c r="N187" s="34"/>
      <c r="O187" s="34"/>
      <c r="P187" s="51"/>
      <c r="Q187" s="54" t="str">
        <f aca="false">IF(A187="","",IF(I187="Gap identified",IF(OR(N187="Amended",N187="Accepted - exception approved",N187="No action required",N187="Not applicable",N187="Withdrawn"),"Gap dispositioned","Open gap"),IF(I187="Not reviewed","Not reviewed",IF(I187="Clause present - legal review pending","Present - legal review pending",IF(I187="Clause reviewed - no gap noted","Reviewed - no gap noted (not a legal compliance conclusion)",IF(I187="Not applicable","Not applicable","Not reviewed"))))))</f>
        <v/>
      </c>
      <c r="R187" s="54" t="str">
        <f aca="false">IF(A187="","",IF(COUNTIF(CON_ID,A187)&gt;1,"CHECK: duplicate ID",IF(B187="","CHECK: Supplier ID missing",IF(COUNTIF(INV_ID,B187)=0,"CHECK: Supplier ID not in inventory",IF(AND(F187&lt;&gt;"",COUNTIF(RSK_ID,F187)=0),"CHECK: Risk ID not found",IF(AND(F187&lt;&gt;"",COUNTIF(RSK_ID,F187)&gt;0,IFERROR(INDEX(RSK_SUP,MATCH(F187,RSK_ID,0)),"")&lt;&gt;B187),"CHECK: Risk belongs to a different supplier",IF(AND(N187="Accepted - exception approved",O187=""),"CHECK: exception approval reference missing","OK")))))))</f>
        <v/>
      </c>
      <c r="S187" s="61" t="str">
        <f aca="false">IF(OR(A187="",B187=""),"",IF(AND(Q187="Open gap",B187=RptSup),B187&amp;"|"&amp;COUNTIFS($B$7:B187,B187,$Q$7:Q187,"Open gap"),""))</f>
        <v/>
      </c>
    </row>
    <row r="188" customFormat="false" ht="15" hidden="false" customHeight="false" outlineLevel="0" collapsed="false">
      <c r="A188" s="50"/>
      <c r="B188" s="50"/>
      <c r="C188" s="59" t="str">
        <f aca="false">IF(B188="","",IFERROR(INDEX(INV_NAME,MATCH(B188,INV_ID,0)),"CHECK: Supplier ID not found"))</f>
        <v/>
      </c>
      <c r="D188" s="34"/>
      <c r="E188" s="34"/>
      <c r="F188" s="50"/>
      <c r="G188" s="34"/>
      <c r="H188" s="34"/>
      <c r="I188" s="34"/>
      <c r="J188" s="34"/>
      <c r="K188" s="34"/>
      <c r="L188" s="34"/>
      <c r="M188" s="34"/>
      <c r="N188" s="34"/>
      <c r="O188" s="34"/>
      <c r="P188" s="51"/>
      <c r="Q188" s="54" t="str">
        <f aca="false">IF(A188="","",IF(I188="Gap identified",IF(OR(N188="Amended",N188="Accepted - exception approved",N188="No action required",N188="Not applicable",N188="Withdrawn"),"Gap dispositioned","Open gap"),IF(I188="Not reviewed","Not reviewed",IF(I188="Clause present - legal review pending","Present - legal review pending",IF(I188="Clause reviewed - no gap noted","Reviewed - no gap noted (not a legal compliance conclusion)",IF(I188="Not applicable","Not applicable","Not reviewed"))))))</f>
        <v/>
      </c>
      <c r="R188" s="54" t="str">
        <f aca="false">IF(A188="","",IF(COUNTIF(CON_ID,A188)&gt;1,"CHECK: duplicate ID",IF(B188="","CHECK: Supplier ID missing",IF(COUNTIF(INV_ID,B188)=0,"CHECK: Supplier ID not in inventory",IF(AND(F188&lt;&gt;"",COUNTIF(RSK_ID,F188)=0),"CHECK: Risk ID not found",IF(AND(F188&lt;&gt;"",COUNTIF(RSK_ID,F188)&gt;0,IFERROR(INDEX(RSK_SUP,MATCH(F188,RSK_ID,0)),"")&lt;&gt;B188),"CHECK: Risk belongs to a different supplier",IF(AND(N188="Accepted - exception approved",O188=""),"CHECK: exception approval reference missing","OK")))))))</f>
        <v/>
      </c>
      <c r="S188" s="61" t="str">
        <f aca="false">IF(OR(A188="",B188=""),"",IF(AND(Q188="Open gap",B188=RptSup),B188&amp;"|"&amp;COUNTIFS($B$7:B188,B188,$Q$7:Q188,"Open gap"),""))</f>
        <v/>
      </c>
    </row>
    <row r="189" customFormat="false" ht="15" hidden="false" customHeight="false" outlineLevel="0" collapsed="false">
      <c r="A189" s="50"/>
      <c r="B189" s="50"/>
      <c r="C189" s="59" t="str">
        <f aca="false">IF(B189="","",IFERROR(INDEX(INV_NAME,MATCH(B189,INV_ID,0)),"CHECK: Supplier ID not found"))</f>
        <v/>
      </c>
      <c r="D189" s="34"/>
      <c r="E189" s="34"/>
      <c r="F189" s="50"/>
      <c r="G189" s="34"/>
      <c r="H189" s="34"/>
      <c r="I189" s="34"/>
      <c r="J189" s="34"/>
      <c r="K189" s="34"/>
      <c r="L189" s="34"/>
      <c r="M189" s="34"/>
      <c r="N189" s="34"/>
      <c r="O189" s="34"/>
      <c r="P189" s="51"/>
      <c r="Q189" s="54" t="str">
        <f aca="false">IF(A189="","",IF(I189="Gap identified",IF(OR(N189="Amended",N189="Accepted - exception approved",N189="No action required",N189="Not applicable",N189="Withdrawn"),"Gap dispositioned","Open gap"),IF(I189="Not reviewed","Not reviewed",IF(I189="Clause present - legal review pending","Present - legal review pending",IF(I189="Clause reviewed - no gap noted","Reviewed - no gap noted (not a legal compliance conclusion)",IF(I189="Not applicable","Not applicable","Not reviewed"))))))</f>
        <v/>
      </c>
      <c r="R189" s="54" t="str">
        <f aca="false">IF(A189="","",IF(COUNTIF(CON_ID,A189)&gt;1,"CHECK: duplicate ID",IF(B189="","CHECK: Supplier ID missing",IF(COUNTIF(INV_ID,B189)=0,"CHECK: Supplier ID not in inventory",IF(AND(F189&lt;&gt;"",COUNTIF(RSK_ID,F189)=0),"CHECK: Risk ID not found",IF(AND(F189&lt;&gt;"",COUNTIF(RSK_ID,F189)&gt;0,IFERROR(INDEX(RSK_SUP,MATCH(F189,RSK_ID,0)),"")&lt;&gt;B189),"CHECK: Risk belongs to a different supplier",IF(AND(N189="Accepted - exception approved",O189=""),"CHECK: exception approval reference missing","OK")))))))</f>
        <v/>
      </c>
      <c r="S189" s="61" t="str">
        <f aca="false">IF(OR(A189="",B189=""),"",IF(AND(Q189="Open gap",B189=RptSup),B189&amp;"|"&amp;COUNTIFS($B$7:B189,B189,$Q$7:Q189,"Open gap"),""))</f>
        <v/>
      </c>
    </row>
    <row r="190" customFormat="false" ht="15" hidden="false" customHeight="false" outlineLevel="0" collapsed="false">
      <c r="A190" s="50"/>
      <c r="B190" s="50"/>
      <c r="C190" s="59" t="str">
        <f aca="false">IF(B190="","",IFERROR(INDEX(INV_NAME,MATCH(B190,INV_ID,0)),"CHECK: Supplier ID not found"))</f>
        <v/>
      </c>
      <c r="D190" s="34"/>
      <c r="E190" s="34"/>
      <c r="F190" s="50"/>
      <c r="G190" s="34"/>
      <c r="H190" s="34"/>
      <c r="I190" s="34"/>
      <c r="J190" s="34"/>
      <c r="K190" s="34"/>
      <c r="L190" s="34"/>
      <c r="M190" s="34"/>
      <c r="N190" s="34"/>
      <c r="O190" s="34"/>
      <c r="P190" s="51"/>
      <c r="Q190" s="54" t="str">
        <f aca="false">IF(A190="","",IF(I190="Gap identified",IF(OR(N190="Amended",N190="Accepted - exception approved",N190="No action required",N190="Not applicable",N190="Withdrawn"),"Gap dispositioned","Open gap"),IF(I190="Not reviewed","Not reviewed",IF(I190="Clause present - legal review pending","Present - legal review pending",IF(I190="Clause reviewed - no gap noted","Reviewed - no gap noted (not a legal compliance conclusion)",IF(I190="Not applicable","Not applicable","Not reviewed"))))))</f>
        <v/>
      </c>
      <c r="R190" s="54" t="str">
        <f aca="false">IF(A190="","",IF(COUNTIF(CON_ID,A190)&gt;1,"CHECK: duplicate ID",IF(B190="","CHECK: Supplier ID missing",IF(COUNTIF(INV_ID,B190)=0,"CHECK: Supplier ID not in inventory",IF(AND(F190&lt;&gt;"",COUNTIF(RSK_ID,F190)=0),"CHECK: Risk ID not found",IF(AND(F190&lt;&gt;"",COUNTIF(RSK_ID,F190)&gt;0,IFERROR(INDEX(RSK_SUP,MATCH(F190,RSK_ID,0)),"")&lt;&gt;B190),"CHECK: Risk belongs to a different supplier",IF(AND(N190="Accepted - exception approved",O190=""),"CHECK: exception approval reference missing","OK")))))))</f>
        <v/>
      </c>
      <c r="S190" s="61" t="str">
        <f aca="false">IF(OR(A190="",B190=""),"",IF(AND(Q190="Open gap",B190=RptSup),B190&amp;"|"&amp;COUNTIFS($B$7:B190,B190,$Q$7:Q190,"Open gap"),""))</f>
        <v/>
      </c>
    </row>
    <row r="191" customFormat="false" ht="15" hidden="false" customHeight="false" outlineLevel="0" collapsed="false">
      <c r="A191" s="50"/>
      <c r="B191" s="50"/>
      <c r="C191" s="59" t="str">
        <f aca="false">IF(B191="","",IFERROR(INDEX(INV_NAME,MATCH(B191,INV_ID,0)),"CHECK: Supplier ID not found"))</f>
        <v/>
      </c>
      <c r="D191" s="34"/>
      <c r="E191" s="34"/>
      <c r="F191" s="50"/>
      <c r="G191" s="34"/>
      <c r="H191" s="34"/>
      <c r="I191" s="34"/>
      <c r="J191" s="34"/>
      <c r="K191" s="34"/>
      <c r="L191" s="34"/>
      <c r="M191" s="34"/>
      <c r="N191" s="34"/>
      <c r="O191" s="34"/>
      <c r="P191" s="51"/>
      <c r="Q191" s="54" t="str">
        <f aca="false">IF(A191="","",IF(I191="Gap identified",IF(OR(N191="Amended",N191="Accepted - exception approved",N191="No action required",N191="Not applicable",N191="Withdrawn"),"Gap dispositioned","Open gap"),IF(I191="Not reviewed","Not reviewed",IF(I191="Clause present - legal review pending","Present - legal review pending",IF(I191="Clause reviewed - no gap noted","Reviewed - no gap noted (not a legal compliance conclusion)",IF(I191="Not applicable","Not applicable","Not reviewed"))))))</f>
        <v/>
      </c>
      <c r="R191" s="54" t="str">
        <f aca="false">IF(A191="","",IF(COUNTIF(CON_ID,A191)&gt;1,"CHECK: duplicate ID",IF(B191="","CHECK: Supplier ID missing",IF(COUNTIF(INV_ID,B191)=0,"CHECK: Supplier ID not in inventory",IF(AND(F191&lt;&gt;"",COUNTIF(RSK_ID,F191)=0),"CHECK: Risk ID not found",IF(AND(F191&lt;&gt;"",COUNTIF(RSK_ID,F191)&gt;0,IFERROR(INDEX(RSK_SUP,MATCH(F191,RSK_ID,0)),"")&lt;&gt;B191),"CHECK: Risk belongs to a different supplier",IF(AND(N191="Accepted - exception approved",O191=""),"CHECK: exception approval reference missing","OK")))))))</f>
        <v/>
      </c>
      <c r="S191" s="61" t="str">
        <f aca="false">IF(OR(A191="",B191=""),"",IF(AND(Q191="Open gap",B191=RptSup),B191&amp;"|"&amp;COUNTIFS($B$7:B191,B191,$Q$7:Q191,"Open gap"),""))</f>
        <v/>
      </c>
    </row>
    <row r="192" customFormat="false" ht="15" hidden="false" customHeight="false" outlineLevel="0" collapsed="false">
      <c r="A192" s="50"/>
      <c r="B192" s="50"/>
      <c r="C192" s="59" t="str">
        <f aca="false">IF(B192="","",IFERROR(INDEX(INV_NAME,MATCH(B192,INV_ID,0)),"CHECK: Supplier ID not found"))</f>
        <v/>
      </c>
      <c r="D192" s="34"/>
      <c r="E192" s="34"/>
      <c r="F192" s="50"/>
      <c r="G192" s="34"/>
      <c r="H192" s="34"/>
      <c r="I192" s="34"/>
      <c r="J192" s="34"/>
      <c r="K192" s="34"/>
      <c r="L192" s="34"/>
      <c r="M192" s="34"/>
      <c r="N192" s="34"/>
      <c r="O192" s="34"/>
      <c r="P192" s="51"/>
      <c r="Q192" s="54" t="str">
        <f aca="false">IF(A192="","",IF(I192="Gap identified",IF(OR(N192="Amended",N192="Accepted - exception approved",N192="No action required",N192="Not applicable",N192="Withdrawn"),"Gap dispositioned","Open gap"),IF(I192="Not reviewed","Not reviewed",IF(I192="Clause present - legal review pending","Present - legal review pending",IF(I192="Clause reviewed - no gap noted","Reviewed - no gap noted (not a legal compliance conclusion)",IF(I192="Not applicable","Not applicable","Not reviewed"))))))</f>
        <v/>
      </c>
      <c r="R192" s="54" t="str">
        <f aca="false">IF(A192="","",IF(COUNTIF(CON_ID,A192)&gt;1,"CHECK: duplicate ID",IF(B192="","CHECK: Supplier ID missing",IF(COUNTIF(INV_ID,B192)=0,"CHECK: Supplier ID not in inventory",IF(AND(F192&lt;&gt;"",COUNTIF(RSK_ID,F192)=0),"CHECK: Risk ID not found",IF(AND(F192&lt;&gt;"",COUNTIF(RSK_ID,F192)&gt;0,IFERROR(INDEX(RSK_SUP,MATCH(F192,RSK_ID,0)),"")&lt;&gt;B192),"CHECK: Risk belongs to a different supplier",IF(AND(N192="Accepted - exception approved",O192=""),"CHECK: exception approval reference missing","OK")))))))</f>
        <v/>
      </c>
      <c r="S192" s="61" t="str">
        <f aca="false">IF(OR(A192="",B192=""),"",IF(AND(Q192="Open gap",B192=RptSup),B192&amp;"|"&amp;COUNTIFS($B$7:B192,B192,$Q$7:Q192,"Open gap"),""))</f>
        <v/>
      </c>
    </row>
    <row r="193" customFormat="false" ht="15" hidden="false" customHeight="false" outlineLevel="0" collapsed="false">
      <c r="A193" s="50"/>
      <c r="B193" s="50"/>
      <c r="C193" s="59" t="str">
        <f aca="false">IF(B193="","",IFERROR(INDEX(INV_NAME,MATCH(B193,INV_ID,0)),"CHECK: Supplier ID not found"))</f>
        <v/>
      </c>
      <c r="D193" s="34"/>
      <c r="E193" s="34"/>
      <c r="F193" s="50"/>
      <c r="G193" s="34"/>
      <c r="H193" s="34"/>
      <c r="I193" s="34"/>
      <c r="J193" s="34"/>
      <c r="K193" s="34"/>
      <c r="L193" s="34"/>
      <c r="M193" s="34"/>
      <c r="N193" s="34"/>
      <c r="O193" s="34"/>
      <c r="P193" s="51"/>
      <c r="Q193" s="54" t="str">
        <f aca="false">IF(A193="","",IF(I193="Gap identified",IF(OR(N193="Amended",N193="Accepted - exception approved",N193="No action required",N193="Not applicable",N193="Withdrawn"),"Gap dispositioned","Open gap"),IF(I193="Not reviewed","Not reviewed",IF(I193="Clause present - legal review pending","Present - legal review pending",IF(I193="Clause reviewed - no gap noted","Reviewed - no gap noted (not a legal compliance conclusion)",IF(I193="Not applicable","Not applicable","Not reviewed"))))))</f>
        <v/>
      </c>
      <c r="R193" s="54" t="str">
        <f aca="false">IF(A193="","",IF(COUNTIF(CON_ID,A193)&gt;1,"CHECK: duplicate ID",IF(B193="","CHECK: Supplier ID missing",IF(COUNTIF(INV_ID,B193)=0,"CHECK: Supplier ID not in inventory",IF(AND(F193&lt;&gt;"",COUNTIF(RSK_ID,F193)=0),"CHECK: Risk ID not found",IF(AND(F193&lt;&gt;"",COUNTIF(RSK_ID,F193)&gt;0,IFERROR(INDEX(RSK_SUP,MATCH(F193,RSK_ID,0)),"")&lt;&gt;B193),"CHECK: Risk belongs to a different supplier",IF(AND(N193="Accepted - exception approved",O193=""),"CHECK: exception approval reference missing","OK")))))))</f>
        <v/>
      </c>
      <c r="S193" s="61" t="str">
        <f aca="false">IF(OR(A193="",B193=""),"",IF(AND(Q193="Open gap",B193=RptSup),B193&amp;"|"&amp;COUNTIFS($B$7:B193,B193,$Q$7:Q193,"Open gap"),""))</f>
        <v/>
      </c>
    </row>
    <row r="194" customFormat="false" ht="15" hidden="false" customHeight="false" outlineLevel="0" collapsed="false">
      <c r="A194" s="50"/>
      <c r="B194" s="50"/>
      <c r="C194" s="59" t="str">
        <f aca="false">IF(B194="","",IFERROR(INDEX(INV_NAME,MATCH(B194,INV_ID,0)),"CHECK: Supplier ID not found"))</f>
        <v/>
      </c>
      <c r="D194" s="34"/>
      <c r="E194" s="34"/>
      <c r="F194" s="50"/>
      <c r="G194" s="34"/>
      <c r="H194" s="34"/>
      <c r="I194" s="34"/>
      <c r="J194" s="34"/>
      <c r="K194" s="34"/>
      <c r="L194" s="34"/>
      <c r="M194" s="34"/>
      <c r="N194" s="34"/>
      <c r="O194" s="34"/>
      <c r="P194" s="51"/>
      <c r="Q194" s="54" t="str">
        <f aca="false">IF(A194="","",IF(I194="Gap identified",IF(OR(N194="Amended",N194="Accepted - exception approved",N194="No action required",N194="Not applicable",N194="Withdrawn"),"Gap dispositioned","Open gap"),IF(I194="Not reviewed","Not reviewed",IF(I194="Clause present - legal review pending","Present - legal review pending",IF(I194="Clause reviewed - no gap noted","Reviewed - no gap noted (not a legal compliance conclusion)",IF(I194="Not applicable","Not applicable","Not reviewed"))))))</f>
        <v/>
      </c>
      <c r="R194" s="54" t="str">
        <f aca="false">IF(A194="","",IF(COUNTIF(CON_ID,A194)&gt;1,"CHECK: duplicate ID",IF(B194="","CHECK: Supplier ID missing",IF(COUNTIF(INV_ID,B194)=0,"CHECK: Supplier ID not in inventory",IF(AND(F194&lt;&gt;"",COUNTIF(RSK_ID,F194)=0),"CHECK: Risk ID not found",IF(AND(F194&lt;&gt;"",COUNTIF(RSK_ID,F194)&gt;0,IFERROR(INDEX(RSK_SUP,MATCH(F194,RSK_ID,0)),"")&lt;&gt;B194),"CHECK: Risk belongs to a different supplier",IF(AND(N194="Accepted - exception approved",O194=""),"CHECK: exception approval reference missing","OK")))))))</f>
        <v/>
      </c>
      <c r="S194" s="61" t="str">
        <f aca="false">IF(OR(A194="",B194=""),"",IF(AND(Q194="Open gap",B194=RptSup),B194&amp;"|"&amp;COUNTIFS($B$7:B194,B194,$Q$7:Q194,"Open gap"),""))</f>
        <v/>
      </c>
    </row>
    <row r="195" customFormat="false" ht="15" hidden="false" customHeight="false" outlineLevel="0" collapsed="false">
      <c r="A195" s="50"/>
      <c r="B195" s="50"/>
      <c r="C195" s="59" t="str">
        <f aca="false">IF(B195="","",IFERROR(INDEX(INV_NAME,MATCH(B195,INV_ID,0)),"CHECK: Supplier ID not found"))</f>
        <v/>
      </c>
      <c r="D195" s="34"/>
      <c r="E195" s="34"/>
      <c r="F195" s="50"/>
      <c r="G195" s="34"/>
      <c r="H195" s="34"/>
      <c r="I195" s="34"/>
      <c r="J195" s="34"/>
      <c r="K195" s="34"/>
      <c r="L195" s="34"/>
      <c r="M195" s="34"/>
      <c r="N195" s="34"/>
      <c r="O195" s="34"/>
      <c r="P195" s="51"/>
      <c r="Q195" s="54" t="str">
        <f aca="false">IF(A195="","",IF(I195="Gap identified",IF(OR(N195="Amended",N195="Accepted - exception approved",N195="No action required",N195="Not applicable",N195="Withdrawn"),"Gap dispositioned","Open gap"),IF(I195="Not reviewed","Not reviewed",IF(I195="Clause present - legal review pending","Present - legal review pending",IF(I195="Clause reviewed - no gap noted","Reviewed - no gap noted (not a legal compliance conclusion)",IF(I195="Not applicable","Not applicable","Not reviewed"))))))</f>
        <v/>
      </c>
      <c r="R195" s="54" t="str">
        <f aca="false">IF(A195="","",IF(COUNTIF(CON_ID,A195)&gt;1,"CHECK: duplicate ID",IF(B195="","CHECK: Supplier ID missing",IF(COUNTIF(INV_ID,B195)=0,"CHECK: Supplier ID not in inventory",IF(AND(F195&lt;&gt;"",COUNTIF(RSK_ID,F195)=0),"CHECK: Risk ID not found",IF(AND(F195&lt;&gt;"",COUNTIF(RSK_ID,F195)&gt;0,IFERROR(INDEX(RSK_SUP,MATCH(F195,RSK_ID,0)),"")&lt;&gt;B195),"CHECK: Risk belongs to a different supplier",IF(AND(N195="Accepted - exception approved",O195=""),"CHECK: exception approval reference missing","OK")))))))</f>
        <v/>
      </c>
      <c r="S195" s="61" t="str">
        <f aca="false">IF(OR(A195="",B195=""),"",IF(AND(Q195="Open gap",B195=RptSup),B195&amp;"|"&amp;COUNTIFS($B$7:B195,B195,$Q$7:Q195,"Open gap"),""))</f>
        <v/>
      </c>
    </row>
    <row r="196" customFormat="false" ht="15" hidden="false" customHeight="false" outlineLevel="0" collapsed="false">
      <c r="A196" s="50"/>
      <c r="B196" s="50"/>
      <c r="C196" s="59" t="str">
        <f aca="false">IF(B196="","",IFERROR(INDEX(INV_NAME,MATCH(B196,INV_ID,0)),"CHECK: Supplier ID not found"))</f>
        <v/>
      </c>
      <c r="D196" s="34"/>
      <c r="E196" s="34"/>
      <c r="F196" s="50"/>
      <c r="G196" s="34"/>
      <c r="H196" s="34"/>
      <c r="I196" s="34"/>
      <c r="J196" s="34"/>
      <c r="K196" s="34"/>
      <c r="L196" s="34"/>
      <c r="M196" s="34"/>
      <c r="N196" s="34"/>
      <c r="O196" s="34"/>
      <c r="P196" s="51"/>
      <c r="Q196" s="54" t="str">
        <f aca="false">IF(A196="","",IF(I196="Gap identified",IF(OR(N196="Amended",N196="Accepted - exception approved",N196="No action required",N196="Not applicable",N196="Withdrawn"),"Gap dispositioned","Open gap"),IF(I196="Not reviewed","Not reviewed",IF(I196="Clause present - legal review pending","Present - legal review pending",IF(I196="Clause reviewed - no gap noted","Reviewed - no gap noted (not a legal compliance conclusion)",IF(I196="Not applicable","Not applicable","Not reviewed"))))))</f>
        <v/>
      </c>
      <c r="R196" s="54" t="str">
        <f aca="false">IF(A196="","",IF(COUNTIF(CON_ID,A196)&gt;1,"CHECK: duplicate ID",IF(B196="","CHECK: Supplier ID missing",IF(COUNTIF(INV_ID,B196)=0,"CHECK: Supplier ID not in inventory",IF(AND(F196&lt;&gt;"",COUNTIF(RSK_ID,F196)=0),"CHECK: Risk ID not found",IF(AND(F196&lt;&gt;"",COUNTIF(RSK_ID,F196)&gt;0,IFERROR(INDEX(RSK_SUP,MATCH(F196,RSK_ID,0)),"")&lt;&gt;B196),"CHECK: Risk belongs to a different supplier",IF(AND(N196="Accepted - exception approved",O196=""),"CHECK: exception approval reference missing","OK")))))))</f>
        <v/>
      </c>
      <c r="S196" s="61" t="str">
        <f aca="false">IF(OR(A196="",B196=""),"",IF(AND(Q196="Open gap",B196=RptSup),B196&amp;"|"&amp;COUNTIFS($B$7:B196,B196,$Q$7:Q196,"Open gap"),""))</f>
        <v/>
      </c>
    </row>
    <row r="197" customFormat="false" ht="15" hidden="false" customHeight="false" outlineLevel="0" collapsed="false">
      <c r="A197" s="50"/>
      <c r="B197" s="50"/>
      <c r="C197" s="59" t="str">
        <f aca="false">IF(B197="","",IFERROR(INDEX(INV_NAME,MATCH(B197,INV_ID,0)),"CHECK: Supplier ID not found"))</f>
        <v/>
      </c>
      <c r="D197" s="34"/>
      <c r="E197" s="34"/>
      <c r="F197" s="50"/>
      <c r="G197" s="34"/>
      <c r="H197" s="34"/>
      <c r="I197" s="34"/>
      <c r="J197" s="34"/>
      <c r="K197" s="34"/>
      <c r="L197" s="34"/>
      <c r="M197" s="34"/>
      <c r="N197" s="34"/>
      <c r="O197" s="34"/>
      <c r="P197" s="51"/>
      <c r="Q197" s="54" t="str">
        <f aca="false">IF(A197="","",IF(I197="Gap identified",IF(OR(N197="Amended",N197="Accepted - exception approved",N197="No action required",N197="Not applicable",N197="Withdrawn"),"Gap dispositioned","Open gap"),IF(I197="Not reviewed","Not reviewed",IF(I197="Clause present - legal review pending","Present - legal review pending",IF(I197="Clause reviewed - no gap noted","Reviewed - no gap noted (not a legal compliance conclusion)",IF(I197="Not applicable","Not applicable","Not reviewed"))))))</f>
        <v/>
      </c>
      <c r="R197" s="54" t="str">
        <f aca="false">IF(A197="","",IF(COUNTIF(CON_ID,A197)&gt;1,"CHECK: duplicate ID",IF(B197="","CHECK: Supplier ID missing",IF(COUNTIF(INV_ID,B197)=0,"CHECK: Supplier ID not in inventory",IF(AND(F197&lt;&gt;"",COUNTIF(RSK_ID,F197)=0),"CHECK: Risk ID not found",IF(AND(F197&lt;&gt;"",COUNTIF(RSK_ID,F197)&gt;0,IFERROR(INDEX(RSK_SUP,MATCH(F197,RSK_ID,0)),"")&lt;&gt;B197),"CHECK: Risk belongs to a different supplier",IF(AND(N197="Accepted - exception approved",O197=""),"CHECK: exception approval reference missing","OK")))))))</f>
        <v/>
      </c>
      <c r="S197" s="61" t="str">
        <f aca="false">IF(OR(A197="",B197=""),"",IF(AND(Q197="Open gap",B197=RptSup),B197&amp;"|"&amp;COUNTIFS($B$7:B197,B197,$Q$7:Q197,"Open gap"),""))</f>
        <v/>
      </c>
    </row>
    <row r="198" customFormat="false" ht="15" hidden="false" customHeight="false" outlineLevel="0" collapsed="false">
      <c r="A198" s="50"/>
      <c r="B198" s="50"/>
      <c r="C198" s="59" t="str">
        <f aca="false">IF(B198="","",IFERROR(INDEX(INV_NAME,MATCH(B198,INV_ID,0)),"CHECK: Supplier ID not found"))</f>
        <v/>
      </c>
      <c r="D198" s="34"/>
      <c r="E198" s="34"/>
      <c r="F198" s="50"/>
      <c r="G198" s="34"/>
      <c r="H198" s="34"/>
      <c r="I198" s="34"/>
      <c r="J198" s="34"/>
      <c r="K198" s="34"/>
      <c r="L198" s="34"/>
      <c r="M198" s="34"/>
      <c r="N198" s="34"/>
      <c r="O198" s="34"/>
      <c r="P198" s="51"/>
      <c r="Q198" s="54" t="str">
        <f aca="false">IF(A198="","",IF(I198="Gap identified",IF(OR(N198="Amended",N198="Accepted - exception approved",N198="No action required",N198="Not applicable",N198="Withdrawn"),"Gap dispositioned","Open gap"),IF(I198="Not reviewed","Not reviewed",IF(I198="Clause present - legal review pending","Present - legal review pending",IF(I198="Clause reviewed - no gap noted","Reviewed - no gap noted (not a legal compliance conclusion)",IF(I198="Not applicable","Not applicable","Not reviewed"))))))</f>
        <v/>
      </c>
      <c r="R198" s="54" t="str">
        <f aca="false">IF(A198="","",IF(COUNTIF(CON_ID,A198)&gt;1,"CHECK: duplicate ID",IF(B198="","CHECK: Supplier ID missing",IF(COUNTIF(INV_ID,B198)=0,"CHECK: Supplier ID not in inventory",IF(AND(F198&lt;&gt;"",COUNTIF(RSK_ID,F198)=0),"CHECK: Risk ID not found",IF(AND(F198&lt;&gt;"",COUNTIF(RSK_ID,F198)&gt;0,IFERROR(INDEX(RSK_SUP,MATCH(F198,RSK_ID,0)),"")&lt;&gt;B198),"CHECK: Risk belongs to a different supplier",IF(AND(N198="Accepted - exception approved",O198=""),"CHECK: exception approval reference missing","OK")))))))</f>
        <v/>
      </c>
      <c r="S198" s="61" t="str">
        <f aca="false">IF(OR(A198="",B198=""),"",IF(AND(Q198="Open gap",B198=RptSup),B198&amp;"|"&amp;COUNTIFS($B$7:B198,B198,$Q$7:Q198,"Open gap"),""))</f>
        <v/>
      </c>
    </row>
    <row r="199" customFormat="false" ht="15" hidden="false" customHeight="false" outlineLevel="0" collapsed="false">
      <c r="A199" s="50"/>
      <c r="B199" s="50"/>
      <c r="C199" s="59" t="str">
        <f aca="false">IF(B199="","",IFERROR(INDEX(INV_NAME,MATCH(B199,INV_ID,0)),"CHECK: Supplier ID not found"))</f>
        <v/>
      </c>
      <c r="D199" s="34"/>
      <c r="E199" s="34"/>
      <c r="F199" s="50"/>
      <c r="G199" s="34"/>
      <c r="H199" s="34"/>
      <c r="I199" s="34"/>
      <c r="J199" s="34"/>
      <c r="K199" s="34"/>
      <c r="L199" s="34"/>
      <c r="M199" s="34"/>
      <c r="N199" s="34"/>
      <c r="O199" s="34"/>
      <c r="P199" s="51"/>
      <c r="Q199" s="54" t="str">
        <f aca="false">IF(A199="","",IF(I199="Gap identified",IF(OR(N199="Amended",N199="Accepted - exception approved",N199="No action required",N199="Not applicable",N199="Withdrawn"),"Gap dispositioned","Open gap"),IF(I199="Not reviewed","Not reviewed",IF(I199="Clause present - legal review pending","Present - legal review pending",IF(I199="Clause reviewed - no gap noted","Reviewed - no gap noted (not a legal compliance conclusion)",IF(I199="Not applicable","Not applicable","Not reviewed"))))))</f>
        <v/>
      </c>
      <c r="R199" s="54" t="str">
        <f aca="false">IF(A199="","",IF(COUNTIF(CON_ID,A199)&gt;1,"CHECK: duplicate ID",IF(B199="","CHECK: Supplier ID missing",IF(COUNTIF(INV_ID,B199)=0,"CHECK: Supplier ID not in inventory",IF(AND(F199&lt;&gt;"",COUNTIF(RSK_ID,F199)=0),"CHECK: Risk ID not found",IF(AND(F199&lt;&gt;"",COUNTIF(RSK_ID,F199)&gt;0,IFERROR(INDEX(RSK_SUP,MATCH(F199,RSK_ID,0)),"")&lt;&gt;B199),"CHECK: Risk belongs to a different supplier",IF(AND(N199="Accepted - exception approved",O199=""),"CHECK: exception approval reference missing","OK")))))))</f>
        <v/>
      </c>
      <c r="S199" s="61" t="str">
        <f aca="false">IF(OR(A199="",B199=""),"",IF(AND(Q199="Open gap",B199=RptSup),B199&amp;"|"&amp;COUNTIFS($B$7:B199,B199,$Q$7:Q199,"Open gap"),""))</f>
        <v/>
      </c>
    </row>
    <row r="200" customFormat="false" ht="15" hidden="false" customHeight="false" outlineLevel="0" collapsed="false">
      <c r="A200" s="50"/>
      <c r="B200" s="50"/>
      <c r="C200" s="59" t="str">
        <f aca="false">IF(B200="","",IFERROR(INDEX(INV_NAME,MATCH(B200,INV_ID,0)),"CHECK: Supplier ID not found"))</f>
        <v/>
      </c>
      <c r="D200" s="34"/>
      <c r="E200" s="34"/>
      <c r="F200" s="50"/>
      <c r="G200" s="34"/>
      <c r="H200" s="34"/>
      <c r="I200" s="34"/>
      <c r="J200" s="34"/>
      <c r="K200" s="34"/>
      <c r="L200" s="34"/>
      <c r="M200" s="34"/>
      <c r="N200" s="34"/>
      <c r="O200" s="34"/>
      <c r="P200" s="51"/>
      <c r="Q200" s="54" t="str">
        <f aca="false">IF(A200="","",IF(I200="Gap identified",IF(OR(N200="Amended",N200="Accepted - exception approved",N200="No action required",N200="Not applicable",N200="Withdrawn"),"Gap dispositioned","Open gap"),IF(I200="Not reviewed","Not reviewed",IF(I200="Clause present - legal review pending","Present - legal review pending",IF(I200="Clause reviewed - no gap noted","Reviewed - no gap noted (not a legal compliance conclusion)",IF(I200="Not applicable","Not applicable","Not reviewed"))))))</f>
        <v/>
      </c>
      <c r="R200" s="54" t="str">
        <f aca="false">IF(A200="","",IF(COUNTIF(CON_ID,A200)&gt;1,"CHECK: duplicate ID",IF(B200="","CHECK: Supplier ID missing",IF(COUNTIF(INV_ID,B200)=0,"CHECK: Supplier ID not in inventory",IF(AND(F200&lt;&gt;"",COUNTIF(RSK_ID,F200)=0),"CHECK: Risk ID not found",IF(AND(F200&lt;&gt;"",COUNTIF(RSK_ID,F200)&gt;0,IFERROR(INDEX(RSK_SUP,MATCH(F200,RSK_ID,0)),"")&lt;&gt;B200),"CHECK: Risk belongs to a different supplier",IF(AND(N200="Accepted - exception approved",O200=""),"CHECK: exception approval reference missing","OK")))))))</f>
        <v/>
      </c>
      <c r="S200" s="61" t="str">
        <f aca="false">IF(OR(A200="",B200=""),"",IF(AND(Q200="Open gap",B200=RptSup),B200&amp;"|"&amp;COUNTIFS($B$7:B200,B200,$Q$7:Q200,"Open gap"),""))</f>
        <v/>
      </c>
    </row>
    <row r="201" customFormat="false" ht="15" hidden="false" customHeight="false" outlineLevel="0" collapsed="false">
      <c r="A201" s="50"/>
      <c r="B201" s="50"/>
      <c r="C201" s="59" t="str">
        <f aca="false">IF(B201="","",IFERROR(INDEX(INV_NAME,MATCH(B201,INV_ID,0)),"CHECK: Supplier ID not found"))</f>
        <v/>
      </c>
      <c r="D201" s="34"/>
      <c r="E201" s="34"/>
      <c r="F201" s="50"/>
      <c r="G201" s="34"/>
      <c r="H201" s="34"/>
      <c r="I201" s="34"/>
      <c r="J201" s="34"/>
      <c r="K201" s="34"/>
      <c r="L201" s="34"/>
      <c r="M201" s="34"/>
      <c r="N201" s="34"/>
      <c r="O201" s="34"/>
      <c r="P201" s="51"/>
      <c r="Q201" s="54" t="str">
        <f aca="false">IF(A201="","",IF(I201="Gap identified",IF(OR(N201="Amended",N201="Accepted - exception approved",N201="No action required",N201="Not applicable",N201="Withdrawn"),"Gap dispositioned","Open gap"),IF(I201="Not reviewed","Not reviewed",IF(I201="Clause present - legal review pending","Present - legal review pending",IF(I201="Clause reviewed - no gap noted","Reviewed - no gap noted (not a legal compliance conclusion)",IF(I201="Not applicable","Not applicable","Not reviewed"))))))</f>
        <v/>
      </c>
      <c r="R201" s="54" t="str">
        <f aca="false">IF(A201="","",IF(COUNTIF(CON_ID,A201)&gt;1,"CHECK: duplicate ID",IF(B201="","CHECK: Supplier ID missing",IF(COUNTIF(INV_ID,B201)=0,"CHECK: Supplier ID not in inventory",IF(AND(F201&lt;&gt;"",COUNTIF(RSK_ID,F201)=0),"CHECK: Risk ID not found",IF(AND(F201&lt;&gt;"",COUNTIF(RSK_ID,F201)&gt;0,IFERROR(INDEX(RSK_SUP,MATCH(F201,RSK_ID,0)),"")&lt;&gt;B201),"CHECK: Risk belongs to a different supplier",IF(AND(N201="Accepted - exception approved",O201=""),"CHECK: exception approval reference missing","OK")))))))</f>
        <v/>
      </c>
      <c r="S201" s="61" t="str">
        <f aca="false">IF(OR(A201="",B201=""),"",IF(AND(Q201="Open gap",B201=RptSup),B201&amp;"|"&amp;COUNTIFS($B$7:B201,B201,$Q$7:Q201,"Open gap"),""))</f>
        <v/>
      </c>
    </row>
    <row r="202" customFormat="false" ht="15" hidden="false" customHeight="false" outlineLevel="0" collapsed="false">
      <c r="A202" s="50"/>
      <c r="B202" s="50"/>
      <c r="C202" s="59" t="str">
        <f aca="false">IF(B202="","",IFERROR(INDEX(INV_NAME,MATCH(B202,INV_ID,0)),"CHECK: Supplier ID not found"))</f>
        <v/>
      </c>
      <c r="D202" s="34"/>
      <c r="E202" s="34"/>
      <c r="F202" s="50"/>
      <c r="G202" s="34"/>
      <c r="H202" s="34"/>
      <c r="I202" s="34"/>
      <c r="J202" s="34"/>
      <c r="K202" s="34"/>
      <c r="L202" s="34"/>
      <c r="M202" s="34"/>
      <c r="N202" s="34"/>
      <c r="O202" s="34"/>
      <c r="P202" s="51"/>
      <c r="Q202" s="54" t="str">
        <f aca="false">IF(A202="","",IF(I202="Gap identified",IF(OR(N202="Amended",N202="Accepted - exception approved",N202="No action required",N202="Not applicable",N202="Withdrawn"),"Gap dispositioned","Open gap"),IF(I202="Not reviewed","Not reviewed",IF(I202="Clause present - legal review pending","Present - legal review pending",IF(I202="Clause reviewed - no gap noted","Reviewed - no gap noted (not a legal compliance conclusion)",IF(I202="Not applicable","Not applicable","Not reviewed"))))))</f>
        <v/>
      </c>
      <c r="R202" s="54" t="str">
        <f aca="false">IF(A202="","",IF(COUNTIF(CON_ID,A202)&gt;1,"CHECK: duplicate ID",IF(B202="","CHECK: Supplier ID missing",IF(COUNTIF(INV_ID,B202)=0,"CHECK: Supplier ID not in inventory",IF(AND(F202&lt;&gt;"",COUNTIF(RSK_ID,F202)=0),"CHECK: Risk ID not found",IF(AND(F202&lt;&gt;"",COUNTIF(RSK_ID,F202)&gt;0,IFERROR(INDEX(RSK_SUP,MATCH(F202,RSK_ID,0)),"")&lt;&gt;B202),"CHECK: Risk belongs to a different supplier",IF(AND(N202="Accepted - exception approved",O202=""),"CHECK: exception approval reference missing","OK")))))))</f>
        <v/>
      </c>
      <c r="S202" s="61" t="str">
        <f aca="false">IF(OR(A202="",B202=""),"",IF(AND(Q202="Open gap",B202=RptSup),B202&amp;"|"&amp;COUNTIFS($B$7:B202,B202,$Q$7:Q202,"Open gap"),""))</f>
        <v/>
      </c>
    </row>
    <row r="203" customFormat="false" ht="15" hidden="false" customHeight="false" outlineLevel="0" collapsed="false">
      <c r="A203" s="50"/>
      <c r="B203" s="50"/>
      <c r="C203" s="59" t="str">
        <f aca="false">IF(B203="","",IFERROR(INDEX(INV_NAME,MATCH(B203,INV_ID,0)),"CHECK: Supplier ID not found"))</f>
        <v/>
      </c>
      <c r="D203" s="34"/>
      <c r="E203" s="34"/>
      <c r="F203" s="50"/>
      <c r="G203" s="34"/>
      <c r="H203" s="34"/>
      <c r="I203" s="34"/>
      <c r="J203" s="34"/>
      <c r="K203" s="34"/>
      <c r="L203" s="34"/>
      <c r="M203" s="34"/>
      <c r="N203" s="34"/>
      <c r="O203" s="34"/>
      <c r="P203" s="51"/>
      <c r="Q203" s="54" t="str">
        <f aca="false">IF(A203="","",IF(I203="Gap identified",IF(OR(N203="Amended",N203="Accepted - exception approved",N203="No action required",N203="Not applicable",N203="Withdrawn"),"Gap dispositioned","Open gap"),IF(I203="Not reviewed","Not reviewed",IF(I203="Clause present - legal review pending","Present - legal review pending",IF(I203="Clause reviewed - no gap noted","Reviewed - no gap noted (not a legal compliance conclusion)",IF(I203="Not applicable","Not applicable","Not reviewed"))))))</f>
        <v/>
      </c>
      <c r="R203" s="54" t="str">
        <f aca="false">IF(A203="","",IF(COUNTIF(CON_ID,A203)&gt;1,"CHECK: duplicate ID",IF(B203="","CHECK: Supplier ID missing",IF(COUNTIF(INV_ID,B203)=0,"CHECK: Supplier ID not in inventory",IF(AND(F203&lt;&gt;"",COUNTIF(RSK_ID,F203)=0),"CHECK: Risk ID not found",IF(AND(F203&lt;&gt;"",COUNTIF(RSK_ID,F203)&gt;0,IFERROR(INDEX(RSK_SUP,MATCH(F203,RSK_ID,0)),"")&lt;&gt;B203),"CHECK: Risk belongs to a different supplier",IF(AND(N203="Accepted - exception approved",O203=""),"CHECK: exception approval reference missing","OK")))))))</f>
        <v/>
      </c>
      <c r="S203" s="61" t="str">
        <f aca="false">IF(OR(A203="",B203=""),"",IF(AND(Q203="Open gap",B203=RptSup),B203&amp;"|"&amp;COUNTIFS($B$7:B203,B203,$Q$7:Q203,"Open gap"),""))</f>
        <v/>
      </c>
    </row>
    <row r="204" customFormat="false" ht="15" hidden="false" customHeight="false" outlineLevel="0" collapsed="false">
      <c r="A204" s="50"/>
      <c r="B204" s="50"/>
      <c r="C204" s="59" t="str">
        <f aca="false">IF(B204="","",IFERROR(INDEX(INV_NAME,MATCH(B204,INV_ID,0)),"CHECK: Supplier ID not found"))</f>
        <v/>
      </c>
      <c r="D204" s="34"/>
      <c r="E204" s="34"/>
      <c r="F204" s="50"/>
      <c r="G204" s="34"/>
      <c r="H204" s="34"/>
      <c r="I204" s="34"/>
      <c r="J204" s="34"/>
      <c r="K204" s="34"/>
      <c r="L204" s="34"/>
      <c r="M204" s="34"/>
      <c r="N204" s="34"/>
      <c r="O204" s="34"/>
      <c r="P204" s="51"/>
      <c r="Q204" s="54" t="str">
        <f aca="false">IF(A204="","",IF(I204="Gap identified",IF(OR(N204="Amended",N204="Accepted - exception approved",N204="No action required",N204="Not applicable",N204="Withdrawn"),"Gap dispositioned","Open gap"),IF(I204="Not reviewed","Not reviewed",IF(I204="Clause present - legal review pending","Present - legal review pending",IF(I204="Clause reviewed - no gap noted","Reviewed - no gap noted (not a legal compliance conclusion)",IF(I204="Not applicable","Not applicable","Not reviewed"))))))</f>
        <v/>
      </c>
      <c r="R204" s="54" t="str">
        <f aca="false">IF(A204="","",IF(COUNTIF(CON_ID,A204)&gt;1,"CHECK: duplicate ID",IF(B204="","CHECK: Supplier ID missing",IF(COUNTIF(INV_ID,B204)=0,"CHECK: Supplier ID not in inventory",IF(AND(F204&lt;&gt;"",COUNTIF(RSK_ID,F204)=0),"CHECK: Risk ID not found",IF(AND(F204&lt;&gt;"",COUNTIF(RSK_ID,F204)&gt;0,IFERROR(INDEX(RSK_SUP,MATCH(F204,RSK_ID,0)),"")&lt;&gt;B204),"CHECK: Risk belongs to a different supplier",IF(AND(N204="Accepted - exception approved",O204=""),"CHECK: exception approval reference missing","OK")))))))</f>
        <v/>
      </c>
      <c r="S204" s="61" t="str">
        <f aca="false">IF(OR(A204="",B204=""),"",IF(AND(Q204="Open gap",B204=RptSup),B204&amp;"|"&amp;COUNTIFS($B$7:B204,B204,$Q$7:Q204,"Open gap"),""))</f>
        <v/>
      </c>
    </row>
    <row r="205" customFormat="false" ht="15" hidden="false" customHeight="false" outlineLevel="0" collapsed="false">
      <c r="A205" s="50"/>
      <c r="B205" s="50"/>
      <c r="C205" s="59" t="str">
        <f aca="false">IF(B205="","",IFERROR(INDEX(INV_NAME,MATCH(B205,INV_ID,0)),"CHECK: Supplier ID not found"))</f>
        <v/>
      </c>
      <c r="D205" s="34"/>
      <c r="E205" s="34"/>
      <c r="F205" s="50"/>
      <c r="G205" s="34"/>
      <c r="H205" s="34"/>
      <c r="I205" s="34"/>
      <c r="J205" s="34"/>
      <c r="K205" s="34"/>
      <c r="L205" s="34"/>
      <c r="M205" s="34"/>
      <c r="N205" s="34"/>
      <c r="O205" s="34"/>
      <c r="P205" s="51"/>
      <c r="Q205" s="54" t="str">
        <f aca="false">IF(A205="","",IF(I205="Gap identified",IF(OR(N205="Amended",N205="Accepted - exception approved",N205="No action required",N205="Not applicable",N205="Withdrawn"),"Gap dispositioned","Open gap"),IF(I205="Not reviewed","Not reviewed",IF(I205="Clause present - legal review pending","Present - legal review pending",IF(I205="Clause reviewed - no gap noted","Reviewed - no gap noted (not a legal compliance conclusion)",IF(I205="Not applicable","Not applicable","Not reviewed"))))))</f>
        <v/>
      </c>
      <c r="R205" s="54" t="str">
        <f aca="false">IF(A205="","",IF(COUNTIF(CON_ID,A205)&gt;1,"CHECK: duplicate ID",IF(B205="","CHECK: Supplier ID missing",IF(COUNTIF(INV_ID,B205)=0,"CHECK: Supplier ID not in inventory",IF(AND(F205&lt;&gt;"",COUNTIF(RSK_ID,F205)=0),"CHECK: Risk ID not found",IF(AND(F205&lt;&gt;"",COUNTIF(RSK_ID,F205)&gt;0,IFERROR(INDEX(RSK_SUP,MATCH(F205,RSK_ID,0)),"")&lt;&gt;B205),"CHECK: Risk belongs to a different supplier",IF(AND(N205="Accepted - exception approved",O205=""),"CHECK: exception approval reference missing","OK")))))))</f>
        <v/>
      </c>
      <c r="S205" s="61" t="str">
        <f aca="false">IF(OR(A205="",B205=""),"",IF(AND(Q205="Open gap",B205=RptSup),B205&amp;"|"&amp;COUNTIFS($B$7:B205,B205,$Q$7:Q205,"Open gap"),""))</f>
        <v/>
      </c>
    </row>
    <row r="206" customFormat="false" ht="15" hidden="false" customHeight="false" outlineLevel="0" collapsed="false">
      <c r="A206" s="50"/>
      <c r="B206" s="50"/>
      <c r="C206" s="59" t="str">
        <f aca="false">IF(B206="","",IFERROR(INDEX(INV_NAME,MATCH(B206,INV_ID,0)),"CHECK: Supplier ID not found"))</f>
        <v/>
      </c>
      <c r="D206" s="34"/>
      <c r="E206" s="34"/>
      <c r="F206" s="50"/>
      <c r="G206" s="34"/>
      <c r="H206" s="34"/>
      <c r="I206" s="34"/>
      <c r="J206" s="34"/>
      <c r="K206" s="34"/>
      <c r="L206" s="34"/>
      <c r="M206" s="34"/>
      <c r="N206" s="34"/>
      <c r="O206" s="34"/>
      <c r="P206" s="51"/>
      <c r="Q206" s="54" t="str">
        <f aca="false">IF(A206="","",IF(I206="Gap identified",IF(OR(N206="Amended",N206="Accepted - exception approved",N206="No action required",N206="Not applicable",N206="Withdrawn"),"Gap dispositioned","Open gap"),IF(I206="Not reviewed","Not reviewed",IF(I206="Clause present - legal review pending","Present - legal review pending",IF(I206="Clause reviewed - no gap noted","Reviewed - no gap noted (not a legal compliance conclusion)",IF(I206="Not applicable","Not applicable","Not reviewed"))))))</f>
        <v/>
      </c>
      <c r="R206" s="54" t="str">
        <f aca="false">IF(A206="","",IF(COUNTIF(CON_ID,A206)&gt;1,"CHECK: duplicate ID",IF(B206="","CHECK: Supplier ID missing",IF(COUNTIF(INV_ID,B206)=0,"CHECK: Supplier ID not in inventory",IF(AND(F206&lt;&gt;"",COUNTIF(RSK_ID,F206)=0),"CHECK: Risk ID not found",IF(AND(F206&lt;&gt;"",COUNTIF(RSK_ID,F206)&gt;0,IFERROR(INDEX(RSK_SUP,MATCH(F206,RSK_ID,0)),"")&lt;&gt;B206),"CHECK: Risk belongs to a different supplier",IF(AND(N206="Accepted - exception approved",O206=""),"CHECK: exception approval reference missing","OK")))))))</f>
        <v/>
      </c>
      <c r="S206" s="61" t="str">
        <f aca="false">IF(OR(A206="",B206=""),"",IF(AND(Q206="Open gap",B206=RptSup),B206&amp;"|"&amp;COUNTIFS($B$7:B206,B206,$Q$7:Q206,"Open gap"),""))</f>
        <v/>
      </c>
    </row>
  </sheetData>
  <sheetProtection sheet="true" formatColumns="false" formatRows="false" sort="false" autoFilter="false"/>
  <conditionalFormatting sqref="Q7:Q206">
    <cfRule type="expression" priority="2" aboveAverage="0" equalAverage="0" bottom="0" percent="0" rank="0" text="" dxfId="0">
      <formula>OR(ISNUMBER(SEARCH("Above appetite",Q7)),ISNUMBER(SEARCH("Overdue",Q7)),ISNUMBER(SEARCH("Expired",Q7)),ISNUMBER(SEARCH("Breach",Q7)),ISNUMBER(SEARCH("CHECK",Q7)),ISNUMBER(SEARCH("Not ready",Q7)),ISNUMBER(SEARCH("REMAINS",Q7)),ISNUMBER(SEARCH("Failed",Q7)),ISNUMBER(SEARCH("Cannot assess",Q7)))</formula>
    </cfRule>
    <cfRule type="expression" priority="3" aboveAverage="0" equalAverage="0" bottom="0" percent="0" rank="0" text="" dxfId="21">
      <formula>OR(ISNUMBER(SEARCH("Incomplete",Q7)),ISNUMBER(SEARCH("Pending",Q7)),ISNUMBER(SEARCH("Approaching",Q7)),ISNUMBER(SEARCH("insufficient",Q7)),ISNUMBER(SEARCH("Awaiting",Q7)),ISNUMBER(SEARCH("Review due",Q7)),ISNUMBER(SEARCH("Not configured",Q7)),ISNUMBER(SEARCH("Not classified",Q7)),ISNUMBER(SEARCH("Proposed",Q7)),ISNUMBER(SEARCH("Verification",Q7)),ISNUMBER(SEARCH("Scope limitation",Q7)),ISNUMBER(SEARCH("Follow-up",Q7)),ISNUMBER(SEARCH("Open gap",Q7)),ISNUMBER(SEARCH("Delivered - verification",Q7)),ISNUMBER(SEARCH("Historical",Q7)),ISNUMBER(SEARCH("Not scheduled",Q7)),ISNUMBER(SEARCH("Not determined",Q7)),ISNUMBER(SEARCH("Decision record",Q7)),ISNUMBER(SEARCH("Due soon",Q7)),ISNUMBER(SEARCH("Not reviewed",Q7)),ISNUMBER(SEARCH("Tier not",Q7)),ISNUMBER(SEARCH("No decision",Q7)),ISNUMBER(SEARCH("Superseded",Q7)),ISNUMBER(SEARCH("Optional",Q7)),ISNUMBER(SEARCH("legal review",Q7)),ISNUMBER(SEARCH("No treatment",Q7)),ISNUMBER(SEARCH("not recorded",Q7)),ISNUMBER(SEARCH("consider",Q7)),ISNUMBER(SEARCH("Not set",Q7)),ISNUMBER(SEARCH("Not started",Q7)),ISNUMBER(SEARCH("No expiry",Q7)),ISNUMBER(SEARCH("No KRI",Q7)),ISNUMBER(SEARCH("no reassessment",Q7)),ISNUMBER(SEARCH("Applicability",Q7)),ISNUMBER(SEARCH("Not current",Q7)),ISNUMBER(SEARCH("assess relevance",Q7)))</formula>
    </cfRule>
    <cfRule type="expression" priority="4" aboveAverage="0" equalAverage="0" bottom="0" percent="0" rank="0" text="" dxfId="22">
      <formula>OR(LEFT(Q7,2)="OK",LEFT(Q7,8)="Complete",LEFT(Q7,7)="Current",LEFT(Q7,10)="Authorised",LEFT(Q7,6)="Within",LEFT(Q7,11)="On schedule",LEFT(Q7,17)="Ready for closure",LEFT(Q7,17)="Evidence reviewed",LEFT(Q7,19)="Decision referenced",LEFT(Q7,27)="Reassessment event recorded",LEFT(Q7,14)="Period current",LEFT(Q7,17)="Gap dispositioned",LEFT(Q7,17)="Reviewed - no gap",LEFT(Q7,11)="Recommended",LEFT(Q7,17)="Closed - verified")</formula>
    </cfRule>
  </conditionalFormatting>
  <conditionalFormatting sqref="R7:R206">
    <cfRule type="expression" priority="5" aboveAverage="0" equalAverage="0" bottom="0" percent="0" rank="0" text="" dxfId="0">
      <formula>OR(ISNUMBER(SEARCH("Above appetite",R7)),ISNUMBER(SEARCH("Overdue",R7)),ISNUMBER(SEARCH("Expired",R7)),ISNUMBER(SEARCH("Breach",R7)),ISNUMBER(SEARCH("CHECK",R7)),ISNUMBER(SEARCH("Not ready",R7)),ISNUMBER(SEARCH("REMAINS",R7)),ISNUMBER(SEARCH("Failed",R7)),ISNUMBER(SEARCH("Cannot assess",R7)))</formula>
    </cfRule>
    <cfRule type="expression" priority="6" aboveAverage="0" equalAverage="0" bottom="0" percent="0" rank="0" text="" dxfId="21">
      <formula>OR(ISNUMBER(SEARCH("Incomplete",R7)),ISNUMBER(SEARCH("Pending",R7)),ISNUMBER(SEARCH("Approaching",R7)),ISNUMBER(SEARCH("insufficient",R7)),ISNUMBER(SEARCH("Awaiting",R7)),ISNUMBER(SEARCH("Review due",R7)),ISNUMBER(SEARCH("Not configured",R7)),ISNUMBER(SEARCH("Not classified",R7)),ISNUMBER(SEARCH("Proposed",R7)),ISNUMBER(SEARCH("Verification",R7)),ISNUMBER(SEARCH("Scope limitation",R7)),ISNUMBER(SEARCH("Follow-up",R7)),ISNUMBER(SEARCH("Open gap",R7)),ISNUMBER(SEARCH("Delivered - verification",R7)),ISNUMBER(SEARCH("Historical",R7)),ISNUMBER(SEARCH("Not scheduled",R7)),ISNUMBER(SEARCH("Not determined",R7)),ISNUMBER(SEARCH("Decision record",R7)),ISNUMBER(SEARCH("Due soon",R7)),ISNUMBER(SEARCH("Not reviewed",R7)),ISNUMBER(SEARCH("Tier not",R7)),ISNUMBER(SEARCH("No decision",R7)),ISNUMBER(SEARCH("Superseded",R7)),ISNUMBER(SEARCH("Optional",R7)),ISNUMBER(SEARCH("legal review",R7)),ISNUMBER(SEARCH("No treatment",R7)),ISNUMBER(SEARCH("not recorded",R7)),ISNUMBER(SEARCH("consider",R7)),ISNUMBER(SEARCH("Not set",R7)),ISNUMBER(SEARCH("Not started",R7)),ISNUMBER(SEARCH("No expiry",R7)),ISNUMBER(SEARCH("No KRI",R7)),ISNUMBER(SEARCH("no reassessment",R7)),ISNUMBER(SEARCH("Applicability",R7)),ISNUMBER(SEARCH("Not current",R7)),ISNUMBER(SEARCH("assess relevance",R7)))</formula>
    </cfRule>
    <cfRule type="expression" priority="7" aboveAverage="0" equalAverage="0" bottom="0" percent="0" rank="0" text="" dxfId="22">
      <formula>OR(LEFT(R7,2)="OK",LEFT(R7,8)="Complete",LEFT(R7,7)="Current",LEFT(R7,10)="Authorised",LEFT(R7,6)="Within",LEFT(R7,11)="On schedule",LEFT(R7,17)="Ready for closure",LEFT(R7,17)="Evidence reviewed",LEFT(R7,19)="Decision referenced",LEFT(R7,27)="Reassessment event recorded",LEFT(R7,14)="Period current",LEFT(R7,17)="Gap dispositioned",LEFT(R7,17)="Reviewed - no gap",LEFT(R7,11)="Recommended",LEFT(R7,17)="Closed - verified")</formula>
    </cfRule>
  </conditionalFormatting>
  <conditionalFormatting sqref="S7:S206">
    <cfRule type="expression" priority="8" aboveAverage="0" equalAverage="0" bottom="0" percent="0" rank="0" text="" dxfId="0">
      <formula>OR(ISNUMBER(SEARCH("Above appetite",S7)),ISNUMBER(SEARCH("Overdue",S7)),ISNUMBER(SEARCH("Expired",S7)),ISNUMBER(SEARCH("Breach",S7)),ISNUMBER(SEARCH("CHECK",S7)),ISNUMBER(SEARCH("Not ready",S7)),ISNUMBER(SEARCH("REMAINS",S7)),ISNUMBER(SEARCH("Failed",S7)),ISNUMBER(SEARCH("Cannot assess",S7)))</formula>
    </cfRule>
    <cfRule type="expression" priority="9" aboveAverage="0" equalAverage="0" bottom="0" percent="0" rank="0" text="" dxfId="21">
      <formula>OR(ISNUMBER(SEARCH("Incomplete",S7)),ISNUMBER(SEARCH("Pending",S7)),ISNUMBER(SEARCH("Approaching",S7)),ISNUMBER(SEARCH("insufficient",S7)),ISNUMBER(SEARCH("Awaiting",S7)),ISNUMBER(SEARCH("Review due",S7)),ISNUMBER(SEARCH("Not configured",S7)),ISNUMBER(SEARCH("Not classified",S7)),ISNUMBER(SEARCH("Proposed",S7)),ISNUMBER(SEARCH("Verification",S7)),ISNUMBER(SEARCH("Scope limitation",S7)),ISNUMBER(SEARCH("Follow-up",S7)),ISNUMBER(SEARCH("Open gap",S7)),ISNUMBER(SEARCH("Delivered - verification",S7)),ISNUMBER(SEARCH("Historical",S7)),ISNUMBER(SEARCH("Not scheduled",S7)),ISNUMBER(SEARCH("Not determined",S7)),ISNUMBER(SEARCH("Decision record",S7)),ISNUMBER(SEARCH("Due soon",S7)),ISNUMBER(SEARCH("Not reviewed",S7)),ISNUMBER(SEARCH("Tier not",S7)),ISNUMBER(SEARCH("No decision",S7)),ISNUMBER(SEARCH("Superseded",S7)),ISNUMBER(SEARCH("Optional",S7)),ISNUMBER(SEARCH("legal review",S7)),ISNUMBER(SEARCH("No treatment",S7)),ISNUMBER(SEARCH("not recorded",S7)),ISNUMBER(SEARCH("consider",S7)),ISNUMBER(SEARCH("Not set",S7)),ISNUMBER(SEARCH("Not started",S7)),ISNUMBER(SEARCH("No expiry",S7)),ISNUMBER(SEARCH("No KRI",S7)),ISNUMBER(SEARCH("no reassessment",S7)),ISNUMBER(SEARCH("Applicability",S7)),ISNUMBER(SEARCH("Not current",S7)),ISNUMBER(SEARCH("assess relevance",S7)))</formula>
    </cfRule>
    <cfRule type="expression" priority="10" aboveAverage="0" equalAverage="0" bottom="0" percent="0" rank="0" text="" dxfId="22">
      <formula>OR(LEFT(S7,2)="OK",LEFT(S7,8)="Complete",LEFT(S7,7)="Current",LEFT(S7,10)="Authorised",LEFT(S7,6)="Within",LEFT(S7,11)="On schedule",LEFT(S7,17)="Ready for closure",LEFT(S7,17)="Evidence reviewed",LEFT(S7,19)="Decision referenced",LEFT(S7,27)="Reassessment event recorded",LEFT(S7,14)="Period current",LEFT(S7,17)="Gap dispositioned",LEFT(S7,17)="Reviewed - no gap",LEFT(S7,11)="Recommended",LEFT(S7,17)="Closed - verified")</formula>
    </cfRule>
  </conditionalFormatting>
  <conditionalFormatting sqref="A7:A206">
    <cfRule type="expression" priority="11" aboveAverage="0" equalAverage="0" bottom="0" percent="0" rank="0" text="" dxfId="0">
      <formula>AND(A7&lt;&gt;"",COUNTIF($A$7:$A$206,A7)&gt;1)</formula>
    </cfRule>
  </conditionalFormatting>
  <dataValidations count="6">
    <dataValidation allowBlank="true" error="Enter a valid date (on or after 1 Jan 2000)." errorStyle="stop" errorTitle="Invalid date" operator="greaterThanOrEqual" showDropDown="false" showErrorMessage="true" showInputMessage="false" sqref="P7:P206" type="date">
      <formula1>36526</formula1>
      <formula2>0</formula2>
    </dataValidation>
    <dataValidation allowBlank="true" error="Choose a value from the list (controlled vocabulary or an existing ID)." errorStyle="stop" errorTitle="Invalid entry" operator="between" showDropDown="false" showErrorMessage="true" showInputMessage="false" sqref="B7:B206" type="list">
      <formula1>INV_ID</formula1>
      <formula2>0</formula2>
    </dataValidation>
    <dataValidation allowBlank="true" error="Choose a value from the list (controlled vocabulary or an existing ID)." errorStyle="stop" errorTitle="Invalid entry" operator="between" showDropDown="false" showErrorMessage="true" showInputMessage="false" sqref="E7:E206" type="list">
      <formula1>L_ConDomain</formula1>
      <formula2>0</formula2>
    </dataValidation>
    <dataValidation allowBlank="true" error="Choose a value from the list (controlled vocabulary or an existing ID)." errorStyle="stop" errorTitle="Invalid entry" operator="between" showDropDown="false" showErrorMessage="true" showInputMessage="false" sqref="F7:F206" type="list">
      <formula1>RSK_ID</formula1>
      <formula2>0</formula2>
    </dataValidation>
    <dataValidation allowBlank="true" error="Choose a value from the list (controlled vocabulary or an existing ID)." errorStyle="stop" errorTitle="Invalid entry" operator="between" showDropDown="false" showErrorMessage="true" showInputMessage="false" sqref="I7:I206" type="list">
      <formula1>L_ConReview</formula1>
      <formula2>0</formula2>
    </dataValidation>
    <dataValidation allowBlank="true" error="Choose a value from the list (controlled vocabulary or an existing ID)." errorStyle="stop" errorTitle="Invalid entry" operator="between" showDropDown="false" showErrorMessage="true" showInputMessage="false" sqref="N7:N206" type="list">
      <formula1>L_ConDisp</formula1>
      <formula2>0</formula2>
    </dataValidation>
  </dataValidations>
  <hyperlinks>
    <hyperlink ref="H1" r:id="rId1" location="'01%20Start%20Here'!A1" display="&lt;&lt; Back to Start Here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tableParts>
    <tablePart r:id="rId2"/>
  </tableParts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S20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6" topLeftCell="C7" activePane="bottomRight" state="frozen"/>
      <selection pane="topLeft" activeCell="A1" activeCellId="0" sqref="A1"/>
      <selection pane="topRight" activeCell="C1" activeCellId="0" sqref="C1"/>
      <selection pane="bottomLeft" activeCell="A7" activeCellId="0" sqref="A7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11"/>
    <col collapsed="false" customWidth="true" hidden="false" outlineLevel="0" max="2" min="2" style="1" width="12"/>
    <col collapsed="false" customWidth="true" hidden="false" outlineLevel="0" max="4" min="3" style="1" width="22"/>
    <col collapsed="false" customWidth="true" hidden="false" outlineLevel="0" max="6" min="5" style="1" width="13"/>
    <col collapsed="false" customWidth="true" hidden="false" outlineLevel="0" max="7" min="7" style="1" width="20"/>
    <col collapsed="false" customWidth="true" hidden="false" outlineLevel="0" max="8" min="8" style="1" width="24"/>
    <col collapsed="false" customWidth="true" hidden="false" outlineLevel="0" max="9" min="9" style="1" width="26"/>
    <col collapsed="false" customWidth="true" hidden="false" outlineLevel="0" max="11" min="10" style="1" width="10"/>
    <col collapsed="false" customWidth="true" hidden="false" outlineLevel="0" max="13" min="12" style="1" width="16"/>
    <col collapsed="false" customWidth="true" hidden="false" outlineLevel="0" max="14" min="14" style="1" width="24"/>
    <col collapsed="false" customWidth="true" hidden="false" outlineLevel="0" max="15" min="15" style="1" width="14"/>
    <col collapsed="false" customWidth="true" hidden="false" outlineLevel="0" max="16" min="16" style="1" width="22"/>
    <col collapsed="false" customWidth="true" hidden="false" outlineLevel="0" max="17" min="17" style="1" width="30"/>
    <col collapsed="false" customWidth="true" hidden="true" outlineLevel="0" max="18" min="18" style="1" width="10"/>
    <col collapsed="false" customWidth="true" hidden="false" outlineLevel="0" max="19" min="19" style="1" width="26"/>
  </cols>
  <sheetData>
    <row r="1" customFormat="false" ht="17.35" hidden="false" customHeight="false" outlineLevel="0" collapsed="false">
      <c r="A1" s="22" t="s">
        <v>30</v>
      </c>
      <c r="H1" s="10" t="s">
        <v>100</v>
      </c>
    </row>
    <row r="2" customFormat="false" ht="15" hidden="false" customHeight="false" outlineLevel="0" collapsed="false">
      <c r="A2" s="3" t="s">
        <v>1637</v>
      </c>
    </row>
    <row r="3" customFormat="false" ht="15" hidden="false" customHeight="false" outlineLevel="0" collapsed="false">
      <c r="A3" s="4" t="s">
        <v>1638</v>
      </c>
    </row>
    <row r="4" customFormat="false" ht="24" hidden="false" customHeight="true" outlineLevel="0" collapsed="false">
      <c r="A4" s="45" t="s">
        <v>69</v>
      </c>
      <c r="B4" s="45" t="s">
        <v>69</v>
      </c>
      <c r="C4" s="55" t="s">
        <v>73</v>
      </c>
      <c r="D4" s="45" t="s">
        <v>69</v>
      </c>
      <c r="E4" s="45" t="s">
        <v>69</v>
      </c>
      <c r="F4" s="45" t="s">
        <v>69</v>
      </c>
      <c r="G4" s="45" t="s">
        <v>69</v>
      </c>
      <c r="H4" s="45" t="s">
        <v>69</v>
      </c>
      <c r="I4" s="45" t="s">
        <v>69</v>
      </c>
      <c r="J4" s="45" t="s">
        <v>69</v>
      </c>
      <c r="K4" s="45" t="s">
        <v>69</v>
      </c>
      <c r="L4" s="45" t="s">
        <v>69</v>
      </c>
      <c r="M4" s="45" t="s">
        <v>69</v>
      </c>
      <c r="N4" s="45" t="s">
        <v>69</v>
      </c>
      <c r="O4" s="45" t="s">
        <v>69</v>
      </c>
      <c r="P4" s="46" t="s">
        <v>442</v>
      </c>
      <c r="Q4" s="46" t="s">
        <v>442</v>
      </c>
      <c r="R4" s="46" t="s">
        <v>442</v>
      </c>
      <c r="S4" s="46" t="s">
        <v>442</v>
      </c>
    </row>
    <row r="5" customFormat="false" ht="30" hidden="false" customHeight="true" outlineLevel="0" collapsed="false">
      <c r="A5" s="47" t="s">
        <v>1639</v>
      </c>
      <c r="B5" s="47" t="s">
        <v>443</v>
      </c>
      <c r="C5" s="47"/>
      <c r="D5" s="47" t="s">
        <v>1640</v>
      </c>
      <c r="E5" s="47" t="s">
        <v>1641</v>
      </c>
      <c r="F5" s="47" t="s">
        <v>1642</v>
      </c>
      <c r="G5" s="47"/>
      <c r="H5" s="47"/>
      <c r="I5" s="47" t="s">
        <v>1643</v>
      </c>
      <c r="J5" s="47" t="s">
        <v>1644</v>
      </c>
      <c r="K5" s="47" t="s">
        <v>1645</v>
      </c>
      <c r="L5" s="47" t="s">
        <v>1646</v>
      </c>
      <c r="M5" s="47"/>
      <c r="N5" s="47"/>
      <c r="O5" s="47" t="s">
        <v>1647</v>
      </c>
      <c r="P5" s="47"/>
      <c r="Q5" s="47"/>
      <c r="R5" s="47"/>
      <c r="S5" s="47"/>
    </row>
    <row r="6" customFormat="false" ht="48" hidden="false" customHeight="true" outlineLevel="0" collapsed="false">
      <c r="A6" s="48" t="s">
        <v>1648</v>
      </c>
      <c r="B6" s="48" t="s">
        <v>456</v>
      </c>
      <c r="C6" s="57" t="s">
        <v>538</v>
      </c>
      <c r="D6" s="48" t="s">
        <v>1649</v>
      </c>
      <c r="E6" s="48" t="s">
        <v>1650</v>
      </c>
      <c r="F6" s="48" t="s">
        <v>1651</v>
      </c>
      <c r="G6" s="48" t="s">
        <v>1652</v>
      </c>
      <c r="H6" s="48" t="s">
        <v>1653</v>
      </c>
      <c r="I6" s="48" t="s">
        <v>1654</v>
      </c>
      <c r="J6" s="48" t="s">
        <v>1655</v>
      </c>
      <c r="K6" s="48" t="s">
        <v>1656</v>
      </c>
      <c r="L6" s="48" t="s">
        <v>1657</v>
      </c>
      <c r="M6" s="48" t="s">
        <v>1409</v>
      </c>
      <c r="N6" s="48" t="s">
        <v>1658</v>
      </c>
      <c r="O6" s="48" t="s">
        <v>1659</v>
      </c>
      <c r="P6" s="49" t="s">
        <v>1660</v>
      </c>
      <c r="Q6" s="49" t="s">
        <v>1661</v>
      </c>
      <c r="R6" s="49" t="s">
        <v>1662</v>
      </c>
      <c r="S6" s="49" t="s">
        <v>560</v>
      </c>
    </row>
    <row r="7" customFormat="false" ht="23.85" hidden="false" customHeight="false" outlineLevel="0" collapsed="false">
      <c r="A7" s="50" t="s">
        <v>1663</v>
      </c>
      <c r="B7" s="50" t="s">
        <v>479</v>
      </c>
      <c r="C7" s="59" t="str">
        <f aca="false">IF(B7="","",IFERROR(INDEX(INV_NAME,MATCH(B7,INV_ID,0)),"CHECK: Supplier ID not found"))</f>
        <v>Northwind Cloud Hosting Ltd</v>
      </c>
      <c r="D7" s="34" t="s">
        <v>267</v>
      </c>
      <c r="E7" s="51" t="n">
        <v>46280</v>
      </c>
      <c r="F7" s="51" t="n">
        <v>46461</v>
      </c>
      <c r="G7" s="34" t="s">
        <v>1664</v>
      </c>
      <c r="H7" s="34" t="s">
        <v>1665</v>
      </c>
      <c r="I7" s="34" t="s">
        <v>1666</v>
      </c>
      <c r="J7" s="50" t="n">
        <v>2</v>
      </c>
      <c r="K7" s="50" t="n">
        <v>1</v>
      </c>
      <c r="L7" s="34" t="s">
        <v>269</v>
      </c>
      <c r="M7" s="50" t="s">
        <v>1170</v>
      </c>
      <c r="N7" s="34" t="s">
        <v>1667</v>
      </c>
      <c r="O7" s="50" t="s">
        <v>345</v>
      </c>
      <c r="P7" s="54" t="str">
        <f aca="false">IF(A7="","",IF(OR(I7="",NOT(ISNUMBER(J7)),NOT(ISNUMBER(K7))),"No KRI measured",IF(L7="Lower is worse",IF(J7&lt;K7,"Breach - threshold exceeded","Within threshold"),IF(J7&gt;K7,"Breach - threshold exceeded","Within threshold"))))</f>
        <v>Breach - threshold exceeded</v>
      </c>
      <c r="Q7" s="54" t="str">
        <f aca="false">IF(A7="","",IF(OR(O7="Completed",O7="Cancelled"),"Closed",IF(AND(ISNUMBER(E7),E7&lt;AsOf),"Overdue - late review (no finding implied)","Scheduled")))</f>
        <v>Closed</v>
      </c>
      <c r="R7" s="61" t="str">
        <f aca="false">IF(AND(O7="Completed",ISNUMBER(F7),E7=_xlfn.MAXIFS(MON_REVDATE,MON_SUP,B7,MON_STATUS,"Completed")),B7&amp;"|Latest","")</f>
        <v/>
      </c>
      <c r="S7" s="54" t="str">
        <f aca="false">IF(A7="","",IF(COUNTIF(MON_ID,A7)&gt;1,"CHECK: duplicate ID",IF(B7="","CHECK: Supplier ID missing",IF(COUNTIF(INV_ID,B7)=0,"CHECK: Supplier ID not in inventory","OK"))))</f>
        <v>OK</v>
      </c>
    </row>
    <row r="8" customFormat="false" ht="23.85" hidden="false" customHeight="false" outlineLevel="0" collapsed="false">
      <c r="A8" s="50" t="s">
        <v>1668</v>
      </c>
      <c r="B8" s="50" t="s">
        <v>479</v>
      </c>
      <c r="C8" s="59" t="str">
        <f aca="false">IF(B8="","",IFERROR(INDEX(INV_NAME,MATCH(B8,INV_ID,0)),"CHECK: Supplier ID not found"))</f>
        <v>Northwind Cloud Hosting Ltd</v>
      </c>
      <c r="D8" s="34" t="s">
        <v>411</v>
      </c>
      <c r="E8" s="51" t="n">
        <v>46297</v>
      </c>
      <c r="F8" s="51" t="n">
        <v>46358</v>
      </c>
      <c r="G8" s="34"/>
      <c r="H8" s="34"/>
      <c r="I8" s="34" t="s">
        <v>1669</v>
      </c>
      <c r="J8" s="50" t="n">
        <v>99.82</v>
      </c>
      <c r="K8" s="50" t="n">
        <v>99.9</v>
      </c>
      <c r="L8" s="34" t="s">
        <v>308</v>
      </c>
      <c r="M8" s="50" t="s">
        <v>1170</v>
      </c>
      <c r="N8" s="34" t="s">
        <v>1670</v>
      </c>
      <c r="O8" s="50" t="s">
        <v>345</v>
      </c>
      <c r="P8" s="54" t="str">
        <f aca="false">IF(A8="","",IF(OR(I8="",NOT(ISNUMBER(J8)),NOT(ISNUMBER(K8))),"No KRI measured",IF(L8="Lower is worse",IF(J8&lt;K8,"Breach - threshold exceeded","Within threshold"),IF(J8&gt;K8,"Breach - threshold exceeded","Within threshold"))))</f>
        <v>Breach - threshold exceeded</v>
      </c>
      <c r="Q8" s="54" t="str">
        <f aca="false">IF(A8="","",IF(OR(O8="Completed",O8="Cancelled"),"Closed",IF(AND(ISNUMBER(E8),E8&lt;AsOf),"Overdue - late review (no finding implied)","Scheduled")))</f>
        <v>Closed</v>
      </c>
      <c r="R8" s="61" t="str">
        <f aca="false">IF(AND(O8="Completed",ISNUMBER(F8),E8=_xlfn.MAXIFS(MON_REVDATE,MON_SUP,B8,MON_STATUS,"Completed")),B8&amp;"|Latest","")</f>
        <v>SUP-001|Latest</v>
      </c>
      <c r="S8" s="54" t="str">
        <f aca="false">IF(A8="","",IF(COUNTIF(MON_ID,A8)&gt;1,"CHECK: duplicate ID",IF(B8="","CHECK: Supplier ID missing",IF(COUNTIF(INV_ID,B8)=0,"CHECK: Supplier ID not in inventory","OK"))))</f>
        <v>OK</v>
      </c>
    </row>
    <row r="9" customFormat="false" ht="23.85" hidden="false" customHeight="false" outlineLevel="0" collapsed="false">
      <c r="A9" s="50" t="s">
        <v>1671</v>
      </c>
      <c r="B9" s="50" t="s">
        <v>489</v>
      </c>
      <c r="C9" s="59" t="str">
        <f aca="false">IF(B9="","",IFERROR(INDEX(INV_NAME,MATCH(B9,INV_ID,0)),"CHECK: Supplier ID not found"))</f>
        <v>SupportLoop Ltd</v>
      </c>
      <c r="D9" s="34" t="s">
        <v>267</v>
      </c>
      <c r="E9" s="51" t="n">
        <v>46296</v>
      </c>
      <c r="F9" s="51" t="n">
        <v>46478</v>
      </c>
      <c r="G9" s="34" t="s">
        <v>1672</v>
      </c>
      <c r="H9" s="34" t="s">
        <v>1673</v>
      </c>
      <c r="I9" s="34" t="s">
        <v>1674</v>
      </c>
      <c r="J9" s="50" t="n">
        <v>3</v>
      </c>
      <c r="K9" s="50" t="n">
        <v>0</v>
      </c>
      <c r="L9" s="34" t="s">
        <v>269</v>
      </c>
      <c r="M9" s="50" t="s">
        <v>1206</v>
      </c>
      <c r="N9" s="34" t="s">
        <v>1675</v>
      </c>
      <c r="O9" s="50" t="s">
        <v>345</v>
      </c>
      <c r="P9" s="54" t="str">
        <f aca="false">IF(A9="","",IF(OR(I9="",NOT(ISNUMBER(J9)),NOT(ISNUMBER(K9))),"No KRI measured",IF(L9="Lower is worse",IF(J9&lt;K9,"Breach - threshold exceeded","Within threshold"),IF(J9&gt;K9,"Breach - threshold exceeded","Within threshold"))))</f>
        <v>Breach - threshold exceeded</v>
      </c>
      <c r="Q9" s="54" t="str">
        <f aca="false">IF(A9="","",IF(OR(O9="Completed",O9="Cancelled"),"Closed",IF(AND(ISNUMBER(E9),E9&lt;AsOf),"Overdue - late review (no finding implied)","Scheduled")))</f>
        <v>Closed</v>
      </c>
      <c r="R9" s="61" t="str">
        <f aca="false">IF(AND(O9="Completed",ISNUMBER(F9),E9=_xlfn.MAXIFS(MON_REVDATE,MON_SUP,B9,MON_STATUS,"Completed")),B9&amp;"|Latest","")</f>
        <v>SUP-002|Latest</v>
      </c>
      <c r="S9" s="54" t="str">
        <f aca="false">IF(A9="","",IF(COUNTIF(MON_ID,A9)&gt;1,"CHECK: duplicate ID",IF(B9="","CHECK: Supplier ID missing",IF(COUNTIF(INV_ID,B9)=0,"CHECK: Supplier ID not in inventory","OK"))))</f>
        <v>OK</v>
      </c>
    </row>
    <row r="10" customFormat="false" ht="23.85" hidden="false" customHeight="false" outlineLevel="0" collapsed="false">
      <c r="A10" s="50" t="s">
        <v>1676</v>
      </c>
      <c r="B10" s="50" t="s">
        <v>489</v>
      </c>
      <c r="C10" s="59" t="str">
        <f aca="false">IF(B10="","",IFERROR(INDEX(INV_NAME,MATCH(B10,INV_ID,0)),"CHECK: Supplier ID not found"))</f>
        <v>SupportLoop Ltd</v>
      </c>
      <c r="D10" s="34" t="s">
        <v>420</v>
      </c>
      <c r="E10" s="51" t="n">
        <v>46341</v>
      </c>
      <c r="F10" s="51"/>
      <c r="G10" s="34"/>
      <c r="H10" s="34"/>
      <c r="I10" s="34"/>
      <c r="J10" s="50"/>
      <c r="K10" s="50"/>
      <c r="L10" s="34"/>
      <c r="M10" s="50" t="s">
        <v>1192</v>
      </c>
      <c r="N10" s="34"/>
      <c r="O10" s="50" t="s">
        <v>268</v>
      </c>
      <c r="P10" s="54" t="str">
        <f aca="false">IF(A10="","",IF(OR(I10="",NOT(ISNUMBER(J10)),NOT(ISNUMBER(K10))),"No KRI measured",IF(L10="Lower is worse",IF(J10&lt;K10,"Breach - threshold exceeded","Within threshold"),IF(J10&gt;K10,"Breach - threshold exceeded","Within threshold"))))</f>
        <v>No KRI measured</v>
      </c>
      <c r="Q10" s="54" t="str">
        <f aca="false">IF(A10="","",IF(OR(O10="Completed",O10="Cancelled"),"Closed",IF(AND(ISNUMBER(E10),E10&lt;AsOf),"Overdue - late review (no finding implied)","Scheduled")))</f>
        <v>Scheduled</v>
      </c>
      <c r="R10" s="61" t="str">
        <f aca="false">IF(AND(O10="Completed",ISNUMBER(F10),E10=_xlfn.MAXIFS(MON_REVDATE,MON_SUP,B10,MON_STATUS,"Completed")),B10&amp;"|Latest","")</f>
        <v/>
      </c>
      <c r="S10" s="54" t="str">
        <f aca="false">IF(A10="","",IF(COUNTIF(MON_ID,A10)&gt;1,"CHECK: duplicate ID",IF(B10="","CHECK: Supplier ID missing",IF(COUNTIF(INV_ID,B10)=0,"CHECK: Supplier ID not in inventory","OK"))))</f>
        <v>OK</v>
      </c>
    </row>
    <row r="11" customFormat="false" ht="23.85" hidden="false" customHeight="false" outlineLevel="0" collapsed="false">
      <c r="A11" s="50" t="s">
        <v>1677</v>
      </c>
      <c r="B11" s="50" t="s">
        <v>499</v>
      </c>
      <c r="C11" s="59" t="str">
        <f aca="false">IF(B11="","",IFERROR(INDEX(INV_NAME,MATCH(B11,INV_ID,0)),"CHECK: Supplier ID not found"))</f>
        <v>BrightDesk Office Supplies</v>
      </c>
      <c r="D11" s="34" t="s">
        <v>267</v>
      </c>
      <c r="E11" s="51" t="n">
        <v>46254</v>
      </c>
      <c r="F11" s="51" t="n">
        <v>46985</v>
      </c>
      <c r="G11" s="34"/>
      <c r="H11" s="34"/>
      <c r="I11" s="34"/>
      <c r="J11" s="50"/>
      <c r="K11" s="50"/>
      <c r="L11" s="34"/>
      <c r="M11" s="50" t="s">
        <v>1678</v>
      </c>
      <c r="N11" s="34"/>
      <c r="O11" s="50" t="s">
        <v>345</v>
      </c>
      <c r="P11" s="54" t="str">
        <f aca="false">IF(A11="","",IF(OR(I11="",NOT(ISNUMBER(J11)),NOT(ISNUMBER(K11))),"No KRI measured",IF(L11="Lower is worse",IF(J11&lt;K11,"Breach - threshold exceeded","Within threshold"),IF(J11&gt;K11,"Breach - threshold exceeded","Within threshold"))))</f>
        <v>No KRI measured</v>
      </c>
      <c r="Q11" s="54" t="str">
        <f aca="false">IF(A11="","",IF(OR(O11="Completed",O11="Cancelled"),"Closed",IF(AND(ISNUMBER(E11),E11&lt;AsOf),"Overdue - late review (no finding implied)","Scheduled")))</f>
        <v>Closed</v>
      </c>
      <c r="R11" s="61" t="str">
        <f aca="false">IF(AND(O11="Completed",ISNUMBER(F11),E11=_xlfn.MAXIFS(MON_REVDATE,MON_SUP,B11,MON_STATUS,"Completed")),B11&amp;"|Latest","")</f>
        <v>SUP-003|Latest</v>
      </c>
      <c r="S11" s="54" t="str">
        <f aca="false">IF(A11="","",IF(COUNTIF(MON_ID,A11)&gt;1,"CHECK: duplicate ID",IF(B11="","CHECK: Supplier ID missing",IF(COUNTIF(INV_ID,B11)=0,"CHECK: Supplier ID not in inventory","OK"))))</f>
        <v>OK</v>
      </c>
    </row>
    <row r="12" customFormat="false" ht="23.85" hidden="false" customHeight="false" outlineLevel="0" collapsed="false">
      <c r="A12" s="50" t="s">
        <v>1679</v>
      </c>
      <c r="B12" s="50" t="s">
        <v>506</v>
      </c>
      <c r="C12" s="59" t="str">
        <f aca="false">IF(B12="","",IFERROR(INDEX(INV_NAME,MATCH(B12,INV_ID,0)),"CHECK: Supplier ID not found"))</f>
        <v>Cleanwell Facilities Ltd</v>
      </c>
      <c r="D12" s="34" t="s">
        <v>267</v>
      </c>
      <c r="E12" s="51" t="n">
        <v>45901</v>
      </c>
      <c r="F12" s="51" t="n">
        <v>46266</v>
      </c>
      <c r="G12" s="34" t="s">
        <v>1313</v>
      </c>
      <c r="H12" s="34"/>
      <c r="I12" s="34"/>
      <c r="J12" s="50"/>
      <c r="K12" s="50"/>
      <c r="L12" s="34"/>
      <c r="M12" s="50" t="s">
        <v>1224</v>
      </c>
      <c r="N12" s="34"/>
      <c r="O12" s="50" t="s">
        <v>345</v>
      </c>
      <c r="P12" s="54" t="str">
        <f aca="false">IF(A12="","",IF(OR(I12="",NOT(ISNUMBER(J12)),NOT(ISNUMBER(K12))),"No KRI measured",IF(L12="Lower is worse",IF(J12&lt;K12,"Breach - threshold exceeded","Within threshold"),IF(J12&gt;K12,"Breach - threshold exceeded","Within threshold"))))</f>
        <v>No KRI measured</v>
      </c>
      <c r="Q12" s="54" t="str">
        <f aca="false">IF(A12="","",IF(OR(O12="Completed",O12="Cancelled"),"Closed",IF(AND(ISNUMBER(E12),E12&lt;AsOf),"Overdue - late review (no finding implied)","Scheduled")))</f>
        <v>Closed</v>
      </c>
      <c r="R12" s="61" t="str">
        <f aca="false">IF(AND(O12="Completed",ISNUMBER(F12),E12=_xlfn.MAXIFS(MON_REVDATE,MON_SUP,B12,MON_STATUS,"Completed")),B12&amp;"|Latest","")</f>
        <v>SUP-004|Latest</v>
      </c>
      <c r="S12" s="54" t="str">
        <f aca="false">IF(A12="","",IF(COUNTIF(MON_ID,A12)&gt;1,"CHECK: duplicate ID",IF(B12="","CHECK: Supplier ID missing",IF(COUNTIF(INV_ID,B12)=0,"CHECK: Supplier ID not in inventory","OK"))))</f>
        <v>OK</v>
      </c>
    </row>
    <row r="13" customFormat="false" ht="23.85" hidden="false" customHeight="false" outlineLevel="0" collapsed="false">
      <c r="A13" s="50" t="s">
        <v>1680</v>
      </c>
      <c r="B13" s="50" t="s">
        <v>515</v>
      </c>
      <c r="C13" s="59" t="str">
        <f aca="false">IF(B13="","",IFERROR(INDEX(INV_NAME,MATCH(B13,INV_ID,0)),"CHECK: Supplier ID not found"))</f>
        <v>Datavault Backup Services Ltd</v>
      </c>
      <c r="D13" s="34" t="s">
        <v>307</v>
      </c>
      <c r="E13" s="51" t="n">
        <v>46218</v>
      </c>
      <c r="F13" s="51" t="n">
        <v>46387</v>
      </c>
      <c r="G13" s="34"/>
      <c r="H13" s="34"/>
      <c r="I13" s="34"/>
      <c r="J13" s="50"/>
      <c r="K13" s="50"/>
      <c r="L13" s="34"/>
      <c r="M13" s="50" t="s">
        <v>1230</v>
      </c>
      <c r="N13" s="34"/>
      <c r="O13" s="50" t="s">
        <v>345</v>
      </c>
      <c r="P13" s="54" t="str">
        <f aca="false">IF(A13="","",IF(OR(I13="",NOT(ISNUMBER(J13)),NOT(ISNUMBER(K13))),"No KRI measured",IF(L13="Lower is worse",IF(J13&lt;K13,"Breach - threshold exceeded","Within threshold"),IF(J13&gt;K13,"Breach - threshold exceeded","Within threshold"))))</f>
        <v>No KRI measured</v>
      </c>
      <c r="Q13" s="54" t="str">
        <f aca="false">IF(A13="","",IF(OR(O13="Completed",O13="Cancelled"),"Closed",IF(AND(ISNUMBER(E13),E13&lt;AsOf),"Overdue - late review (no finding implied)","Scheduled")))</f>
        <v>Closed</v>
      </c>
      <c r="R13" s="61" t="str">
        <f aca="false">IF(AND(O13="Completed",ISNUMBER(F13),E13=_xlfn.MAXIFS(MON_REVDATE,MON_SUP,B13,MON_STATUS,"Completed")),B13&amp;"|Latest","")</f>
        <v>SUP-005|Latest</v>
      </c>
      <c r="S13" s="54" t="str">
        <f aca="false">IF(A13="","",IF(COUNTIF(MON_ID,A13)&gt;1,"CHECK: duplicate ID",IF(B13="","CHECK: Supplier ID missing",IF(COUNTIF(INV_ID,B13)=0,"CHECK: Supplier ID not in inventory","OK"))))</f>
        <v>OK</v>
      </c>
    </row>
    <row r="14" customFormat="false" ht="15" hidden="false" customHeight="false" outlineLevel="0" collapsed="false">
      <c r="A14" s="50"/>
      <c r="B14" s="50"/>
      <c r="C14" s="59" t="str">
        <f aca="false">IF(B14="","",IFERROR(INDEX(INV_NAME,MATCH(B14,INV_ID,0)),"CHECK: Supplier ID not found"))</f>
        <v/>
      </c>
      <c r="D14" s="34"/>
      <c r="E14" s="51"/>
      <c r="F14" s="51"/>
      <c r="G14" s="34"/>
      <c r="H14" s="34"/>
      <c r="I14" s="34"/>
      <c r="J14" s="50"/>
      <c r="K14" s="50"/>
      <c r="L14" s="34"/>
      <c r="M14" s="50"/>
      <c r="N14" s="34"/>
      <c r="O14" s="50"/>
      <c r="P14" s="54" t="str">
        <f aca="false">IF(A14="","",IF(OR(I14="",NOT(ISNUMBER(J14)),NOT(ISNUMBER(K14))),"No KRI measured",IF(L14="Lower is worse",IF(J14&lt;K14,"Breach - threshold exceeded","Within threshold"),IF(J14&gt;K14,"Breach - threshold exceeded","Within threshold"))))</f>
        <v/>
      </c>
      <c r="Q14" s="54" t="str">
        <f aca="false">IF(A14="","",IF(OR(O14="Completed",O14="Cancelled"),"Closed",IF(AND(ISNUMBER(E14),E14&lt;AsOf),"Overdue - late review (no finding implied)","Scheduled")))</f>
        <v/>
      </c>
      <c r="R14" s="61" t="str">
        <f aca="false">IF(AND(O14="Completed",ISNUMBER(F14),E14=_xlfn.MAXIFS(MON_REVDATE,MON_SUP,B14,MON_STATUS,"Completed")),B14&amp;"|Latest","")</f>
        <v/>
      </c>
      <c r="S14" s="54" t="str">
        <f aca="false">IF(A14="","",IF(COUNTIF(MON_ID,A14)&gt;1,"CHECK: duplicate ID",IF(B14="","CHECK: Supplier ID missing",IF(COUNTIF(INV_ID,B14)=0,"CHECK: Supplier ID not in inventory","OK"))))</f>
        <v/>
      </c>
    </row>
    <row r="15" customFormat="false" ht="15" hidden="false" customHeight="false" outlineLevel="0" collapsed="false">
      <c r="A15" s="50"/>
      <c r="B15" s="50"/>
      <c r="C15" s="59" t="str">
        <f aca="false">IF(B15="","",IFERROR(INDEX(INV_NAME,MATCH(B15,INV_ID,0)),"CHECK: Supplier ID not found"))</f>
        <v/>
      </c>
      <c r="D15" s="34"/>
      <c r="E15" s="51"/>
      <c r="F15" s="51"/>
      <c r="G15" s="34"/>
      <c r="H15" s="34"/>
      <c r="I15" s="34"/>
      <c r="J15" s="50"/>
      <c r="K15" s="50"/>
      <c r="L15" s="34"/>
      <c r="M15" s="50"/>
      <c r="N15" s="34"/>
      <c r="O15" s="50"/>
      <c r="P15" s="54" t="str">
        <f aca="false">IF(A15="","",IF(OR(I15="",NOT(ISNUMBER(J15)),NOT(ISNUMBER(K15))),"No KRI measured",IF(L15="Lower is worse",IF(J15&lt;K15,"Breach - threshold exceeded","Within threshold"),IF(J15&gt;K15,"Breach - threshold exceeded","Within threshold"))))</f>
        <v/>
      </c>
      <c r="Q15" s="54" t="str">
        <f aca="false">IF(A15="","",IF(OR(O15="Completed",O15="Cancelled"),"Closed",IF(AND(ISNUMBER(E15),E15&lt;AsOf),"Overdue - late review (no finding implied)","Scheduled")))</f>
        <v/>
      </c>
      <c r="R15" s="61" t="str">
        <f aca="false">IF(AND(O15="Completed",ISNUMBER(F15),E15=_xlfn.MAXIFS(MON_REVDATE,MON_SUP,B15,MON_STATUS,"Completed")),B15&amp;"|Latest","")</f>
        <v/>
      </c>
      <c r="S15" s="54" t="str">
        <f aca="false">IF(A15="","",IF(COUNTIF(MON_ID,A15)&gt;1,"CHECK: duplicate ID",IF(B15="","CHECK: Supplier ID missing",IF(COUNTIF(INV_ID,B15)=0,"CHECK: Supplier ID not in inventory","OK"))))</f>
        <v/>
      </c>
    </row>
    <row r="16" customFormat="false" ht="15" hidden="false" customHeight="false" outlineLevel="0" collapsed="false">
      <c r="A16" s="50"/>
      <c r="B16" s="50"/>
      <c r="C16" s="59" t="str">
        <f aca="false">IF(B16="","",IFERROR(INDEX(INV_NAME,MATCH(B16,INV_ID,0)),"CHECK: Supplier ID not found"))</f>
        <v/>
      </c>
      <c r="D16" s="34"/>
      <c r="E16" s="51"/>
      <c r="F16" s="51"/>
      <c r="G16" s="34"/>
      <c r="H16" s="34"/>
      <c r="I16" s="34"/>
      <c r="J16" s="50"/>
      <c r="K16" s="50"/>
      <c r="L16" s="34"/>
      <c r="M16" s="50"/>
      <c r="N16" s="34"/>
      <c r="O16" s="50"/>
      <c r="P16" s="54" t="str">
        <f aca="false">IF(A16="","",IF(OR(I16="",NOT(ISNUMBER(J16)),NOT(ISNUMBER(K16))),"No KRI measured",IF(L16="Lower is worse",IF(J16&lt;K16,"Breach - threshold exceeded","Within threshold"),IF(J16&gt;K16,"Breach - threshold exceeded","Within threshold"))))</f>
        <v/>
      </c>
      <c r="Q16" s="54" t="str">
        <f aca="false">IF(A16="","",IF(OR(O16="Completed",O16="Cancelled"),"Closed",IF(AND(ISNUMBER(E16),E16&lt;AsOf),"Overdue - late review (no finding implied)","Scheduled")))</f>
        <v/>
      </c>
      <c r="R16" s="61" t="str">
        <f aca="false">IF(AND(O16="Completed",ISNUMBER(F16),E16=_xlfn.MAXIFS(MON_REVDATE,MON_SUP,B16,MON_STATUS,"Completed")),B16&amp;"|Latest","")</f>
        <v/>
      </c>
      <c r="S16" s="54" t="str">
        <f aca="false">IF(A16="","",IF(COUNTIF(MON_ID,A16)&gt;1,"CHECK: duplicate ID",IF(B16="","CHECK: Supplier ID missing",IF(COUNTIF(INV_ID,B16)=0,"CHECK: Supplier ID not in inventory","OK"))))</f>
        <v/>
      </c>
    </row>
    <row r="17" customFormat="false" ht="15" hidden="false" customHeight="false" outlineLevel="0" collapsed="false">
      <c r="A17" s="50"/>
      <c r="B17" s="50"/>
      <c r="C17" s="59" t="str">
        <f aca="false">IF(B17="","",IFERROR(INDEX(INV_NAME,MATCH(B17,INV_ID,0)),"CHECK: Supplier ID not found"))</f>
        <v/>
      </c>
      <c r="D17" s="34"/>
      <c r="E17" s="51"/>
      <c r="F17" s="51"/>
      <c r="G17" s="34"/>
      <c r="H17" s="34"/>
      <c r="I17" s="34"/>
      <c r="J17" s="50"/>
      <c r="K17" s="50"/>
      <c r="L17" s="34"/>
      <c r="M17" s="50"/>
      <c r="N17" s="34"/>
      <c r="O17" s="50"/>
      <c r="P17" s="54" t="str">
        <f aca="false">IF(A17="","",IF(OR(I17="",NOT(ISNUMBER(J17)),NOT(ISNUMBER(K17))),"No KRI measured",IF(L17="Lower is worse",IF(J17&lt;K17,"Breach - threshold exceeded","Within threshold"),IF(J17&gt;K17,"Breach - threshold exceeded","Within threshold"))))</f>
        <v/>
      </c>
      <c r="Q17" s="54" t="str">
        <f aca="false">IF(A17="","",IF(OR(O17="Completed",O17="Cancelled"),"Closed",IF(AND(ISNUMBER(E17),E17&lt;AsOf),"Overdue - late review (no finding implied)","Scheduled")))</f>
        <v/>
      </c>
      <c r="R17" s="61" t="str">
        <f aca="false">IF(AND(O17="Completed",ISNUMBER(F17),E17=_xlfn.MAXIFS(MON_REVDATE,MON_SUP,B17,MON_STATUS,"Completed")),B17&amp;"|Latest","")</f>
        <v/>
      </c>
      <c r="S17" s="54" t="str">
        <f aca="false">IF(A17="","",IF(COUNTIF(MON_ID,A17)&gt;1,"CHECK: duplicate ID",IF(B17="","CHECK: Supplier ID missing",IF(COUNTIF(INV_ID,B17)=0,"CHECK: Supplier ID not in inventory","OK"))))</f>
        <v/>
      </c>
    </row>
    <row r="18" customFormat="false" ht="15" hidden="false" customHeight="false" outlineLevel="0" collapsed="false">
      <c r="A18" s="50"/>
      <c r="B18" s="50"/>
      <c r="C18" s="59" t="str">
        <f aca="false">IF(B18="","",IFERROR(INDEX(INV_NAME,MATCH(B18,INV_ID,0)),"CHECK: Supplier ID not found"))</f>
        <v/>
      </c>
      <c r="D18" s="34"/>
      <c r="E18" s="51"/>
      <c r="F18" s="51"/>
      <c r="G18" s="34"/>
      <c r="H18" s="34"/>
      <c r="I18" s="34"/>
      <c r="J18" s="50"/>
      <c r="K18" s="50"/>
      <c r="L18" s="34"/>
      <c r="M18" s="50"/>
      <c r="N18" s="34"/>
      <c r="O18" s="50"/>
      <c r="P18" s="54" t="str">
        <f aca="false">IF(A18="","",IF(OR(I18="",NOT(ISNUMBER(J18)),NOT(ISNUMBER(K18))),"No KRI measured",IF(L18="Lower is worse",IF(J18&lt;K18,"Breach - threshold exceeded","Within threshold"),IF(J18&gt;K18,"Breach - threshold exceeded","Within threshold"))))</f>
        <v/>
      </c>
      <c r="Q18" s="54" t="str">
        <f aca="false">IF(A18="","",IF(OR(O18="Completed",O18="Cancelled"),"Closed",IF(AND(ISNUMBER(E18),E18&lt;AsOf),"Overdue - late review (no finding implied)","Scheduled")))</f>
        <v/>
      </c>
      <c r="R18" s="61" t="str">
        <f aca="false">IF(AND(O18="Completed",ISNUMBER(F18),E18=_xlfn.MAXIFS(MON_REVDATE,MON_SUP,B18,MON_STATUS,"Completed")),B18&amp;"|Latest","")</f>
        <v/>
      </c>
      <c r="S18" s="54" t="str">
        <f aca="false">IF(A18="","",IF(COUNTIF(MON_ID,A18)&gt;1,"CHECK: duplicate ID",IF(B18="","CHECK: Supplier ID missing",IF(COUNTIF(INV_ID,B18)=0,"CHECK: Supplier ID not in inventory","OK"))))</f>
        <v/>
      </c>
    </row>
    <row r="19" customFormat="false" ht="15" hidden="false" customHeight="false" outlineLevel="0" collapsed="false">
      <c r="A19" s="50"/>
      <c r="B19" s="50"/>
      <c r="C19" s="59" t="str">
        <f aca="false">IF(B19="","",IFERROR(INDEX(INV_NAME,MATCH(B19,INV_ID,0)),"CHECK: Supplier ID not found"))</f>
        <v/>
      </c>
      <c r="D19" s="34"/>
      <c r="E19" s="51"/>
      <c r="F19" s="51"/>
      <c r="G19" s="34"/>
      <c r="H19" s="34"/>
      <c r="I19" s="34"/>
      <c r="J19" s="50"/>
      <c r="K19" s="50"/>
      <c r="L19" s="34"/>
      <c r="M19" s="50"/>
      <c r="N19" s="34"/>
      <c r="O19" s="50"/>
      <c r="P19" s="54" t="str">
        <f aca="false">IF(A19="","",IF(OR(I19="",NOT(ISNUMBER(J19)),NOT(ISNUMBER(K19))),"No KRI measured",IF(L19="Lower is worse",IF(J19&lt;K19,"Breach - threshold exceeded","Within threshold"),IF(J19&gt;K19,"Breach - threshold exceeded","Within threshold"))))</f>
        <v/>
      </c>
      <c r="Q19" s="54" t="str">
        <f aca="false">IF(A19="","",IF(OR(O19="Completed",O19="Cancelled"),"Closed",IF(AND(ISNUMBER(E19),E19&lt;AsOf),"Overdue - late review (no finding implied)","Scheduled")))</f>
        <v/>
      </c>
      <c r="R19" s="61" t="str">
        <f aca="false">IF(AND(O19="Completed",ISNUMBER(F19),E19=_xlfn.MAXIFS(MON_REVDATE,MON_SUP,B19,MON_STATUS,"Completed")),B19&amp;"|Latest","")</f>
        <v/>
      </c>
      <c r="S19" s="54" t="str">
        <f aca="false">IF(A19="","",IF(COUNTIF(MON_ID,A19)&gt;1,"CHECK: duplicate ID",IF(B19="","CHECK: Supplier ID missing",IF(COUNTIF(INV_ID,B19)=0,"CHECK: Supplier ID not in inventory","OK"))))</f>
        <v/>
      </c>
    </row>
    <row r="20" customFormat="false" ht="15" hidden="false" customHeight="false" outlineLevel="0" collapsed="false">
      <c r="A20" s="50"/>
      <c r="B20" s="50"/>
      <c r="C20" s="59" t="str">
        <f aca="false">IF(B20="","",IFERROR(INDEX(INV_NAME,MATCH(B20,INV_ID,0)),"CHECK: Supplier ID not found"))</f>
        <v/>
      </c>
      <c r="D20" s="34"/>
      <c r="E20" s="51"/>
      <c r="F20" s="51"/>
      <c r="G20" s="34"/>
      <c r="H20" s="34"/>
      <c r="I20" s="34"/>
      <c r="J20" s="50"/>
      <c r="K20" s="50"/>
      <c r="L20" s="34"/>
      <c r="M20" s="50"/>
      <c r="N20" s="34"/>
      <c r="O20" s="50"/>
      <c r="P20" s="54" t="str">
        <f aca="false">IF(A20="","",IF(OR(I20="",NOT(ISNUMBER(J20)),NOT(ISNUMBER(K20))),"No KRI measured",IF(L20="Lower is worse",IF(J20&lt;K20,"Breach - threshold exceeded","Within threshold"),IF(J20&gt;K20,"Breach - threshold exceeded","Within threshold"))))</f>
        <v/>
      </c>
      <c r="Q20" s="54" t="str">
        <f aca="false">IF(A20="","",IF(OR(O20="Completed",O20="Cancelled"),"Closed",IF(AND(ISNUMBER(E20),E20&lt;AsOf),"Overdue - late review (no finding implied)","Scheduled")))</f>
        <v/>
      </c>
      <c r="R20" s="61" t="str">
        <f aca="false">IF(AND(O20="Completed",ISNUMBER(F20),E20=_xlfn.MAXIFS(MON_REVDATE,MON_SUP,B20,MON_STATUS,"Completed")),B20&amp;"|Latest","")</f>
        <v/>
      </c>
      <c r="S20" s="54" t="str">
        <f aca="false">IF(A20="","",IF(COUNTIF(MON_ID,A20)&gt;1,"CHECK: duplicate ID",IF(B20="","CHECK: Supplier ID missing",IF(COUNTIF(INV_ID,B20)=0,"CHECK: Supplier ID not in inventory","OK"))))</f>
        <v/>
      </c>
    </row>
    <row r="21" customFormat="false" ht="15" hidden="false" customHeight="false" outlineLevel="0" collapsed="false">
      <c r="A21" s="50"/>
      <c r="B21" s="50"/>
      <c r="C21" s="59" t="str">
        <f aca="false">IF(B21="","",IFERROR(INDEX(INV_NAME,MATCH(B21,INV_ID,0)),"CHECK: Supplier ID not found"))</f>
        <v/>
      </c>
      <c r="D21" s="34"/>
      <c r="E21" s="51"/>
      <c r="F21" s="51"/>
      <c r="G21" s="34"/>
      <c r="H21" s="34"/>
      <c r="I21" s="34"/>
      <c r="J21" s="50"/>
      <c r="K21" s="50"/>
      <c r="L21" s="34"/>
      <c r="M21" s="50"/>
      <c r="N21" s="34"/>
      <c r="O21" s="50"/>
      <c r="P21" s="54" t="str">
        <f aca="false">IF(A21="","",IF(OR(I21="",NOT(ISNUMBER(J21)),NOT(ISNUMBER(K21))),"No KRI measured",IF(L21="Lower is worse",IF(J21&lt;K21,"Breach - threshold exceeded","Within threshold"),IF(J21&gt;K21,"Breach - threshold exceeded","Within threshold"))))</f>
        <v/>
      </c>
      <c r="Q21" s="54" t="str">
        <f aca="false">IF(A21="","",IF(OR(O21="Completed",O21="Cancelled"),"Closed",IF(AND(ISNUMBER(E21),E21&lt;AsOf),"Overdue - late review (no finding implied)","Scheduled")))</f>
        <v/>
      </c>
      <c r="R21" s="61" t="str">
        <f aca="false">IF(AND(O21="Completed",ISNUMBER(F21),E21=_xlfn.MAXIFS(MON_REVDATE,MON_SUP,B21,MON_STATUS,"Completed")),B21&amp;"|Latest","")</f>
        <v/>
      </c>
      <c r="S21" s="54" t="str">
        <f aca="false">IF(A21="","",IF(COUNTIF(MON_ID,A21)&gt;1,"CHECK: duplicate ID",IF(B21="","CHECK: Supplier ID missing",IF(COUNTIF(INV_ID,B21)=0,"CHECK: Supplier ID not in inventory","OK"))))</f>
        <v/>
      </c>
    </row>
    <row r="22" customFormat="false" ht="15" hidden="false" customHeight="false" outlineLevel="0" collapsed="false">
      <c r="A22" s="50"/>
      <c r="B22" s="50"/>
      <c r="C22" s="59" t="str">
        <f aca="false">IF(B22="","",IFERROR(INDEX(INV_NAME,MATCH(B22,INV_ID,0)),"CHECK: Supplier ID not found"))</f>
        <v/>
      </c>
      <c r="D22" s="34"/>
      <c r="E22" s="51"/>
      <c r="F22" s="51"/>
      <c r="G22" s="34"/>
      <c r="H22" s="34"/>
      <c r="I22" s="34"/>
      <c r="J22" s="50"/>
      <c r="K22" s="50"/>
      <c r="L22" s="34"/>
      <c r="M22" s="50"/>
      <c r="N22" s="34"/>
      <c r="O22" s="50"/>
      <c r="P22" s="54" t="str">
        <f aca="false">IF(A22="","",IF(OR(I22="",NOT(ISNUMBER(J22)),NOT(ISNUMBER(K22))),"No KRI measured",IF(L22="Lower is worse",IF(J22&lt;K22,"Breach - threshold exceeded","Within threshold"),IF(J22&gt;K22,"Breach - threshold exceeded","Within threshold"))))</f>
        <v/>
      </c>
      <c r="Q22" s="54" t="str">
        <f aca="false">IF(A22="","",IF(OR(O22="Completed",O22="Cancelled"),"Closed",IF(AND(ISNUMBER(E22),E22&lt;AsOf),"Overdue - late review (no finding implied)","Scheduled")))</f>
        <v/>
      </c>
      <c r="R22" s="61" t="str">
        <f aca="false">IF(AND(O22="Completed",ISNUMBER(F22),E22=_xlfn.MAXIFS(MON_REVDATE,MON_SUP,B22,MON_STATUS,"Completed")),B22&amp;"|Latest","")</f>
        <v/>
      </c>
      <c r="S22" s="54" t="str">
        <f aca="false">IF(A22="","",IF(COUNTIF(MON_ID,A22)&gt;1,"CHECK: duplicate ID",IF(B22="","CHECK: Supplier ID missing",IF(COUNTIF(INV_ID,B22)=0,"CHECK: Supplier ID not in inventory","OK"))))</f>
        <v/>
      </c>
    </row>
    <row r="23" customFormat="false" ht="15" hidden="false" customHeight="false" outlineLevel="0" collapsed="false">
      <c r="A23" s="50"/>
      <c r="B23" s="50"/>
      <c r="C23" s="59" t="str">
        <f aca="false">IF(B23="","",IFERROR(INDEX(INV_NAME,MATCH(B23,INV_ID,0)),"CHECK: Supplier ID not found"))</f>
        <v/>
      </c>
      <c r="D23" s="34"/>
      <c r="E23" s="51"/>
      <c r="F23" s="51"/>
      <c r="G23" s="34"/>
      <c r="H23" s="34"/>
      <c r="I23" s="34"/>
      <c r="J23" s="50"/>
      <c r="K23" s="50"/>
      <c r="L23" s="34"/>
      <c r="M23" s="50"/>
      <c r="N23" s="34"/>
      <c r="O23" s="50"/>
      <c r="P23" s="54" t="str">
        <f aca="false">IF(A23="","",IF(OR(I23="",NOT(ISNUMBER(J23)),NOT(ISNUMBER(K23))),"No KRI measured",IF(L23="Lower is worse",IF(J23&lt;K23,"Breach - threshold exceeded","Within threshold"),IF(J23&gt;K23,"Breach - threshold exceeded","Within threshold"))))</f>
        <v/>
      </c>
      <c r="Q23" s="54" t="str">
        <f aca="false">IF(A23="","",IF(OR(O23="Completed",O23="Cancelled"),"Closed",IF(AND(ISNUMBER(E23),E23&lt;AsOf),"Overdue - late review (no finding implied)","Scheduled")))</f>
        <v/>
      </c>
      <c r="R23" s="61" t="str">
        <f aca="false">IF(AND(O23="Completed",ISNUMBER(F23),E23=_xlfn.MAXIFS(MON_REVDATE,MON_SUP,B23,MON_STATUS,"Completed")),B23&amp;"|Latest","")</f>
        <v/>
      </c>
      <c r="S23" s="54" t="str">
        <f aca="false">IF(A23="","",IF(COUNTIF(MON_ID,A23)&gt;1,"CHECK: duplicate ID",IF(B23="","CHECK: Supplier ID missing",IF(COUNTIF(INV_ID,B23)=0,"CHECK: Supplier ID not in inventory","OK"))))</f>
        <v/>
      </c>
    </row>
    <row r="24" customFormat="false" ht="15" hidden="false" customHeight="false" outlineLevel="0" collapsed="false">
      <c r="A24" s="50"/>
      <c r="B24" s="50"/>
      <c r="C24" s="59" t="str">
        <f aca="false">IF(B24="","",IFERROR(INDEX(INV_NAME,MATCH(B24,INV_ID,0)),"CHECK: Supplier ID not found"))</f>
        <v/>
      </c>
      <c r="D24" s="34"/>
      <c r="E24" s="51"/>
      <c r="F24" s="51"/>
      <c r="G24" s="34"/>
      <c r="H24" s="34"/>
      <c r="I24" s="34"/>
      <c r="J24" s="50"/>
      <c r="K24" s="50"/>
      <c r="L24" s="34"/>
      <c r="M24" s="50"/>
      <c r="N24" s="34"/>
      <c r="O24" s="50"/>
      <c r="P24" s="54" t="str">
        <f aca="false">IF(A24="","",IF(OR(I24="",NOT(ISNUMBER(J24)),NOT(ISNUMBER(K24))),"No KRI measured",IF(L24="Lower is worse",IF(J24&lt;K24,"Breach - threshold exceeded","Within threshold"),IF(J24&gt;K24,"Breach - threshold exceeded","Within threshold"))))</f>
        <v/>
      </c>
      <c r="Q24" s="54" t="str">
        <f aca="false">IF(A24="","",IF(OR(O24="Completed",O24="Cancelled"),"Closed",IF(AND(ISNUMBER(E24),E24&lt;AsOf),"Overdue - late review (no finding implied)","Scheduled")))</f>
        <v/>
      </c>
      <c r="R24" s="61" t="str">
        <f aca="false">IF(AND(O24="Completed",ISNUMBER(F24),E24=_xlfn.MAXIFS(MON_REVDATE,MON_SUP,B24,MON_STATUS,"Completed")),B24&amp;"|Latest","")</f>
        <v/>
      </c>
      <c r="S24" s="54" t="str">
        <f aca="false">IF(A24="","",IF(COUNTIF(MON_ID,A24)&gt;1,"CHECK: duplicate ID",IF(B24="","CHECK: Supplier ID missing",IF(COUNTIF(INV_ID,B24)=0,"CHECK: Supplier ID not in inventory","OK"))))</f>
        <v/>
      </c>
    </row>
    <row r="25" customFormat="false" ht="15" hidden="false" customHeight="false" outlineLevel="0" collapsed="false">
      <c r="A25" s="50"/>
      <c r="B25" s="50"/>
      <c r="C25" s="59" t="str">
        <f aca="false">IF(B25="","",IFERROR(INDEX(INV_NAME,MATCH(B25,INV_ID,0)),"CHECK: Supplier ID not found"))</f>
        <v/>
      </c>
      <c r="D25" s="34"/>
      <c r="E25" s="51"/>
      <c r="F25" s="51"/>
      <c r="G25" s="34"/>
      <c r="H25" s="34"/>
      <c r="I25" s="34"/>
      <c r="J25" s="50"/>
      <c r="K25" s="50"/>
      <c r="L25" s="34"/>
      <c r="M25" s="50"/>
      <c r="N25" s="34"/>
      <c r="O25" s="50"/>
      <c r="P25" s="54" t="str">
        <f aca="false">IF(A25="","",IF(OR(I25="",NOT(ISNUMBER(J25)),NOT(ISNUMBER(K25))),"No KRI measured",IF(L25="Lower is worse",IF(J25&lt;K25,"Breach - threshold exceeded","Within threshold"),IF(J25&gt;K25,"Breach - threshold exceeded","Within threshold"))))</f>
        <v/>
      </c>
      <c r="Q25" s="54" t="str">
        <f aca="false">IF(A25="","",IF(OR(O25="Completed",O25="Cancelled"),"Closed",IF(AND(ISNUMBER(E25),E25&lt;AsOf),"Overdue - late review (no finding implied)","Scheduled")))</f>
        <v/>
      </c>
      <c r="R25" s="61" t="str">
        <f aca="false">IF(AND(O25="Completed",ISNUMBER(F25),E25=_xlfn.MAXIFS(MON_REVDATE,MON_SUP,B25,MON_STATUS,"Completed")),B25&amp;"|Latest","")</f>
        <v/>
      </c>
      <c r="S25" s="54" t="str">
        <f aca="false">IF(A25="","",IF(COUNTIF(MON_ID,A25)&gt;1,"CHECK: duplicate ID",IF(B25="","CHECK: Supplier ID missing",IF(COUNTIF(INV_ID,B25)=0,"CHECK: Supplier ID not in inventory","OK"))))</f>
        <v/>
      </c>
    </row>
    <row r="26" customFormat="false" ht="15" hidden="false" customHeight="false" outlineLevel="0" collapsed="false">
      <c r="A26" s="50"/>
      <c r="B26" s="50"/>
      <c r="C26" s="59" t="str">
        <f aca="false">IF(B26="","",IFERROR(INDEX(INV_NAME,MATCH(B26,INV_ID,0)),"CHECK: Supplier ID not found"))</f>
        <v/>
      </c>
      <c r="D26" s="34"/>
      <c r="E26" s="51"/>
      <c r="F26" s="51"/>
      <c r="G26" s="34"/>
      <c r="H26" s="34"/>
      <c r="I26" s="34"/>
      <c r="J26" s="50"/>
      <c r="K26" s="50"/>
      <c r="L26" s="34"/>
      <c r="M26" s="50"/>
      <c r="N26" s="34"/>
      <c r="O26" s="50"/>
      <c r="P26" s="54" t="str">
        <f aca="false">IF(A26="","",IF(OR(I26="",NOT(ISNUMBER(J26)),NOT(ISNUMBER(K26))),"No KRI measured",IF(L26="Lower is worse",IF(J26&lt;K26,"Breach - threshold exceeded","Within threshold"),IF(J26&gt;K26,"Breach - threshold exceeded","Within threshold"))))</f>
        <v/>
      </c>
      <c r="Q26" s="54" t="str">
        <f aca="false">IF(A26="","",IF(OR(O26="Completed",O26="Cancelled"),"Closed",IF(AND(ISNUMBER(E26),E26&lt;AsOf),"Overdue - late review (no finding implied)","Scheduled")))</f>
        <v/>
      </c>
      <c r="R26" s="61" t="str">
        <f aca="false">IF(AND(O26="Completed",ISNUMBER(F26),E26=_xlfn.MAXIFS(MON_REVDATE,MON_SUP,B26,MON_STATUS,"Completed")),B26&amp;"|Latest","")</f>
        <v/>
      </c>
      <c r="S26" s="54" t="str">
        <f aca="false">IF(A26="","",IF(COUNTIF(MON_ID,A26)&gt;1,"CHECK: duplicate ID",IF(B26="","CHECK: Supplier ID missing",IF(COUNTIF(INV_ID,B26)=0,"CHECK: Supplier ID not in inventory","OK"))))</f>
        <v/>
      </c>
    </row>
    <row r="27" customFormat="false" ht="15" hidden="false" customHeight="false" outlineLevel="0" collapsed="false">
      <c r="A27" s="50"/>
      <c r="B27" s="50"/>
      <c r="C27" s="59" t="str">
        <f aca="false">IF(B27="","",IFERROR(INDEX(INV_NAME,MATCH(B27,INV_ID,0)),"CHECK: Supplier ID not found"))</f>
        <v/>
      </c>
      <c r="D27" s="34"/>
      <c r="E27" s="51"/>
      <c r="F27" s="51"/>
      <c r="G27" s="34"/>
      <c r="H27" s="34"/>
      <c r="I27" s="34"/>
      <c r="J27" s="50"/>
      <c r="K27" s="50"/>
      <c r="L27" s="34"/>
      <c r="M27" s="50"/>
      <c r="N27" s="34"/>
      <c r="O27" s="50"/>
      <c r="P27" s="54" t="str">
        <f aca="false">IF(A27="","",IF(OR(I27="",NOT(ISNUMBER(J27)),NOT(ISNUMBER(K27))),"No KRI measured",IF(L27="Lower is worse",IF(J27&lt;K27,"Breach - threshold exceeded","Within threshold"),IF(J27&gt;K27,"Breach - threshold exceeded","Within threshold"))))</f>
        <v/>
      </c>
      <c r="Q27" s="54" t="str">
        <f aca="false">IF(A27="","",IF(OR(O27="Completed",O27="Cancelled"),"Closed",IF(AND(ISNUMBER(E27),E27&lt;AsOf),"Overdue - late review (no finding implied)","Scheduled")))</f>
        <v/>
      </c>
      <c r="R27" s="61" t="str">
        <f aca="false">IF(AND(O27="Completed",ISNUMBER(F27),E27=_xlfn.MAXIFS(MON_REVDATE,MON_SUP,B27,MON_STATUS,"Completed")),B27&amp;"|Latest","")</f>
        <v/>
      </c>
      <c r="S27" s="54" t="str">
        <f aca="false">IF(A27="","",IF(COUNTIF(MON_ID,A27)&gt;1,"CHECK: duplicate ID",IF(B27="","CHECK: Supplier ID missing",IF(COUNTIF(INV_ID,B27)=0,"CHECK: Supplier ID not in inventory","OK"))))</f>
        <v/>
      </c>
    </row>
    <row r="28" customFormat="false" ht="15" hidden="false" customHeight="false" outlineLevel="0" collapsed="false">
      <c r="A28" s="50"/>
      <c r="B28" s="50"/>
      <c r="C28" s="59" t="str">
        <f aca="false">IF(B28="","",IFERROR(INDEX(INV_NAME,MATCH(B28,INV_ID,0)),"CHECK: Supplier ID not found"))</f>
        <v/>
      </c>
      <c r="D28" s="34"/>
      <c r="E28" s="51"/>
      <c r="F28" s="51"/>
      <c r="G28" s="34"/>
      <c r="H28" s="34"/>
      <c r="I28" s="34"/>
      <c r="J28" s="50"/>
      <c r="K28" s="50"/>
      <c r="L28" s="34"/>
      <c r="M28" s="50"/>
      <c r="N28" s="34"/>
      <c r="O28" s="50"/>
      <c r="P28" s="54" t="str">
        <f aca="false">IF(A28="","",IF(OR(I28="",NOT(ISNUMBER(J28)),NOT(ISNUMBER(K28))),"No KRI measured",IF(L28="Lower is worse",IF(J28&lt;K28,"Breach - threshold exceeded","Within threshold"),IF(J28&gt;K28,"Breach - threshold exceeded","Within threshold"))))</f>
        <v/>
      </c>
      <c r="Q28" s="54" t="str">
        <f aca="false">IF(A28="","",IF(OR(O28="Completed",O28="Cancelled"),"Closed",IF(AND(ISNUMBER(E28),E28&lt;AsOf),"Overdue - late review (no finding implied)","Scheduled")))</f>
        <v/>
      </c>
      <c r="R28" s="61" t="str">
        <f aca="false">IF(AND(O28="Completed",ISNUMBER(F28),E28=_xlfn.MAXIFS(MON_REVDATE,MON_SUP,B28,MON_STATUS,"Completed")),B28&amp;"|Latest","")</f>
        <v/>
      </c>
      <c r="S28" s="54" t="str">
        <f aca="false">IF(A28="","",IF(COUNTIF(MON_ID,A28)&gt;1,"CHECK: duplicate ID",IF(B28="","CHECK: Supplier ID missing",IF(COUNTIF(INV_ID,B28)=0,"CHECK: Supplier ID not in inventory","OK"))))</f>
        <v/>
      </c>
    </row>
    <row r="29" customFormat="false" ht="15" hidden="false" customHeight="false" outlineLevel="0" collapsed="false">
      <c r="A29" s="50"/>
      <c r="B29" s="50"/>
      <c r="C29" s="59" t="str">
        <f aca="false">IF(B29="","",IFERROR(INDEX(INV_NAME,MATCH(B29,INV_ID,0)),"CHECK: Supplier ID not found"))</f>
        <v/>
      </c>
      <c r="D29" s="34"/>
      <c r="E29" s="51"/>
      <c r="F29" s="51"/>
      <c r="G29" s="34"/>
      <c r="H29" s="34"/>
      <c r="I29" s="34"/>
      <c r="J29" s="50"/>
      <c r="K29" s="50"/>
      <c r="L29" s="34"/>
      <c r="M29" s="50"/>
      <c r="N29" s="34"/>
      <c r="O29" s="50"/>
      <c r="P29" s="54" t="str">
        <f aca="false">IF(A29="","",IF(OR(I29="",NOT(ISNUMBER(J29)),NOT(ISNUMBER(K29))),"No KRI measured",IF(L29="Lower is worse",IF(J29&lt;K29,"Breach - threshold exceeded","Within threshold"),IF(J29&gt;K29,"Breach - threshold exceeded","Within threshold"))))</f>
        <v/>
      </c>
      <c r="Q29" s="54" t="str">
        <f aca="false">IF(A29="","",IF(OR(O29="Completed",O29="Cancelled"),"Closed",IF(AND(ISNUMBER(E29),E29&lt;AsOf),"Overdue - late review (no finding implied)","Scheduled")))</f>
        <v/>
      </c>
      <c r="R29" s="61" t="str">
        <f aca="false">IF(AND(O29="Completed",ISNUMBER(F29),E29=_xlfn.MAXIFS(MON_REVDATE,MON_SUP,B29,MON_STATUS,"Completed")),B29&amp;"|Latest","")</f>
        <v/>
      </c>
      <c r="S29" s="54" t="str">
        <f aca="false">IF(A29="","",IF(COUNTIF(MON_ID,A29)&gt;1,"CHECK: duplicate ID",IF(B29="","CHECK: Supplier ID missing",IF(COUNTIF(INV_ID,B29)=0,"CHECK: Supplier ID not in inventory","OK"))))</f>
        <v/>
      </c>
    </row>
    <row r="30" customFormat="false" ht="15" hidden="false" customHeight="false" outlineLevel="0" collapsed="false">
      <c r="A30" s="50"/>
      <c r="B30" s="50"/>
      <c r="C30" s="59" t="str">
        <f aca="false">IF(B30="","",IFERROR(INDEX(INV_NAME,MATCH(B30,INV_ID,0)),"CHECK: Supplier ID not found"))</f>
        <v/>
      </c>
      <c r="D30" s="34"/>
      <c r="E30" s="51"/>
      <c r="F30" s="51"/>
      <c r="G30" s="34"/>
      <c r="H30" s="34"/>
      <c r="I30" s="34"/>
      <c r="J30" s="50"/>
      <c r="K30" s="50"/>
      <c r="L30" s="34"/>
      <c r="M30" s="50"/>
      <c r="N30" s="34"/>
      <c r="O30" s="50"/>
      <c r="P30" s="54" t="str">
        <f aca="false">IF(A30="","",IF(OR(I30="",NOT(ISNUMBER(J30)),NOT(ISNUMBER(K30))),"No KRI measured",IF(L30="Lower is worse",IF(J30&lt;K30,"Breach - threshold exceeded","Within threshold"),IF(J30&gt;K30,"Breach - threshold exceeded","Within threshold"))))</f>
        <v/>
      </c>
      <c r="Q30" s="54" t="str">
        <f aca="false">IF(A30="","",IF(OR(O30="Completed",O30="Cancelled"),"Closed",IF(AND(ISNUMBER(E30),E30&lt;AsOf),"Overdue - late review (no finding implied)","Scheduled")))</f>
        <v/>
      </c>
      <c r="R30" s="61" t="str">
        <f aca="false">IF(AND(O30="Completed",ISNUMBER(F30),E30=_xlfn.MAXIFS(MON_REVDATE,MON_SUP,B30,MON_STATUS,"Completed")),B30&amp;"|Latest","")</f>
        <v/>
      </c>
      <c r="S30" s="54" t="str">
        <f aca="false">IF(A30="","",IF(COUNTIF(MON_ID,A30)&gt;1,"CHECK: duplicate ID",IF(B30="","CHECK: Supplier ID missing",IF(COUNTIF(INV_ID,B30)=0,"CHECK: Supplier ID not in inventory","OK"))))</f>
        <v/>
      </c>
    </row>
    <row r="31" customFormat="false" ht="15" hidden="false" customHeight="false" outlineLevel="0" collapsed="false">
      <c r="A31" s="50"/>
      <c r="B31" s="50"/>
      <c r="C31" s="59" t="str">
        <f aca="false">IF(B31="","",IFERROR(INDEX(INV_NAME,MATCH(B31,INV_ID,0)),"CHECK: Supplier ID not found"))</f>
        <v/>
      </c>
      <c r="D31" s="34"/>
      <c r="E31" s="51"/>
      <c r="F31" s="51"/>
      <c r="G31" s="34"/>
      <c r="H31" s="34"/>
      <c r="I31" s="34"/>
      <c r="J31" s="50"/>
      <c r="K31" s="50"/>
      <c r="L31" s="34"/>
      <c r="M31" s="50"/>
      <c r="N31" s="34"/>
      <c r="O31" s="50"/>
      <c r="P31" s="54" t="str">
        <f aca="false">IF(A31="","",IF(OR(I31="",NOT(ISNUMBER(J31)),NOT(ISNUMBER(K31))),"No KRI measured",IF(L31="Lower is worse",IF(J31&lt;K31,"Breach - threshold exceeded","Within threshold"),IF(J31&gt;K31,"Breach - threshold exceeded","Within threshold"))))</f>
        <v/>
      </c>
      <c r="Q31" s="54" t="str">
        <f aca="false">IF(A31="","",IF(OR(O31="Completed",O31="Cancelled"),"Closed",IF(AND(ISNUMBER(E31),E31&lt;AsOf),"Overdue - late review (no finding implied)","Scheduled")))</f>
        <v/>
      </c>
      <c r="R31" s="61" t="str">
        <f aca="false">IF(AND(O31="Completed",ISNUMBER(F31),E31=_xlfn.MAXIFS(MON_REVDATE,MON_SUP,B31,MON_STATUS,"Completed")),B31&amp;"|Latest","")</f>
        <v/>
      </c>
      <c r="S31" s="54" t="str">
        <f aca="false">IF(A31="","",IF(COUNTIF(MON_ID,A31)&gt;1,"CHECK: duplicate ID",IF(B31="","CHECK: Supplier ID missing",IF(COUNTIF(INV_ID,B31)=0,"CHECK: Supplier ID not in inventory","OK"))))</f>
        <v/>
      </c>
    </row>
    <row r="32" customFormat="false" ht="15" hidden="false" customHeight="false" outlineLevel="0" collapsed="false">
      <c r="A32" s="50"/>
      <c r="B32" s="50"/>
      <c r="C32" s="59" t="str">
        <f aca="false">IF(B32="","",IFERROR(INDEX(INV_NAME,MATCH(B32,INV_ID,0)),"CHECK: Supplier ID not found"))</f>
        <v/>
      </c>
      <c r="D32" s="34"/>
      <c r="E32" s="51"/>
      <c r="F32" s="51"/>
      <c r="G32" s="34"/>
      <c r="H32" s="34"/>
      <c r="I32" s="34"/>
      <c r="J32" s="50"/>
      <c r="K32" s="50"/>
      <c r="L32" s="34"/>
      <c r="M32" s="50"/>
      <c r="N32" s="34"/>
      <c r="O32" s="50"/>
      <c r="P32" s="54" t="str">
        <f aca="false">IF(A32="","",IF(OR(I32="",NOT(ISNUMBER(J32)),NOT(ISNUMBER(K32))),"No KRI measured",IF(L32="Lower is worse",IF(J32&lt;K32,"Breach - threshold exceeded","Within threshold"),IF(J32&gt;K32,"Breach - threshold exceeded","Within threshold"))))</f>
        <v/>
      </c>
      <c r="Q32" s="54" t="str">
        <f aca="false">IF(A32="","",IF(OR(O32="Completed",O32="Cancelled"),"Closed",IF(AND(ISNUMBER(E32),E32&lt;AsOf),"Overdue - late review (no finding implied)","Scheduled")))</f>
        <v/>
      </c>
      <c r="R32" s="61" t="str">
        <f aca="false">IF(AND(O32="Completed",ISNUMBER(F32),E32=_xlfn.MAXIFS(MON_REVDATE,MON_SUP,B32,MON_STATUS,"Completed")),B32&amp;"|Latest","")</f>
        <v/>
      </c>
      <c r="S32" s="54" t="str">
        <f aca="false">IF(A32="","",IF(COUNTIF(MON_ID,A32)&gt;1,"CHECK: duplicate ID",IF(B32="","CHECK: Supplier ID missing",IF(COUNTIF(INV_ID,B32)=0,"CHECK: Supplier ID not in inventory","OK"))))</f>
        <v/>
      </c>
    </row>
    <row r="33" customFormat="false" ht="15" hidden="false" customHeight="false" outlineLevel="0" collapsed="false">
      <c r="A33" s="50"/>
      <c r="B33" s="50"/>
      <c r="C33" s="59" t="str">
        <f aca="false">IF(B33="","",IFERROR(INDEX(INV_NAME,MATCH(B33,INV_ID,0)),"CHECK: Supplier ID not found"))</f>
        <v/>
      </c>
      <c r="D33" s="34"/>
      <c r="E33" s="51"/>
      <c r="F33" s="51"/>
      <c r="G33" s="34"/>
      <c r="H33" s="34"/>
      <c r="I33" s="34"/>
      <c r="J33" s="50"/>
      <c r="K33" s="50"/>
      <c r="L33" s="34"/>
      <c r="M33" s="50"/>
      <c r="N33" s="34"/>
      <c r="O33" s="50"/>
      <c r="P33" s="54" t="str">
        <f aca="false">IF(A33="","",IF(OR(I33="",NOT(ISNUMBER(J33)),NOT(ISNUMBER(K33))),"No KRI measured",IF(L33="Lower is worse",IF(J33&lt;K33,"Breach - threshold exceeded","Within threshold"),IF(J33&gt;K33,"Breach - threshold exceeded","Within threshold"))))</f>
        <v/>
      </c>
      <c r="Q33" s="54" t="str">
        <f aca="false">IF(A33="","",IF(OR(O33="Completed",O33="Cancelled"),"Closed",IF(AND(ISNUMBER(E33),E33&lt;AsOf),"Overdue - late review (no finding implied)","Scheduled")))</f>
        <v/>
      </c>
      <c r="R33" s="61" t="str">
        <f aca="false">IF(AND(O33="Completed",ISNUMBER(F33),E33=_xlfn.MAXIFS(MON_REVDATE,MON_SUP,B33,MON_STATUS,"Completed")),B33&amp;"|Latest","")</f>
        <v/>
      </c>
      <c r="S33" s="54" t="str">
        <f aca="false">IF(A33="","",IF(COUNTIF(MON_ID,A33)&gt;1,"CHECK: duplicate ID",IF(B33="","CHECK: Supplier ID missing",IF(COUNTIF(INV_ID,B33)=0,"CHECK: Supplier ID not in inventory","OK"))))</f>
        <v/>
      </c>
    </row>
    <row r="34" customFormat="false" ht="15" hidden="false" customHeight="false" outlineLevel="0" collapsed="false">
      <c r="A34" s="50"/>
      <c r="B34" s="50"/>
      <c r="C34" s="59" t="str">
        <f aca="false">IF(B34="","",IFERROR(INDEX(INV_NAME,MATCH(B34,INV_ID,0)),"CHECK: Supplier ID not found"))</f>
        <v/>
      </c>
      <c r="D34" s="34"/>
      <c r="E34" s="51"/>
      <c r="F34" s="51"/>
      <c r="G34" s="34"/>
      <c r="H34" s="34"/>
      <c r="I34" s="34"/>
      <c r="J34" s="50"/>
      <c r="K34" s="50"/>
      <c r="L34" s="34"/>
      <c r="M34" s="50"/>
      <c r="N34" s="34"/>
      <c r="O34" s="50"/>
      <c r="P34" s="54" t="str">
        <f aca="false">IF(A34="","",IF(OR(I34="",NOT(ISNUMBER(J34)),NOT(ISNUMBER(K34))),"No KRI measured",IF(L34="Lower is worse",IF(J34&lt;K34,"Breach - threshold exceeded","Within threshold"),IF(J34&gt;K34,"Breach - threshold exceeded","Within threshold"))))</f>
        <v/>
      </c>
      <c r="Q34" s="54" t="str">
        <f aca="false">IF(A34="","",IF(OR(O34="Completed",O34="Cancelled"),"Closed",IF(AND(ISNUMBER(E34),E34&lt;AsOf),"Overdue - late review (no finding implied)","Scheduled")))</f>
        <v/>
      </c>
      <c r="R34" s="61" t="str">
        <f aca="false">IF(AND(O34="Completed",ISNUMBER(F34),E34=_xlfn.MAXIFS(MON_REVDATE,MON_SUP,B34,MON_STATUS,"Completed")),B34&amp;"|Latest","")</f>
        <v/>
      </c>
      <c r="S34" s="54" t="str">
        <f aca="false">IF(A34="","",IF(COUNTIF(MON_ID,A34)&gt;1,"CHECK: duplicate ID",IF(B34="","CHECK: Supplier ID missing",IF(COUNTIF(INV_ID,B34)=0,"CHECK: Supplier ID not in inventory","OK"))))</f>
        <v/>
      </c>
    </row>
    <row r="35" customFormat="false" ht="15" hidden="false" customHeight="false" outlineLevel="0" collapsed="false">
      <c r="A35" s="50"/>
      <c r="B35" s="50"/>
      <c r="C35" s="59" t="str">
        <f aca="false">IF(B35="","",IFERROR(INDEX(INV_NAME,MATCH(B35,INV_ID,0)),"CHECK: Supplier ID not found"))</f>
        <v/>
      </c>
      <c r="D35" s="34"/>
      <c r="E35" s="51"/>
      <c r="F35" s="51"/>
      <c r="G35" s="34"/>
      <c r="H35" s="34"/>
      <c r="I35" s="34"/>
      <c r="J35" s="50"/>
      <c r="K35" s="50"/>
      <c r="L35" s="34"/>
      <c r="M35" s="50"/>
      <c r="N35" s="34"/>
      <c r="O35" s="50"/>
      <c r="P35" s="54" t="str">
        <f aca="false">IF(A35="","",IF(OR(I35="",NOT(ISNUMBER(J35)),NOT(ISNUMBER(K35))),"No KRI measured",IF(L35="Lower is worse",IF(J35&lt;K35,"Breach - threshold exceeded","Within threshold"),IF(J35&gt;K35,"Breach - threshold exceeded","Within threshold"))))</f>
        <v/>
      </c>
      <c r="Q35" s="54" t="str">
        <f aca="false">IF(A35="","",IF(OR(O35="Completed",O35="Cancelled"),"Closed",IF(AND(ISNUMBER(E35),E35&lt;AsOf),"Overdue - late review (no finding implied)","Scheduled")))</f>
        <v/>
      </c>
      <c r="R35" s="61" t="str">
        <f aca="false">IF(AND(O35="Completed",ISNUMBER(F35),E35=_xlfn.MAXIFS(MON_REVDATE,MON_SUP,B35,MON_STATUS,"Completed")),B35&amp;"|Latest","")</f>
        <v/>
      </c>
      <c r="S35" s="54" t="str">
        <f aca="false">IF(A35="","",IF(COUNTIF(MON_ID,A35)&gt;1,"CHECK: duplicate ID",IF(B35="","CHECK: Supplier ID missing",IF(COUNTIF(INV_ID,B35)=0,"CHECK: Supplier ID not in inventory","OK"))))</f>
        <v/>
      </c>
    </row>
    <row r="36" customFormat="false" ht="15" hidden="false" customHeight="false" outlineLevel="0" collapsed="false">
      <c r="A36" s="50"/>
      <c r="B36" s="50"/>
      <c r="C36" s="59" t="str">
        <f aca="false">IF(B36="","",IFERROR(INDEX(INV_NAME,MATCH(B36,INV_ID,0)),"CHECK: Supplier ID not found"))</f>
        <v/>
      </c>
      <c r="D36" s="34"/>
      <c r="E36" s="51"/>
      <c r="F36" s="51"/>
      <c r="G36" s="34"/>
      <c r="H36" s="34"/>
      <c r="I36" s="34"/>
      <c r="J36" s="50"/>
      <c r="K36" s="50"/>
      <c r="L36" s="34"/>
      <c r="M36" s="50"/>
      <c r="N36" s="34"/>
      <c r="O36" s="50"/>
      <c r="P36" s="54" t="str">
        <f aca="false">IF(A36="","",IF(OR(I36="",NOT(ISNUMBER(J36)),NOT(ISNUMBER(K36))),"No KRI measured",IF(L36="Lower is worse",IF(J36&lt;K36,"Breach - threshold exceeded","Within threshold"),IF(J36&gt;K36,"Breach - threshold exceeded","Within threshold"))))</f>
        <v/>
      </c>
      <c r="Q36" s="54" t="str">
        <f aca="false">IF(A36="","",IF(OR(O36="Completed",O36="Cancelled"),"Closed",IF(AND(ISNUMBER(E36),E36&lt;AsOf),"Overdue - late review (no finding implied)","Scheduled")))</f>
        <v/>
      </c>
      <c r="R36" s="61" t="str">
        <f aca="false">IF(AND(O36="Completed",ISNUMBER(F36),E36=_xlfn.MAXIFS(MON_REVDATE,MON_SUP,B36,MON_STATUS,"Completed")),B36&amp;"|Latest","")</f>
        <v/>
      </c>
      <c r="S36" s="54" t="str">
        <f aca="false">IF(A36="","",IF(COUNTIF(MON_ID,A36)&gt;1,"CHECK: duplicate ID",IF(B36="","CHECK: Supplier ID missing",IF(COUNTIF(INV_ID,B36)=0,"CHECK: Supplier ID not in inventory","OK"))))</f>
        <v/>
      </c>
    </row>
    <row r="37" customFormat="false" ht="15" hidden="false" customHeight="false" outlineLevel="0" collapsed="false">
      <c r="A37" s="50"/>
      <c r="B37" s="50"/>
      <c r="C37" s="59" t="str">
        <f aca="false">IF(B37="","",IFERROR(INDEX(INV_NAME,MATCH(B37,INV_ID,0)),"CHECK: Supplier ID not found"))</f>
        <v/>
      </c>
      <c r="D37" s="34"/>
      <c r="E37" s="51"/>
      <c r="F37" s="51"/>
      <c r="G37" s="34"/>
      <c r="H37" s="34"/>
      <c r="I37" s="34"/>
      <c r="J37" s="50"/>
      <c r="K37" s="50"/>
      <c r="L37" s="34"/>
      <c r="M37" s="50"/>
      <c r="N37" s="34"/>
      <c r="O37" s="50"/>
      <c r="P37" s="54" t="str">
        <f aca="false">IF(A37="","",IF(OR(I37="",NOT(ISNUMBER(J37)),NOT(ISNUMBER(K37))),"No KRI measured",IF(L37="Lower is worse",IF(J37&lt;K37,"Breach - threshold exceeded","Within threshold"),IF(J37&gt;K37,"Breach - threshold exceeded","Within threshold"))))</f>
        <v/>
      </c>
      <c r="Q37" s="54" t="str">
        <f aca="false">IF(A37="","",IF(OR(O37="Completed",O37="Cancelled"),"Closed",IF(AND(ISNUMBER(E37),E37&lt;AsOf),"Overdue - late review (no finding implied)","Scheduled")))</f>
        <v/>
      </c>
      <c r="R37" s="61" t="str">
        <f aca="false">IF(AND(O37="Completed",ISNUMBER(F37),E37=_xlfn.MAXIFS(MON_REVDATE,MON_SUP,B37,MON_STATUS,"Completed")),B37&amp;"|Latest","")</f>
        <v/>
      </c>
      <c r="S37" s="54" t="str">
        <f aca="false">IF(A37="","",IF(COUNTIF(MON_ID,A37)&gt;1,"CHECK: duplicate ID",IF(B37="","CHECK: Supplier ID missing",IF(COUNTIF(INV_ID,B37)=0,"CHECK: Supplier ID not in inventory","OK"))))</f>
        <v/>
      </c>
    </row>
    <row r="38" customFormat="false" ht="15" hidden="false" customHeight="false" outlineLevel="0" collapsed="false">
      <c r="A38" s="50"/>
      <c r="B38" s="50"/>
      <c r="C38" s="59" t="str">
        <f aca="false">IF(B38="","",IFERROR(INDEX(INV_NAME,MATCH(B38,INV_ID,0)),"CHECK: Supplier ID not found"))</f>
        <v/>
      </c>
      <c r="D38" s="34"/>
      <c r="E38" s="51"/>
      <c r="F38" s="51"/>
      <c r="G38" s="34"/>
      <c r="H38" s="34"/>
      <c r="I38" s="34"/>
      <c r="J38" s="50"/>
      <c r="K38" s="50"/>
      <c r="L38" s="34"/>
      <c r="M38" s="50"/>
      <c r="N38" s="34"/>
      <c r="O38" s="50"/>
      <c r="P38" s="54" t="str">
        <f aca="false">IF(A38="","",IF(OR(I38="",NOT(ISNUMBER(J38)),NOT(ISNUMBER(K38))),"No KRI measured",IF(L38="Lower is worse",IF(J38&lt;K38,"Breach - threshold exceeded","Within threshold"),IF(J38&gt;K38,"Breach - threshold exceeded","Within threshold"))))</f>
        <v/>
      </c>
      <c r="Q38" s="54" t="str">
        <f aca="false">IF(A38="","",IF(OR(O38="Completed",O38="Cancelled"),"Closed",IF(AND(ISNUMBER(E38),E38&lt;AsOf),"Overdue - late review (no finding implied)","Scheduled")))</f>
        <v/>
      </c>
      <c r="R38" s="61" t="str">
        <f aca="false">IF(AND(O38="Completed",ISNUMBER(F38),E38=_xlfn.MAXIFS(MON_REVDATE,MON_SUP,B38,MON_STATUS,"Completed")),B38&amp;"|Latest","")</f>
        <v/>
      </c>
      <c r="S38" s="54" t="str">
        <f aca="false">IF(A38="","",IF(COUNTIF(MON_ID,A38)&gt;1,"CHECK: duplicate ID",IF(B38="","CHECK: Supplier ID missing",IF(COUNTIF(INV_ID,B38)=0,"CHECK: Supplier ID not in inventory","OK"))))</f>
        <v/>
      </c>
    </row>
    <row r="39" customFormat="false" ht="15" hidden="false" customHeight="false" outlineLevel="0" collapsed="false">
      <c r="A39" s="50"/>
      <c r="B39" s="50"/>
      <c r="C39" s="59" t="str">
        <f aca="false">IF(B39="","",IFERROR(INDEX(INV_NAME,MATCH(B39,INV_ID,0)),"CHECK: Supplier ID not found"))</f>
        <v/>
      </c>
      <c r="D39" s="34"/>
      <c r="E39" s="51"/>
      <c r="F39" s="51"/>
      <c r="G39" s="34"/>
      <c r="H39" s="34"/>
      <c r="I39" s="34"/>
      <c r="J39" s="50"/>
      <c r="K39" s="50"/>
      <c r="L39" s="34"/>
      <c r="M39" s="50"/>
      <c r="N39" s="34"/>
      <c r="O39" s="50"/>
      <c r="P39" s="54" t="str">
        <f aca="false">IF(A39="","",IF(OR(I39="",NOT(ISNUMBER(J39)),NOT(ISNUMBER(K39))),"No KRI measured",IF(L39="Lower is worse",IF(J39&lt;K39,"Breach - threshold exceeded","Within threshold"),IF(J39&gt;K39,"Breach - threshold exceeded","Within threshold"))))</f>
        <v/>
      </c>
      <c r="Q39" s="54" t="str">
        <f aca="false">IF(A39="","",IF(OR(O39="Completed",O39="Cancelled"),"Closed",IF(AND(ISNUMBER(E39),E39&lt;AsOf),"Overdue - late review (no finding implied)","Scheduled")))</f>
        <v/>
      </c>
      <c r="R39" s="61" t="str">
        <f aca="false">IF(AND(O39="Completed",ISNUMBER(F39),E39=_xlfn.MAXIFS(MON_REVDATE,MON_SUP,B39,MON_STATUS,"Completed")),B39&amp;"|Latest","")</f>
        <v/>
      </c>
      <c r="S39" s="54" t="str">
        <f aca="false">IF(A39="","",IF(COUNTIF(MON_ID,A39)&gt;1,"CHECK: duplicate ID",IF(B39="","CHECK: Supplier ID missing",IF(COUNTIF(INV_ID,B39)=0,"CHECK: Supplier ID not in inventory","OK"))))</f>
        <v/>
      </c>
    </row>
    <row r="40" customFormat="false" ht="15" hidden="false" customHeight="false" outlineLevel="0" collapsed="false">
      <c r="A40" s="50"/>
      <c r="B40" s="50"/>
      <c r="C40" s="59" t="str">
        <f aca="false">IF(B40="","",IFERROR(INDEX(INV_NAME,MATCH(B40,INV_ID,0)),"CHECK: Supplier ID not found"))</f>
        <v/>
      </c>
      <c r="D40" s="34"/>
      <c r="E40" s="51"/>
      <c r="F40" s="51"/>
      <c r="G40" s="34"/>
      <c r="H40" s="34"/>
      <c r="I40" s="34"/>
      <c r="J40" s="50"/>
      <c r="K40" s="50"/>
      <c r="L40" s="34"/>
      <c r="M40" s="50"/>
      <c r="N40" s="34"/>
      <c r="O40" s="50"/>
      <c r="P40" s="54" t="str">
        <f aca="false">IF(A40="","",IF(OR(I40="",NOT(ISNUMBER(J40)),NOT(ISNUMBER(K40))),"No KRI measured",IF(L40="Lower is worse",IF(J40&lt;K40,"Breach - threshold exceeded","Within threshold"),IF(J40&gt;K40,"Breach - threshold exceeded","Within threshold"))))</f>
        <v/>
      </c>
      <c r="Q40" s="54" t="str">
        <f aca="false">IF(A40="","",IF(OR(O40="Completed",O40="Cancelled"),"Closed",IF(AND(ISNUMBER(E40),E40&lt;AsOf),"Overdue - late review (no finding implied)","Scheduled")))</f>
        <v/>
      </c>
      <c r="R40" s="61" t="str">
        <f aca="false">IF(AND(O40="Completed",ISNUMBER(F40),E40=_xlfn.MAXIFS(MON_REVDATE,MON_SUP,B40,MON_STATUS,"Completed")),B40&amp;"|Latest","")</f>
        <v/>
      </c>
      <c r="S40" s="54" t="str">
        <f aca="false">IF(A40="","",IF(COUNTIF(MON_ID,A40)&gt;1,"CHECK: duplicate ID",IF(B40="","CHECK: Supplier ID missing",IF(COUNTIF(INV_ID,B40)=0,"CHECK: Supplier ID not in inventory","OK"))))</f>
        <v/>
      </c>
    </row>
    <row r="41" customFormat="false" ht="15" hidden="false" customHeight="false" outlineLevel="0" collapsed="false">
      <c r="A41" s="50"/>
      <c r="B41" s="50"/>
      <c r="C41" s="59" t="str">
        <f aca="false">IF(B41="","",IFERROR(INDEX(INV_NAME,MATCH(B41,INV_ID,0)),"CHECK: Supplier ID not found"))</f>
        <v/>
      </c>
      <c r="D41" s="34"/>
      <c r="E41" s="51"/>
      <c r="F41" s="51"/>
      <c r="G41" s="34"/>
      <c r="H41" s="34"/>
      <c r="I41" s="34"/>
      <c r="J41" s="50"/>
      <c r="K41" s="50"/>
      <c r="L41" s="34"/>
      <c r="M41" s="50"/>
      <c r="N41" s="34"/>
      <c r="O41" s="50"/>
      <c r="P41" s="54" t="str">
        <f aca="false">IF(A41="","",IF(OR(I41="",NOT(ISNUMBER(J41)),NOT(ISNUMBER(K41))),"No KRI measured",IF(L41="Lower is worse",IF(J41&lt;K41,"Breach - threshold exceeded","Within threshold"),IF(J41&gt;K41,"Breach - threshold exceeded","Within threshold"))))</f>
        <v/>
      </c>
      <c r="Q41" s="54" t="str">
        <f aca="false">IF(A41="","",IF(OR(O41="Completed",O41="Cancelled"),"Closed",IF(AND(ISNUMBER(E41),E41&lt;AsOf),"Overdue - late review (no finding implied)","Scheduled")))</f>
        <v/>
      </c>
      <c r="R41" s="61" t="str">
        <f aca="false">IF(AND(O41="Completed",ISNUMBER(F41),E41=_xlfn.MAXIFS(MON_REVDATE,MON_SUP,B41,MON_STATUS,"Completed")),B41&amp;"|Latest","")</f>
        <v/>
      </c>
      <c r="S41" s="54" t="str">
        <f aca="false">IF(A41="","",IF(COUNTIF(MON_ID,A41)&gt;1,"CHECK: duplicate ID",IF(B41="","CHECK: Supplier ID missing",IF(COUNTIF(INV_ID,B41)=0,"CHECK: Supplier ID not in inventory","OK"))))</f>
        <v/>
      </c>
    </row>
    <row r="42" customFormat="false" ht="15" hidden="false" customHeight="false" outlineLevel="0" collapsed="false">
      <c r="A42" s="50"/>
      <c r="B42" s="50"/>
      <c r="C42" s="59" t="str">
        <f aca="false">IF(B42="","",IFERROR(INDEX(INV_NAME,MATCH(B42,INV_ID,0)),"CHECK: Supplier ID not found"))</f>
        <v/>
      </c>
      <c r="D42" s="34"/>
      <c r="E42" s="51"/>
      <c r="F42" s="51"/>
      <c r="G42" s="34"/>
      <c r="H42" s="34"/>
      <c r="I42" s="34"/>
      <c r="J42" s="50"/>
      <c r="K42" s="50"/>
      <c r="L42" s="34"/>
      <c r="M42" s="50"/>
      <c r="N42" s="34"/>
      <c r="O42" s="50"/>
      <c r="P42" s="54" t="str">
        <f aca="false">IF(A42="","",IF(OR(I42="",NOT(ISNUMBER(J42)),NOT(ISNUMBER(K42))),"No KRI measured",IF(L42="Lower is worse",IF(J42&lt;K42,"Breach - threshold exceeded","Within threshold"),IF(J42&gt;K42,"Breach - threshold exceeded","Within threshold"))))</f>
        <v/>
      </c>
      <c r="Q42" s="54" t="str">
        <f aca="false">IF(A42="","",IF(OR(O42="Completed",O42="Cancelled"),"Closed",IF(AND(ISNUMBER(E42),E42&lt;AsOf),"Overdue - late review (no finding implied)","Scheduled")))</f>
        <v/>
      </c>
      <c r="R42" s="61" t="str">
        <f aca="false">IF(AND(O42="Completed",ISNUMBER(F42),E42=_xlfn.MAXIFS(MON_REVDATE,MON_SUP,B42,MON_STATUS,"Completed")),B42&amp;"|Latest","")</f>
        <v/>
      </c>
      <c r="S42" s="54" t="str">
        <f aca="false">IF(A42="","",IF(COUNTIF(MON_ID,A42)&gt;1,"CHECK: duplicate ID",IF(B42="","CHECK: Supplier ID missing",IF(COUNTIF(INV_ID,B42)=0,"CHECK: Supplier ID not in inventory","OK"))))</f>
        <v/>
      </c>
    </row>
    <row r="43" customFormat="false" ht="15" hidden="false" customHeight="false" outlineLevel="0" collapsed="false">
      <c r="A43" s="50"/>
      <c r="B43" s="50"/>
      <c r="C43" s="59" t="str">
        <f aca="false">IF(B43="","",IFERROR(INDEX(INV_NAME,MATCH(B43,INV_ID,0)),"CHECK: Supplier ID not found"))</f>
        <v/>
      </c>
      <c r="D43" s="34"/>
      <c r="E43" s="51"/>
      <c r="F43" s="51"/>
      <c r="G43" s="34"/>
      <c r="H43" s="34"/>
      <c r="I43" s="34"/>
      <c r="J43" s="50"/>
      <c r="K43" s="50"/>
      <c r="L43" s="34"/>
      <c r="M43" s="50"/>
      <c r="N43" s="34"/>
      <c r="O43" s="50"/>
      <c r="P43" s="54" t="str">
        <f aca="false">IF(A43="","",IF(OR(I43="",NOT(ISNUMBER(J43)),NOT(ISNUMBER(K43))),"No KRI measured",IF(L43="Lower is worse",IF(J43&lt;K43,"Breach - threshold exceeded","Within threshold"),IF(J43&gt;K43,"Breach - threshold exceeded","Within threshold"))))</f>
        <v/>
      </c>
      <c r="Q43" s="54" t="str">
        <f aca="false">IF(A43="","",IF(OR(O43="Completed",O43="Cancelled"),"Closed",IF(AND(ISNUMBER(E43),E43&lt;AsOf),"Overdue - late review (no finding implied)","Scheduled")))</f>
        <v/>
      </c>
      <c r="R43" s="61" t="str">
        <f aca="false">IF(AND(O43="Completed",ISNUMBER(F43),E43=_xlfn.MAXIFS(MON_REVDATE,MON_SUP,B43,MON_STATUS,"Completed")),B43&amp;"|Latest","")</f>
        <v/>
      </c>
      <c r="S43" s="54" t="str">
        <f aca="false">IF(A43="","",IF(COUNTIF(MON_ID,A43)&gt;1,"CHECK: duplicate ID",IF(B43="","CHECK: Supplier ID missing",IF(COUNTIF(INV_ID,B43)=0,"CHECK: Supplier ID not in inventory","OK"))))</f>
        <v/>
      </c>
    </row>
    <row r="44" customFormat="false" ht="15" hidden="false" customHeight="false" outlineLevel="0" collapsed="false">
      <c r="A44" s="50"/>
      <c r="B44" s="50"/>
      <c r="C44" s="59" t="str">
        <f aca="false">IF(B44="","",IFERROR(INDEX(INV_NAME,MATCH(B44,INV_ID,0)),"CHECK: Supplier ID not found"))</f>
        <v/>
      </c>
      <c r="D44" s="34"/>
      <c r="E44" s="51"/>
      <c r="F44" s="51"/>
      <c r="G44" s="34"/>
      <c r="H44" s="34"/>
      <c r="I44" s="34"/>
      <c r="J44" s="50"/>
      <c r="K44" s="50"/>
      <c r="L44" s="34"/>
      <c r="M44" s="50"/>
      <c r="N44" s="34"/>
      <c r="O44" s="50"/>
      <c r="P44" s="54" t="str">
        <f aca="false">IF(A44="","",IF(OR(I44="",NOT(ISNUMBER(J44)),NOT(ISNUMBER(K44))),"No KRI measured",IF(L44="Lower is worse",IF(J44&lt;K44,"Breach - threshold exceeded","Within threshold"),IF(J44&gt;K44,"Breach - threshold exceeded","Within threshold"))))</f>
        <v/>
      </c>
      <c r="Q44" s="54" t="str">
        <f aca="false">IF(A44="","",IF(OR(O44="Completed",O44="Cancelled"),"Closed",IF(AND(ISNUMBER(E44),E44&lt;AsOf),"Overdue - late review (no finding implied)","Scheduled")))</f>
        <v/>
      </c>
      <c r="R44" s="61" t="str">
        <f aca="false">IF(AND(O44="Completed",ISNUMBER(F44),E44=_xlfn.MAXIFS(MON_REVDATE,MON_SUP,B44,MON_STATUS,"Completed")),B44&amp;"|Latest","")</f>
        <v/>
      </c>
      <c r="S44" s="54" t="str">
        <f aca="false">IF(A44="","",IF(COUNTIF(MON_ID,A44)&gt;1,"CHECK: duplicate ID",IF(B44="","CHECK: Supplier ID missing",IF(COUNTIF(INV_ID,B44)=0,"CHECK: Supplier ID not in inventory","OK"))))</f>
        <v/>
      </c>
    </row>
    <row r="45" customFormat="false" ht="15" hidden="false" customHeight="false" outlineLevel="0" collapsed="false">
      <c r="A45" s="50"/>
      <c r="B45" s="50"/>
      <c r="C45" s="59" t="str">
        <f aca="false">IF(B45="","",IFERROR(INDEX(INV_NAME,MATCH(B45,INV_ID,0)),"CHECK: Supplier ID not found"))</f>
        <v/>
      </c>
      <c r="D45" s="34"/>
      <c r="E45" s="51"/>
      <c r="F45" s="51"/>
      <c r="G45" s="34"/>
      <c r="H45" s="34"/>
      <c r="I45" s="34"/>
      <c r="J45" s="50"/>
      <c r="K45" s="50"/>
      <c r="L45" s="34"/>
      <c r="M45" s="50"/>
      <c r="N45" s="34"/>
      <c r="O45" s="50"/>
      <c r="P45" s="54" t="str">
        <f aca="false">IF(A45="","",IF(OR(I45="",NOT(ISNUMBER(J45)),NOT(ISNUMBER(K45))),"No KRI measured",IF(L45="Lower is worse",IF(J45&lt;K45,"Breach - threshold exceeded","Within threshold"),IF(J45&gt;K45,"Breach - threshold exceeded","Within threshold"))))</f>
        <v/>
      </c>
      <c r="Q45" s="54" t="str">
        <f aca="false">IF(A45="","",IF(OR(O45="Completed",O45="Cancelled"),"Closed",IF(AND(ISNUMBER(E45),E45&lt;AsOf),"Overdue - late review (no finding implied)","Scheduled")))</f>
        <v/>
      </c>
      <c r="R45" s="61" t="str">
        <f aca="false">IF(AND(O45="Completed",ISNUMBER(F45),E45=_xlfn.MAXIFS(MON_REVDATE,MON_SUP,B45,MON_STATUS,"Completed")),B45&amp;"|Latest","")</f>
        <v/>
      </c>
      <c r="S45" s="54" t="str">
        <f aca="false">IF(A45="","",IF(COUNTIF(MON_ID,A45)&gt;1,"CHECK: duplicate ID",IF(B45="","CHECK: Supplier ID missing",IF(COUNTIF(INV_ID,B45)=0,"CHECK: Supplier ID not in inventory","OK"))))</f>
        <v/>
      </c>
    </row>
    <row r="46" customFormat="false" ht="15" hidden="false" customHeight="false" outlineLevel="0" collapsed="false">
      <c r="A46" s="50"/>
      <c r="B46" s="50"/>
      <c r="C46" s="59" t="str">
        <f aca="false">IF(B46="","",IFERROR(INDEX(INV_NAME,MATCH(B46,INV_ID,0)),"CHECK: Supplier ID not found"))</f>
        <v/>
      </c>
      <c r="D46" s="34"/>
      <c r="E46" s="51"/>
      <c r="F46" s="51"/>
      <c r="G46" s="34"/>
      <c r="H46" s="34"/>
      <c r="I46" s="34"/>
      <c r="J46" s="50"/>
      <c r="K46" s="50"/>
      <c r="L46" s="34"/>
      <c r="M46" s="50"/>
      <c r="N46" s="34"/>
      <c r="O46" s="50"/>
      <c r="P46" s="54" t="str">
        <f aca="false">IF(A46="","",IF(OR(I46="",NOT(ISNUMBER(J46)),NOT(ISNUMBER(K46))),"No KRI measured",IF(L46="Lower is worse",IF(J46&lt;K46,"Breach - threshold exceeded","Within threshold"),IF(J46&gt;K46,"Breach - threshold exceeded","Within threshold"))))</f>
        <v/>
      </c>
      <c r="Q46" s="54" t="str">
        <f aca="false">IF(A46="","",IF(OR(O46="Completed",O46="Cancelled"),"Closed",IF(AND(ISNUMBER(E46),E46&lt;AsOf),"Overdue - late review (no finding implied)","Scheduled")))</f>
        <v/>
      </c>
      <c r="R46" s="61" t="str">
        <f aca="false">IF(AND(O46="Completed",ISNUMBER(F46),E46=_xlfn.MAXIFS(MON_REVDATE,MON_SUP,B46,MON_STATUS,"Completed")),B46&amp;"|Latest","")</f>
        <v/>
      </c>
      <c r="S46" s="54" t="str">
        <f aca="false">IF(A46="","",IF(COUNTIF(MON_ID,A46)&gt;1,"CHECK: duplicate ID",IF(B46="","CHECK: Supplier ID missing",IF(COUNTIF(INV_ID,B46)=0,"CHECK: Supplier ID not in inventory","OK"))))</f>
        <v/>
      </c>
    </row>
    <row r="47" customFormat="false" ht="15" hidden="false" customHeight="false" outlineLevel="0" collapsed="false">
      <c r="A47" s="50"/>
      <c r="B47" s="50"/>
      <c r="C47" s="59" t="str">
        <f aca="false">IF(B47="","",IFERROR(INDEX(INV_NAME,MATCH(B47,INV_ID,0)),"CHECK: Supplier ID not found"))</f>
        <v/>
      </c>
      <c r="D47" s="34"/>
      <c r="E47" s="51"/>
      <c r="F47" s="51"/>
      <c r="G47" s="34"/>
      <c r="H47" s="34"/>
      <c r="I47" s="34"/>
      <c r="J47" s="50"/>
      <c r="K47" s="50"/>
      <c r="L47" s="34"/>
      <c r="M47" s="50"/>
      <c r="N47" s="34"/>
      <c r="O47" s="50"/>
      <c r="P47" s="54" t="str">
        <f aca="false">IF(A47="","",IF(OR(I47="",NOT(ISNUMBER(J47)),NOT(ISNUMBER(K47))),"No KRI measured",IF(L47="Lower is worse",IF(J47&lt;K47,"Breach - threshold exceeded","Within threshold"),IF(J47&gt;K47,"Breach - threshold exceeded","Within threshold"))))</f>
        <v/>
      </c>
      <c r="Q47" s="54" t="str">
        <f aca="false">IF(A47="","",IF(OR(O47="Completed",O47="Cancelled"),"Closed",IF(AND(ISNUMBER(E47),E47&lt;AsOf),"Overdue - late review (no finding implied)","Scheduled")))</f>
        <v/>
      </c>
      <c r="R47" s="61" t="str">
        <f aca="false">IF(AND(O47="Completed",ISNUMBER(F47),E47=_xlfn.MAXIFS(MON_REVDATE,MON_SUP,B47,MON_STATUS,"Completed")),B47&amp;"|Latest","")</f>
        <v/>
      </c>
      <c r="S47" s="54" t="str">
        <f aca="false">IF(A47="","",IF(COUNTIF(MON_ID,A47)&gt;1,"CHECK: duplicate ID",IF(B47="","CHECK: Supplier ID missing",IF(COUNTIF(INV_ID,B47)=0,"CHECK: Supplier ID not in inventory","OK"))))</f>
        <v/>
      </c>
    </row>
    <row r="48" customFormat="false" ht="15" hidden="false" customHeight="false" outlineLevel="0" collapsed="false">
      <c r="A48" s="50"/>
      <c r="B48" s="50"/>
      <c r="C48" s="59" t="str">
        <f aca="false">IF(B48="","",IFERROR(INDEX(INV_NAME,MATCH(B48,INV_ID,0)),"CHECK: Supplier ID not found"))</f>
        <v/>
      </c>
      <c r="D48" s="34"/>
      <c r="E48" s="51"/>
      <c r="F48" s="51"/>
      <c r="G48" s="34"/>
      <c r="H48" s="34"/>
      <c r="I48" s="34"/>
      <c r="J48" s="50"/>
      <c r="K48" s="50"/>
      <c r="L48" s="34"/>
      <c r="M48" s="50"/>
      <c r="N48" s="34"/>
      <c r="O48" s="50"/>
      <c r="P48" s="54" t="str">
        <f aca="false">IF(A48="","",IF(OR(I48="",NOT(ISNUMBER(J48)),NOT(ISNUMBER(K48))),"No KRI measured",IF(L48="Lower is worse",IF(J48&lt;K48,"Breach - threshold exceeded","Within threshold"),IF(J48&gt;K48,"Breach - threshold exceeded","Within threshold"))))</f>
        <v/>
      </c>
      <c r="Q48" s="54" t="str">
        <f aca="false">IF(A48="","",IF(OR(O48="Completed",O48="Cancelled"),"Closed",IF(AND(ISNUMBER(E48),E48&lt;AsOf),"Overdue - late review (no finding implied)","Scheduled")))</f>
        <v/>
      </c>
      <c r="R48" s="61" t="str">
        <f aca="false">IF(AND(O48="Completed",ISNUMBER(F48),E48=_xlfn.MAXIFS(MON_REVDATE,MON_SUP,B48,MON_STATUS,"Completed")),B48&amp;"|Latest","")</f>
        <v/>
      </c>
      <c r="S48" s="54" t="str">
        <f aca="false">IF(A48="","",IF(COUNTIF(MON_ID,A48)&gt;1,"CHECK: duplicate ID",IF(B48="","CHECK: Supplier ID missing",IF(COUNTIF(INV_ID,B48)=0,"CHECK: Supplier ID not in inventory","OK"))))</f>
        <v/>
      </c>
    </row>
    <row r="49" customFormat="false" ht="15" hidden="false" customHeight="false" outlineLevel="0" collapsed="false">
      <c r="A49" s="50"/>
      <c r="B49" s="50"/>
      <c r="C49" s="59" t="str">
        <f aca="false">IF(B49="","",IFERROR(INDEX(INV_NAME,MATCH(B49,INV_ID,0)),"CHECK: Supplier ID not found"))</f>
        <v/>
      </c>
      <c r="D49" s="34"/>
      <c r="E49" s="51"/>
      <c r="F49" s="51"/>
      <c r="G49" s="34"/>
      <c r="H49" s="34"/>
      <c r="I49" s="34"/>
      <c r="J49" s="50"/>
      <c r="K49" s="50"/>
      <c r="L49" s="34"/>
      <c r="M49" s="50"/>
      <c r="N49" s="34"/>
      <c r="O49" s="50"/>
      <c r="P49" s="54" t="str">
        <f aca="false">IF(A49="","",IF(OR(I49="",NOT(ISNUMBER(J49)),NOT(ISNUMBER(K49))),"No KRI measured",IF(L49="Lower is worse",IF(J49&lt;K49,"Breach - threshold exceeded","Within threshold"),IF(J49&gt;K49,"Breach - threshold exceeded","Within threshold"))))</f>
        <v/>
      </c>
      <c r="Q49" s="54" t="str">
        <f aca="false">IF(A49="","",IF(OR(O49="Completed",O49="Cancelled"),"Closed",IF(AND(ISNUMBER(E49),E49&lt;AsOf),"Overdue - late review (no finding implied)","Scheduled")))</f>
        <v/>
      </c>
      <c r="R49" s="61" t="str">
        <f aca="false">IF(AND(O49="Completed",ISNUMBER(F49),E49=_xlfn.MAXIFS(MON_REVDATE,MON_SUP,B49,MON_STATUS,"Completed")),B49&amp;"|Latest","")</f>
        <v/>
      </c>
      <c r="S49" s="54" t="str">
        <f aca="false">IF(A49="","",IF(COUNTIF(MON_ID,A49)&gt;1,"CHECK: duplicate ID",IF(B49="","CHECK: Supplier ID missing",IF(COUNTIF(INV_ID,B49)=0,"CHECK: Supplier ID not in inventory","OK"))))</f>
        <v/>
      </c>
    </row>
    <row r="50" customFormat="false" ht="15" hidden="false" customHeight="false" outlineLevel="0" collapsed="false">
      <c r="A50" s="50"/>
      <c r="B50" s="50"/>
      <c r="C50" s="59" t="str">
        <f aca="false">IF(B50="","",IFERROR(INDEX(INV_NAME,MATCH(B50,INV_ID,0)),"CHECK: Supplier ID not found"))</f>
        <v/>
      </c>
      <c r="D50" s="34"/>
      <c r="E50" s="51"/>
      <c r="F50" s="51"/>
      <c r="G50" s="34"/>
      <c r="H50" s="34"/>
      <c r="I50" s="34"/>
      <c r="J50" s="50"/>
      <c r="K50" s="50"/>
      <c r="L50" s="34"/>
      <c r="M50" s="50"/>
      <c r="N50" s="34"/>
      <c r="O50" s="50"/>
      <c r="P50" s="54" t="str">
        <f aca="false">IF(A50="","",IF(OR(I50="",NOT(ISNUMBER(J50)),NOT(ISNUMBER(K50))),"No KRI measured",IF(L50="Lower is worse",IF(J50&lt;K50,"Breach - threshold exceeded","Within threshold"),IF(J50&gt;K50,"Breach - threshold exceeded","Within threshold"))))</f>
        <v/>
      </c>
      <c r="Q50" s="54" t="str">
        <f aca="false">IF(A50="","",IF(OR(O50="Completed",O50="Cancelled"),"Closed",IF(AND(ISNUMBER(E50),E50&lt;AsOf),"Overdue - late review (no finding implied)","Scheduled")))</f>
        <v/>
      </c>
      <c r="R50" s="61" t="str">
        <f aca="false">IF(AND(O50="Completed",ISNUMBER(F50),E50=_xlfn.MAXIFS(MON_REVDATE,MON_SUP,B50,MON_STATUS,"Completed")),B50&amp;"|Latest","")</f>
        <v/>
      </c>
      <c r="S50" s="54" t="str">
        <f aca="false">IF(A50="","",IF(COUNTIF(MON_ID,A50)&gt;1,"CHECK: duplicate ID",IF(B50="","CHECK: Supplier ID missing",IF(COUNTIF(INV_ID,B50)=0,"CHECK: Supplier ID not in inventory","OK"))))</f>
        <v/>
      </c>
    </row>
    <row r="51" customFormat="false" ht="15" hidden="false" customHeight="false" outlineLevel="0" collapsed="false">
      <c r="A51" s="50"/>
      <c r="B51" s="50"/>
      <c r="C51" s="59" t="str">
        <f aca="false">IF(B51="","",IFERROR(INDEX(INV_NAME,MATCH(B51,INV_ID,0)),"CHECK: Supplier ID not found"))</f>
        <v/>
      </c>
      <c r="D51" s="34"/>
      <c r="E51" s="51"/>
      <c r="F51" s="51"/>
      <c r="G51" s="34"/>
      <c r="H51" s="34"/>
      <c r="I51" s="34"/>
      <c r="J51" s="50"/>
      <c r="K51" s="50"/>
      <c r="L51" s="34"/>
      <c r="M51" s="50"/>
      <c r="N51" s="34"/>
      <c r="O51" s="50"/>
      <c r="P51" s="54" t="str">
        <f aca="false">IF(A51="","",IF(OR(I51="",NOT(ISNUMBER(J51)),NOT(ISNUMBER(K51))),"No KRI measured",IF(L51="Lower is worse",IF(J51&lt;K51,"Breach - threshold exceeded","Within threshold"),IF(J51&gt;K51,"Breach - threshold exceeded","Within threshold"))))</f>
        <v/>
      </c>
      <c r="Q51" s="54" t="str">
        <f aca="false">IF(A51="","",IF(OR(O51="Completed",O51="Cancelled"),"Closed",IF(AND(ISNUMBER(E51),E51&lt;AsOf),"Overdue - late review (no finding implied)","Scheduled")))</f>
        <v/>
      </c>
      <c r="R51" s="61" t="str">
        <f aca="false">IF(AND(O51="Completed",ISNUMBER(F51),E51=_xlfn.MAXIFS(MON_REVDATE,MON_SUP,B51,MON_STATUS,"Completed")),B51&amp;"|Latest","")</f>
        <v/>
      </c>
      <c r="S51" s="54" t="str">
        <f aca="false">IF(A51="","",IF(COUNTIF(MON_ID,A51)&gt;1,"CHECK: duplicate ID",IF(B51="","CHECK: Supplier ID missing",IF(COUNTIF(INV_ID,B51)=0,"CHECK: Supplier ID not in inventory","OK"))))</f>
        <v/>
      </c>
    </row>
    <row r="52" customFormat="false" ht="15" hidden="false" customHeight="false" outlineLevel="0" collapsed="false">
      <c r="A52" s="50"/>
      <c r="B52" s="50"/>
      <c r="C52" s="59" t="str">
        <f aca="false">IF(B52="","",IFERROR(INDEX(INV_NAME,MATCH(B52,INV_ID,0)),"CHECK: Supplier ID not found"))</f>
        <v/>
      </c>
      <c r="D52" s="34"/>
      <c r="E52" s="51"/>
      <c r="F52" s="51"/>
      <c r="G52" s="34"/>
      <c r="H52" s="34"/>
      <c r="I52" s="34"/>
      <c r="J52" s="50"/>
      <c r="K52" s="50"/>
      <c r="L52" s="34"/>
      <c r="M52" s="50"/>
      <c r="N52" s="34"/>
      <c r="O52" s="50"/>
      <c r="P52" s="54" t="str">
        <f aca="false">IF(A52="","",IF(OR(I52="",NOT(ISNUMBER(J52)),NOT(ISNUMBER(K52))),"No KRI measured",IF(L52="Lower is worse",IF(J52&lt;K52,"Breach - threshold exceeded","Within threshold"),IF(J52&gt;K52,"Breach - threshold exceeded","Within threshold"))))</f>
        <v/>
      </c>
      <c r="Q52" s="54" t="str">
        <f aca="false">IF(A52="","",IF(OR(O52="Completed",O52="Cancelled"),"Closed",IF(AND(ISNUMBER(E52),E52&lt;AsOf),"Overdue - late review (no finding implied)","Scheduled")))</f>
        <v/>
      </c>
      <c r="R52" s="61" t="str">
        <f aca="false">IF(AND(O52="Completed",ISNUMBER(F52),E52=_xlfn.MAXIFS(MON_REVDATE,MON_SUP,B52,MON_STATUS,"Completed")),B52&amp;"|Latest","")</f>
        <v/>
      </c>
      <c r="S52" s="54" t="str">
        <f aca="false">IF(A52="","",IF(COUNTIF(MON_ID,A52)&gt;1,"CHECK: duplicate ID",IF(B52="","CHECK: Supplier ID missing",IF(COUNTIF(INV_ID,B52)=0,"CHECK: Supplier ID not in inventory","OK"))))</f>
        <v/>
      </c>
    </row>
    <row r="53" customFormat="false" ht="15" hidden="false" customHeight="false" outlineLevel="0" collapsed="false">
      <c r="A53" s="50"/>
      <c r="B53" s="50"/>
      <c r="C53" s="59" t="str">
        <f aca="false">IF(B53="","",IFERROR(INDEX(INV_NAME,MATCH(B53,INV_ID,0)),"CHECK: Supplier ID not found"))</f>
        <v/>
      </c>
      <c r="D53" s="34"/>
      <c r="E53" s="51"/>
      <c r="F53" s="51"/>
      <c r="G53" s="34"/>
      <c r="H53" s="34"/>
      <c r="I53" s="34"/>
      <c r="J53" s="50"/>
      <c r="K53" s="50"/>
      <c r="L53" s="34"/>
      <c r="M53" s="50"/>
      <c r="N53" s="34"/>
      <c r="O53" s="50"/>
      <c r="P53" s="54" t="str">
        <f aca="false">IF(A53="","",IF(OR(I53="",NOT(ISNUMBER(J53)),NOT(ISNUMBER(K53))),"No KRI measured",IF(L53="Lower is worse",IF(J53&lt;K53,"Breach - threshold exceeded","Within threshold"),IF(J53&gt;K53,"Breach - threshold exceeded","Within threshold"))))</f>
        <v/>
      </c>
      <c r="Q53" s="54" t="str">
        <f aca="false">IF(A53="","",IF(OR(O53="Completed",O53="Cancelled"),"Closed",IF(AND(ISNUMBER(E53),E53&lt;AsOf),"Overdue - late review (no finding implied)","Scheduled")))</f>
        <v/>
      </c>
      <c r="R53" s="61" t="str">
        <f aca="false">IF(AND(O53="Completed",ISNUMBER(F53),E53=_xlfn.MAXIFS(MON_REVDATE,MON_SUP,B53,MON_STATUS,"Completed")),B53&amp;"|Latest","")</f>
        <v/>
      </c>
      <c r="S53" s="54" t="str">
        <f aca="false">IF(A53="","",IF(COUNTIF(MON_ID,A53)&gt;1,"CHECK: duplicate ID",IF(B53="","CHECK: Supplier ID missing",IF(COUNTIF(INV_ID,B53)=0,"CHECK: Supplier ID not in inventory","OK"))))</f>
        <v/>
      </c>
    </row>
    <row r="54" customFormat="false" ht="15" hidden="false" customHeight="false" outlineLevel="0" collapsed="false">
      <c r="A54" s="50"/>
      <c r="B54" s="50"/>
      <c r="C54" s="59" t="str">
        <f aca="false">IF(B54="","",IFERROR(INDEX(INV_NAME,MATCH(B54,INV_ID,0)),"CHECK: Supplier ID not found"))</f>
        <v/>
      </c>
      <c r="D54" s="34"/>
      <c r="E54" s="51"/>
      <c r="F54" s="51"/>
      <c r="G54" s="34"/>
      <c r="H54" s="34"/>
      <c r="I54" s="34"/>
      <c r="J54" s="50"/>
      <c r="K54" s="50"/>
      <c r="L54" s="34"/>
      <c r="M54" s="50"/>
      <c r="N54" s="34"/>
      <c r="O54" s="50"/>
      <c r="P54" s="54" t="str">
        <f aca="false">IF(A54="","",IF(OR(I54="",NOT(ISNUMBER(J54)),NOT(ISNUMBER(K54))),"No KRI measured",IF(L54="Lower is worse",IF(J54&lt;K54,"Breach - threshold exceeded","Within threshold"),IF(J54&gt;K54,"Breach - threshold exceeded","Within threshold"))))</f>
        <v/>
      </c>
      <c r="Q54" s="54" t="str">
        <f aca="false">IF(A54="","",IF(OR(O54="Completed",O54="Cancelled"),"Closed",IF(AND(ISNUMBER(E54),E54&lt;AsOf),"Overdue - late review (no finding implied)","Scheduled")))</f>
        <v/>
      </c>
      <c r="R54" s="61" t="str">
        <f aca="false">IF(AND(O54="Completed",ISNUMBER(F54),E54=_xlfn.MAXIFS(MON_REVDATE,MON_SUP,B54,MON_STATUS,"Completed")),B54&amp;"|Latest","")</f>
        <v/>
      </c>
      <c r="S54" s="54" t="str">
        <f aca="false">IF(A54="","",IF(COUNTIF(MON_ID,A54)&gt;1,"CHECK: duplicate ID",IF(B54="","CHECK: Supplier ID missing",IF(COUNTIF(INV_ID,B54)=0,"CHECK: Supplier ID not in inventory","OK"))))</f>
        <v/>
      </c>
    </row>
    <row r="55" customFormat="false" ht="15" hidden="false" customHeight="false" outlineLevel="0" collapsed="false">
      <c r="A55" s="50"/>
      <c r="B55" s="50"/>
      <c r="C55" s="59" t="str">
        <f aca="false">IF(B55="","",IFERROR(INDEX(INV_NAME,MATCH(B55,INV_ID,0)),"CHECK: Supplier ID not found"))</f>
        <v/>
      </c>
      <c r="D55" s="34"/>
      <c r="E55" s="51"/>
      <c r="F55" s="51"/>
      <c r="G55" s="34"/>
      <c r="H55" s="34"/>
      <c r="I55" s="34"/>
      <c r="J55" s="50"/>
      <c r="K55" s="50"/>
      <c r="L55" s="34"/>
      <c r="M55" s="50"/>
      <c r="N55" s="34"/>
      <c r="O55" s="50"/>
      <c r="P55" s="54" t="str">
        <f aca="false">IF(A55="","",IF(OR(I55="",NOT(ISNUMBER(J55)),NOT(ISNUMBER(K55))),"No KRI measured",IF(L55="Lower is worse",IF(J55&lt;K55,"Breach - threshold exceeded","Within threshold"),IF(J55&gt;K55,"Breach - threshold exceeded","Within threshold"))))</f>
        <v/>
      </c>
      <c r="Q55" s="54" t="str">
        <f aca="false">IF(A55="","",IF(OR(O55="Completed",O55="Cancelled"),"Closed",IF(AND(ISNUMBER(E55),E55&lt;AsOf),"Overdue - late review (no finding implied)","Scheduled")))</f>
        <v/>
      </c>
      <c r="R55" s="61" t="str">
        <f aca="false">IF(AND(O55="Completed",ISNUMBER(F55),E55=_xlfn.MAXIFS(MON_REVDATE,MON_SUP,B55,MON_STATUS,"Completed")),B55&amp;"|Latest","")</f>
        <v/>
      </c>
      <c r="S55" s="54" t="str">
        <f aca="false">IF(A55="","",IF(COUNTIF(MON_ID,A55)&gt;1,"CHECK: duplicate ID",IF(B55="","CHECK: Supplier ID missing",IF(COUNTIF(INV_ID,B55)=0,"CHECK: Supplier ID not in inventory","OK"))))</f>
        <v/>
      </c>
    </row>
    <row r="56" customFormat="false" ht="15" hidden="false" customHeight="false" outlineLevel="0" collapsed="false">
      <c r="A56" s="50"/>
      <c r="B56" s="50"/>
      <c r="C56" s="59" t="str">
        <f aca="false">IF(B56="","",IFERROR(INDEX(INV_NAME,MATCH(B56,INV_ID,0)),"CHECK: Supplier ID not found"))</f>
        <v/>
      </c>
      <c r="D56" s="34"/>
      <c r="E56" s="51"/>
      <c r="F56" s="51"/>
      <c r="G56" s="34"/>
      <c r="H56" s="34"/>
      <c r="I56" s="34"/>
      <c r="J56" s="50"/>
      <c r="K56" s="50"/>
      <c r="L56" s="34"/>
      <c r="M56" s="50"/>
      <c r="N56" s="34"/>
      <c r="O56" s="50"/>
      <c r="P56" s="54" t="str">
        <f aca="false">IF(A56="","",IF(OR(I56="",NOT(ISNUMBER(J56)),NOT(ISNUMBER(K56))),"No KRI measured",IF(L56="Lower is worse",IF(J56&lt;K56,"Breach - threshold exceeded","Within threshold"),IF(J56&gt;K56,"Breach - threshold exceeded","Within threshold"))))</f>
        <v/>
      </c>
      <c r="Q56" s="54" t="str">
        <f aca="false">IF(A56="","",IF(OR(O56="Completed",O56="Cancelled"),"Closed",IF(AND(ISNUMBER(E56),E56&lt;AsOf),"Overdue - late review (no finding implied)","Scheduled")))</f>
        <v/>
      </c>
      <c r="R56" s="61" t="str">
        <f aca="false">IF(AND(O56="Completed",ISNUMBER(F56),E56=_xlfn.MAXIFS(MON_REVDATE,MON_SUP,B56,MON_STATUS,"Completed")),B56&amp;"|Latest","")</f>
        <v/>
      </c>
      <c r="S56" s="54" t="str">
        <f aca="false">IF(A56="","",IF(COUNTIF(MON_ID,A56)&gt;1,"CHECK: duplicate ID",IF(B56="","CHECK: Supplier ID missing",IF(COUNTIF(INV_ID,B56)=0,"CHECK: Supplier ID not in inventory","OK"))))</f>
        <v/>
      </c>
    </row>
    <row r="57" customFormat="false" ht="15" hidden="false" customHeight="false" outlineLevel="0" collapsed="false">
      <c r="A57" s="50"/>
      <c r="B57" s="50"/>
      <c r="C57" s="59" t="str">
        <f aca="false">IF(B57="","",IFERROR(INDEX(INV_NAME,MATCH(B57,INV_ID,0)),"CHECK: Supplier ID not found"))</f>
        <v/>
      </c>
      <c r="D57" s="34"/>
      <c r="E57" s="51"/>
      <c r="F57" s="51"/>
      <c r="G57" s="34"/>
      <c r="H57" s="34"/>
      <c r="I57" s="34"/>
      <c r="J57" s="50"/>
      <c r="K57" s="50"/>
      <c r="L57" s="34"/>
      <c r="M57" s="50"/>
      <c r="N57" s="34"/>
      <c r="O57" s="50"/>
      <c r="P57" s="54" t="str">
        <f aca="false">IF(A57="","",IF(OR(I57="",NOT(ISNUMBER(J57)),NOT(ISNUMBER(K57))),"No KRI measured",IF(L57="Lower is worse",IF(J57&lt;K57,"Breach - threshold exceeded","Within threshold"),IF(J57&gt;K57,"Breach - threshold exceeded","Within threshold"))))</f>
        <v/>
      </c>
      <c r="Q57" s="54" t="str">
        <f aca="false">IF(A57="","",IF(OR(O57="Completed",O57="Cancelled"),"Closed",IF(AND(ISNUMBER(E57),E57&lt;AsOf),"Overdue - late review (no finding implied)","Scheduled")))</f>
        <v/>
      </c>
      <c r="R57" s="61" t="str">
        <f aca="false">IF(AND(O57="Completed",ISNUMBER(F57),E57=_xlfn.MAXIFS(MON_REVDATE,MON_SUP,B57,MON_STATUS,"Completed")),B57&amp;"|Latest","")</f>
        <v/>
      </c>
      <c r="S57" s="54" t="str">
        <f aca="false">IF(A57="","",IF(COUNTIF(MON_ID,A57)&gt;1,"CHECK: duplicate ID",IF(B57="","CHECK: Supplier ID missing",IF(COUNTIF(INV_ID,B57)=0,"CHECK: Supplier ID not in inventory","OK"))))</f>
        <v/>
      </c>
    </row>
    <row r="58" customFormat="false" ht="15" hidden="false" customHeight="false" outlineLevel="0" collapsed="false">
      <c r="A58" s="50"/>
      <c r="B58" s="50"/>
      <c r="C58" s="59" t="str">
        <f aca="false">IF(B58="","",IFERROR(INDEX(INV_NAME,MATCH(B58,INV_ID,0)),"CHECK: Supplier ID not found"))</f>
        <v/>
      </c>
      <c r="D58" s="34"/>
      <c r="E58" s="51"/>
      <c r="F58" s="51"/>
      <c r="G58" s="34"/>
      <c r="H58" s="34"/>
      <c r="I58" s="34"/>
      <c r="J58" s="50"/>
      <c r="K58" s="50"/>
      <c r="L58" s="34"/>
      <c r="M58" s="50"/>
      <c r="N58" s="34"/>
      <c r="O58" s="50"/>
      <c r="P58" s="54" t="str">
        <f aca="false">IF(A58="","",IF(OR(I58="",NOT(ISNUMBER(J58)),NOT(ISNUMBER(K58))),"No KRI measured",IF(L58="Lower is worse",IF(J58&lt;K58,"Breach - threshold exceeded","Within threshold"),IF(J58&gt;K58,"Breach - threshold exceeded","Within threshold"))))</f>
        <v/>
      </c>
      <c r="Q58" s="54" t="str">
        <f aca="false">IF(A58="","",IF(OR(O58="Completed",O58="Cancelled"),"Closed",IF(AND(ISNUMBER(E58),E58&lt;AsOf),"Overdue - late review (no finding implied)","Scheduled")))</f>
        <v/>
      </c>
      <c r="R58" s="61" t="str">
        <f aca="false">IF(AND(O58="Completed",ISNUMBER(F58),E58=_xlfn.MAXIFS(MON_REVDATE,MON_SUP,B58,MON_STATUS,"Completed")),B58&amp;"|Latest","")</f>
        <v/>
      </c>
      <c r="S58" s="54" t="str">
        <f aca="false">IF(A58="","",IF(COUNTIF(MON_ID,A58)&gt;1,"CHECK: duplicate ID",IF(B58="","CHECK: Supplier ID missing",IF(COUNTIF(INV_ID,B58)=0,"CHECK: Supplier ID not in inventory","OK"))))</f>
        <v/>
      </c>
    </row>
    <row r="59" customFormat="false" ht="15" hidden="false" customHeight="false" outlineLevel="0" collapsed="false">
      <c r="A59" s="50"/>
      <c r="B59" s="50"/>
      <c r="C59" s="59" t="str">
        <f aca="false">IF(B59="","",IFERROR(INDEX(INV_NAME,MATCH(B59,INV_ID,0)),"CHECK: Supplier ID not found"))</f>
        <v/>
      </c>
      <c r="D59" s="34"/>
      <c r="E59" s="51"/>
      <c r="F59" s="51"/>
      <c r="G59" s="34"/>
      <c r="H59" s="34"/>
      <c r="I59" s="34"/>
      <c r="J59" s="50"/>
      <c r="K59" s="50"/>
      <c r="L59" s="34"/>
      <c r="M59" s="50"/>
      <c r="N59" s="34"/>
      <c r="O59" s="50"/>
      <c r="P59" s="54" t="str">
        <f aca="false">IF(A59="","",IF(OR(I59="",NOT(ISNUMBER(J59)),NOT(ISNUMBER(K59))),"No KRI measured",IF(L59="Lower is worse",IF(J59&lt;K59,"Breach - threshold exceeded","Within threshold"),IF(J59&gt;K59,"Breach - threshold exceeded","Within threshold"))))</f>
        <v/>
      </c>
      <c r="Q59" s="54" t="str">
        <f aca="false">IF(A59="","",IF(OR(O59="Completed",O59="Cancelled"),"Closed",IF(AND(ISNUMBER(E59),E59&lt;AsOf),"Overdue - late review (no finding implied)","Scheduled")))</f>
        <v/>
      </c>
      <c r="R59" s="61" t="str">
        <f aca="false">IF(AND(O59="Completed",ISNUMBER(F59),E59=_xlfn.MAXIFS(MON_REVDATE,MON_SUP,B59,MON_STATUS,"Completed")),B59&amp;"|Latest","")</f>
        <v/>
      </c>
      <c r="S59" s="54" t="str">
        <f aca="false">IF(A59="","",IF(COUNTIF(MON_ID,A59)&gt;1,"CHECK: duplicate ID",IF(B59="","CHECK: Supplier ID missing",IF(COUNTIF(INV_ID,B59)=0,"CHECK: Supplier ID not in inventory","OK"))))</f>
        <v/>
      </c>
    </row>
    <row r="60" customFormat="false" ht="15" hidden="false" customHeight="false" outlineLevel="0" collapsed="false">
      <c r="A60" s="50"/>
      <c r="B60" s="50"/>
      <c r="C60" s="59" t="str">
        <f aca="false">IF(B60="","",IFERROR(INDEX(INV_NAME,MATCH(B60,INV_ID,0)),"CHECK: Supplier ID not found"))</f>
        <v/>
      </c>
      <c r="D60" s="34"/>
      <c r="E60" s="51"/>
      <c r="F60" s="51"/>
      <c r="G60" s="34"/>
      <c r="H60" s="34"/>
      <c r="I60" s="34"/>
      <c r="J60" s="50"/>
      <c r="K60" s="50"/>
      <c r="L60" s="34"/>
      <c r="M60" s="50"/>
      <c r="N60" s="34"/>
      <c r="O60" s="50"/>
      <c r="P60" s="54" t="str">
        <f aca="false">IF(A60="","",IF(OR(I60="",NOT(ISNUMBER(J60)),NOT(ISNUMBER(K60))),"No KRI measured",IF(L60="Lower is worse",IF(J60&lt;K60,"Breach - threshold exceeded","Within threshold"),IF(J60&gt;K60,"Breach - threshold exceeded","Within threshold"))))</f>
        <v/>
      </c>
      <c r="Q60" s="54" t="str">
        <f aca="false">IF(A60="","",IF(OR(O60="Completed",O60="Cancelled"),"Closed",IF(AND(ISNUMBER(E60),E60&lt;AsOf),"Overdue - late review (no finding implied)","Scheduled")))</f>
        <v/>
      </c>
      <c r="R60" s="61" t="str">
        <f aca="false">IF(AND(O60="Completed",ISNUMBER(F60),E60=_xlfn.MAXIFS(MON_REVDATE,MON_SUP,B60,MON_STATUS,"Completed")),B60&amp;"|Latest","")</f>
        <v/>
      </c>
      <c r="S60" s="54" t="str">
        <f aca="false">IF(A60="","",IF(COUNTIF(MON_ID,A60)&gt;1,"CHECK: duplicate ID",IF(B60="","CHECK: Supplier ID missing",IF(COUNTIF(INV_ID,B60)=0,"CHECK: Supplier ID not in inventory","OK"))))</f>
        <v/>
      </c>
    </row>
    <row r="61" customFormat="false" ht="15" hidden="false" customHeight="false" outlineLevel="0" collapsed="false">
      <c r="A61" s="50"/>
      <c r="B61" s="50"/>
      <c r="C61" s="59" t="str">
        <f aca="false">IF(B61="","",IFERROR(INDEX(INV_NAME,MATCH(B61,INV_ID,0)),"CHECK: Supplier ID not found"))</f>
        <v/>
      </c>
      <c r="D61" s="34"/>
      <c r="E61" s="51"/>
      <c r="F61" s="51"/>
      <c r="G61" s="34"/>
      <c r="H61" s="34"/>
      <c r="I61" s="34"/>
      <c r="J61" s="50"/>
      <c r="K61" s="50"/>
      <c r="L61" s="34"/>
      <c r="M61" s="50"/>
      <c r="N61" s="34"/>
      <c r="O61" s="50"/>
      <c r="P61" s="54" t="str">
        <f aca="false">IF(A61="","",IF(OR(I61="",NOT(ISNUMBER(J61)),NOT(ISNUMBER(K61))),"No KRI measured",IF(L61="Lower is worse",IF(J61&lt;K61,"Breach - threshold exceeded","Within threshold"),IF(J61&gt;K61,"Breach - threshold exceeded","Within threshold"))))</f>
        <v/>
      </c>
      <c r="Q61" s="54" t="str">
        <f aca="false">IF(A61="","",IF(OR(O61="Completed",O61="Cancelled"),"Closed",IF(AND(ISNUMBER(E61),E61&lt;AsOf),"Overdue - late review (no finding implied)","Scheduled")))</f>
        <v/>
      </c>
      <c r="R61" s="61" t="str">
        <f aca="false">IF(AND(O61="Completed",ISNUMBER(F61),E61=_xlfn.MAXIFS(MON_REVDATE,MON_SUP,B61,MON_STATUS,"Completed")),B61&amp;"|Latest","")</f>
        <v/>
      </c>
      <c r="S61" s="54" t="str">
        <f aca="false">IF(A61="","",IF(COUNTIF(MON_ID,A61)&gt;1,"CHECK: duplicate ID",IF(B61="","CHECK: Supplier ID missing",IF(COUNTIF(INV_ID,B61)=0,"CHECK: Supplier ID not in inventory","OK"))))</f>
        <v/>
      </c>
    </row>
    <row r="62" customFormat="false" ht="15" hidden="false" customHeight="false" outlineLevel="0" collapsed="false">
      <c r="A62" s="50"/>
      <c r="B62" s="50"/>
      <c r="C62" s="59" t="str">
        <f aca="false">IF(B62="","",IFERROR(INDEX(INV_NAME,MATCH(B62,INV_ID,0)),"CHECK: Supplier ID not found"))</f>
        <v/>
      </c>
      <c r="D62" s="34"/>
      <c r="E62" s="51"/>
      <c r="F62" s="51"/>
      <c r="G62" s="34"/>
      <c r="H62" s="34"/>
      <c r="I62" s="34"/>
      <c r="J62" s="50"/>
      <c r="K62" s="50"/>
      <c r="L62" s="34"/>
      <c r="M62" s="50"/>
      <c r="N62" s="34"/>
      <c r="O62" s="50"/>
      <c r="P62" s="54" t="str">
        <f aca="false">IF(A62="","",IF(OR(I62="",NOT(ISNUMBER(J62)),NOT(ISNUMBER(K62))),"No KRI measured",IF(L62="Lower is worse",IF(J62&lt;K62,"Breach - threshold exceeded","Within threshold"),IF(J62&gt;K62,"Breach - threshold exceeded","Within threshold"))))</f>
        <v/>
      </c>
      <c r="Q62" s="54" t="str">
        <f aca="false">IF(A62="","",IF(OR(O62="Completed",O62="Cancelled"),"Closed",IF(AND(ISNUMBER(E62),E62&lt;AsOf),"Overdue - late review (no finding implied)","Scheduled")))</f>
        <v/>
      </c>
      <c r="R62" s="61" t="str">
        <f aca="false">IF(AND(O62="Completed",ISNUMBER(F62),E62=_xlfn.MAXIFS(MON_REVDATE,MON_SUP,B62,MON_STATUS,"Completed")),B62&amp;"|Latest","")</f>
        <v/>
      </c>
      <c r="S62" s="54" t="str">
        <f aca="false">IF(A62="","",IF(COUNTIF(MON_ID,A62)&gt;1,"CHECK: duplicate ID",IF(B62="","CHECK: Supplier ID missing",IF(COUNTIF(INV_ID,B62)=0,"CHECK: Supplier ID not in inventory","OK"))))</f>
        <v/>
      </c>
    </row>
    <row r="63" customFormat="false" ht="15" hidden="false" customHeight="false" outlineLevel="0" collapsed="false">
      <c r="A63" s="50"/>
      <c r="B63" s="50"/>
      <c r="C63" s="59" t="str">
        <f aca="false">IF(B63="","",IFERROR(INDEX(INV_NAME,MATCH(B63,INV_ID,0)),"CHECK: Supplier ID not found"))</f>
        <v/>
      </c>
      <c r="D63" s="34"/>
      <c r="E63" s="51"/>
      <c r="F63" s="51"/>
      <c r="G63" s="34"/>
      <c r="H63" s="34"/>
      <c r="I63" s="34"/>
      <c r="J63" s="50"/>
      <c r="K63" s="50"/>
      <c r="L63" s="34"/>
      <c r="M63" s="50"/>
      <c r="N63" s="34"/>
      <c r="O63" s="50"/>
      <c r="P63" s="54" t="str">
        <f aca="false">IF(A63="","",IF(OR(I63="",NOT(ISNUMBER(J63)),NOT(ISNUMBER(K63))),"No KRI measured",IF(L63="Lower is worse",IF(J63&lt;K63,"Breach - threshold exceeded","Within threshold"),IF(J63&gt;K63,"Breach - threshold exceeded","Within threshold"))))</f>
        <v/>
      </c>
      <c r="Q63" s="54" t="str">
        <f aca="false">IF(A63="","",IF(OR(O63="Completed",O63="Cancelled"),"Closed",IF(AND(ISNUMBER(E63),E63&lt;AsOf),"Overdue - late review (no finding implied)","Scheduled")))</f>
        <v/>
      </c>
      <c r="R63" s="61" t="str">
        <f aca="false">IF(AND(O63="Completed",ISNUMBER(F63),E63=_xlfn.MAXIFS(MON_REVDATE,MON_SUP,B63,MON_STATUS,"Completed")),B63&amp;"|Latest","")</f>
        <v/>
      </c>
      <c r="S63" s="54" t="str">
        <f aca="false">IF(A63="","",IF(COUNTIF(MON_ID,A63)&gt;1,"CHECK: duplicate ID",IF(B63="","CHECK: Supplier ID missing",IF(COUNTIF(INV_ID,B63)=0,"CHECK: Supplier ID not in inventory","OK"))))</f>
        <v/>
      </c>
    </row>
    <row r="64" customFormat="false" ht="15" hidden="false" customHeight="false" outlineLevel="0" collapsed="false">
      <c r="A64" s="50"/>
      <c r="B64" s="50"/>
      <c r="C64" s="59" t="str">
        <f aca="false">IF(B64="","",IFERROR(INDEX(INV_NAME,MATCH(B64,INV_ID,0)),"CHECK: Supplier ID not found"))</f>
        <v/>
      </c>
      <c r="D64" s="34"/>
      <c r="E64" s="51"/>
      <c r="F64" s="51"/>
      <c r="G64" s="34"/>
      <c r="H64" s="34"/>
      <c r="I64" s="34"/>
      <c r="J64" s="50"/>
      <c r="K64" s="50"/>
      <c r="L64" s="34"/>
      <c r="M64" s="50"/>
      <c r="N64" s="34"/>
      <c r="O64" s="50"/>
      <c r="P64" s="54" t="str">
        <f aca="false">IF(A64="","",IF(OR(I64="",NOT(ISNUMBER(J64)),NOT(ISNUMBER(K64))),"No KRI measured",IF(L64="Lower is worse",IF(J64&lt;K64,"Breach - threshold exceeded","Within threshold"),IF(J64&gt;K64,"Breach - threshold exceeded","Within threshold"))))</f>
        <v/>
      </c>
      <c r="Q64" s="54" t="str">
        <f aca="false">IF(A64="","",IF(OR(O64="Completed",O64="Cancelled"),"Closed",IF(AND(ISNUMBER(E64),E64&lt;AsOf),"Overdue - late review (no finding implied)","Scheduled")))</f>
        <v/>
      </c>
      <c r="R64" s="61" t="str">
        <f aca="false">IF(AND(O64="Completed",ISNUMBER(F64),E64=_xlfn.MAXIFS(MON_REVDATE,MON_SUP,B64,MON_STATUS,"Completed")),B64&amp;"|Latest","")</f>
        <v/>
      </c>
      <c r="S64" s="54" t="str">
        <f aca="false">IF(A64="","",IF(COUNTIF(MON_ID,A64)&gt;1,"CHECK: duplicate ID",IF(B64="","CHECK: Supplier ID missing",IF(COUNTIF(INV_ID,B64)=0,"CHECK: Supplier ID not in inventory","OK"))))</f>
        <v/>
      </c>
    </row>
    <row r="65" customFormat="false" ht="15" hidden="false" customHeight="false" outlineLevel="0" collapsed="false">
      <c r="A65" s="50"/>
      <c r="B65" s="50"/>
      <c r="C65" s="59" t="str">
        <f aca="false">IF(B65="","",IFERROR(INDEX(INV_NAME,MATCH(B65,INV_ID,0)),"CHECK: Supplier ID not found"))</f>
        <v/>
      </c>
      <c r="D65" s="34"/>
      <c r="E65" s="51"/>
      <c r="F65" s="51"/>
      <c r="G65" s="34"/>
      <c r="H65" s="34"/>
      <c r="I65" s="34"/>
      <c r="J65" s="50"/>
      <c r="K65" s="50"/>
      <c r="L65" s="34"/>
      <c r="M65" s="50"/>
      <c r="N65" s="34"/>
      <c r="O65" s="50"/>
      <c r="P65" s="54" t="str">
        <f aca="false">IF(A65="","",IF(OR(I65="",NOT(ISNUMBER(J65)),NOT(ISNUMBER(K65))),"No KRI measured",IF(L65="Lower is worse",IF(J65&lt;K65,"Breach - threshold exceeded","Within threshold"),IF(J65&gt;K65,"Breach - threshold exceeded","Within threshold"))))</f>
        <v/>
      </c>
      <c r="Q65" s="54" t="str">
        <f aca="false">IF(A65="","",IF(OR(O65="Completed",O65="Cancelled"),"Closed",IF(AND(ISNUMBER(E65),E65&lt;AsOf),"Overdue - late review (no finding implied)","Scheduled")))</f>
        <v/>
      </c>
      <c r="R65" s="61" t="str">
        <f aca="false">IF(AND(O65="Completed",ISNUMBER(F65),E65=_xlfn.MAXIFS(MON_REVDATE,MON_SUP,B65,MON_STATUS,"Completed")),B65&amp;"|Latest","")</f>
        <v/>
      </c>
      <c r="S65" s="54" t="str">
        <f aca="false">IF(A65="","",IF(COUNTIF(MON_ID,A65)&gt;1,"CHECK: duplicate ID",IF(B65="","CHECK: Supplier ID missing",IF(COUNTIF(INV_ID,B65)=0,"CHECK: Supplier ID not in inventory","OK"))))</f>
        <v/>
      </c>
    </row>
    <row r="66" customFormat="false" ht="15" hidden="false" customHeight="false" outlineLevel="0" collapsed="false">
      <c r="A66" s="50"/>
      <c r="B66" s="50"/>
      <c r="C66" s="59" t="str">
        <f aca="false">IF(B66="","",IFERROR(INDEX(INV_NAME,MATCH(B66,INV_ID,0)),"CHECK: Supplier ID not found"))</f>
        <v/>
      </c>
      <c r="D66" s="34"/>
      <c r="E66" s="51"/>
      <c r="F66" s="51"/>
      <c r="G66" s="34"/>
      <c r="H66" s="34"/>
      <c r="I66" s="34"/>
      <c r="J66" s="50"/>
      <c r="K66" s="50"/>
      <c r="L66" s="34"/>
      <c r="M66" s="50"/>
      <c r="N66" s="34"/>
      <c r="O66" s="50"/>
      <c r="P66" s="54" t="str">
        <f aca="false">IF(A66="","",IF(OR(I66="",NOT(ISNUMBER(J66)),NOT(ISNUMBER(K66))),"No KRI measured",IF(L66="Lower is worse",IF(J66&lt;K66,"Breach - threshold exceeded","Within threshold"),IF(J66&gt;K66,"Breach - threshold exceeded","Within threshold"))))</f>
        <v/>
      </c>
      <c r="Q66" s="54" t="str">
        <f aca="false">IF(A66="","",IF(OR(O66="Completed",O66="Cancelled"),"Closed",IF(AND(ISNUMBER(E66),E66&lt;AsOf),"Overdue - late review (no finding implied)","Scheduled")))</f>
        <v/>
      </c>
      <c r="R66" s="61" t="str">
        <f aca="false">IF(AND(O66="Completed",ISNUMBER(F66),E66=_xlfn.MAXIFS(MON_REVDATE,MON_SUP,B66,MON_STATUS,"Completed")),B66&amp;"|Latest","")</f>
        <v/>
      </c>
      <c r="S66" s="54" t="str">
        <f aca="false">IF(A66="","",IF(COUNTIF(MON_ID,A66)&gt;1,"CHECK: duplicate ID",IF(B66="","CHECK: Supplier ID missing",IF(COUNTIF(INV_ID,B66)=0,"CHECK: Supplier ID not in inventory","OK"))))</f>
        <v/>
      </c>
    </row>
    <row r="67" customFormat="false" ht="15" hidden="false" customHeight="false" outlineLevel="0" collapsed="false">
      <c r="A67" s="50"/>
      <c r="B67" s="50"/>
      <c r="C67" s="59" t="str">
        <f aca="false">IF(B67="","",IFERROR(INDEX(INV_NAME,MATCH(B67,INV_ID,0)),"CHECK: Supplier ID not found"))</f>
        <v/>
      </c>
      <c r="D67" s="34"/>
      <c r="E67" s="51"/>
      <c r="F67" s="51"/>
      <c r="G67" s="34"/>
      <c r="H67" s="34"/>
      <c r="I67" s="34"/>
      <c r="J67" s="50"/>
      <c r="K67" s="50"/>
      <c r="L67" s="34"/>
      <c r="M67" s="50"/>
      <c r="N67" s="34"/>
      <c r="O67" s="50"/>
      <c r="P67" s="54" t="str">
        <f aca="false">IF(A67="","",IF(OR(I67="",NOT(ISNUMBER(J67)),NOT(ISNUMBER(K67))),"No KRI measured",IF(L67="Lower is worse",IF(J67&lt;K67,"Breach - threshold exceeded","Within threshold"),IF(J67&gt;K67,"Breach - threshold exceeded","Within threshold"))))</f>
        <v/>
      </c>
      <c r="Q67" s="54" t="str">
        <f aca="false">IF(A67="","",IF(OR(O67="Completed",O67="Cancelled"),"Closed",IF(AND(ISNUMBER(E67),E67&lt;AsOf),"Overdue - late review (no finding implied)","Scheduled")))</f>
        <v/>
      </c>
      <c r="R67" s="61" t="str">
        <f aca="false">IF(AND(O67="Completed",ISNUMBER(F67),E67=_xlfn.MAXIFS(MON_REVDATE,MON_SUP,B67,MON_STATUS,"Completed")),B67&amp;"|Latest","")</f>
        <v/>
      </c>
      <c r="S67" s="54" t="str">
        <f aca="false">IF(A67="","",IF(COUNTIF(MON_ID,A67)&gt;1,"CHECK: duplicate ID",IF(B67="","CHECK: Supplier ID missing",IF(COUNTIF(INV_ID,B67)=0,"CHECK: Supplier ID not in inventory","OK"))))</f>
        <v/>
      </c>
    </row>
    <row r="68" customFormat="false" ht="15" hidden="false" customHeight="false" outlineLevel="0" collapsed="false">
      <c r="A68" s="50"/>
      <c r="B68" s="50"/>
      <c r="C68" s="59" t="str">
        <f aca="false">IF(B68="","",IFERROR(INDEX(INV_NAME,MATCH(B68,INV_ID,0)),"CHECK: Supplier ID not found"))</f>
        <v/>
      </c>
      <c r="D68" s="34"/>
      <c r="E68" s="51"/>
      <c r="F68" s="51"/>
      <c r="G68" s="34"/>
      <c r="H68" s="34"/>
      <c r="I68" s="34"/>
      <c r="J68" s="50"/>
      <c r="K68" s="50"/>
      <c r="L68" s="34"/>
      <c r="M68" s="50"/>
      <c r="N68" s="34"/>
      <c r="O68" s="50"/>
      <c r="P68" s="54" t="str">
        <f aca="false">IF(A68="","",IF(OR(I68="",NOT(ISNUMBER(J68)),NOT(ISNUMBER(K68))),"No KRI measured",IF(L68="Lower is worse",IF(J68&lt;K68,"Breach - threshold exceeded","Within threshold"),IF(J68&gt;K68,"Breach - threshold exceeded","Within threshold"))))</f>
        <v/>
      </c>
      <c r="Q68" s="54" t="str">
        <f aca="false">IF(A68="","",IF(OR(O68="Completed",O68="Cancelled"),"Closed",IF(AND(ISNUMBER(E68),E68&lt;AsOf),"Overdue - late review (no finding implied)","Scheduled")))</f>
        <v/>
      </c>
      <c r="R68" s="61" t="str">
        <f aca="false">IF(AND(O68="Completed",ISNUMBER(F68),E68=_xlfn.MAXIFS(MON_REVDATE,MON_SUP,B68,MON_STATUS,"Completed")),B68&amp;"|Latest","")</f>
        <v/>
      </c>
      <c r="S68" s="54" t="str">
        <f aca="false">IF(A68="","",IF(COUNTIF(MON_ID,A68)&gt;1,"CHECK: duplicate ID",IF(B68="","CHECK: Supplier ID missing",IF(COUNTIF(INV_ID,B68)=0,"CHECK: Supplier ID not in inventory","OK"))))</f>
        <v/>
      </c>
    </row>
    <row r="69" customFormat="false" ht="15" hidden="false" customHeight="false" outlineLevel="0" collapsed="false">
      <c r="A69" s="50"/>
      <c r="B69" s="50"/>
      <c r="C69" s="59" t="str">
        <f aca="false">IF(B69="","",IFERROR(INDEX(INV_NAME,MATCH(B69,INV_ID,0)),"CHECK: Supplier ID not found"))</f>
        <v/>
      </c>
      <c r="D69" s="34"/>
      <c r="E69" s="51"/>
      <c r="F69" s="51"/>
      <c r="G69" s="34"/>
      <c r="H69" s="34"/>
      <c r="I69" s="34"/>
      <c r="J69" s="50"/>
      <c r="K69" s="50"/>
      <c r="L69" s="34"/>
      <c r="M69" s="50"/>
      <c r="N69" s="34"/>
      <c r="O69" s="50"/>
      <c r="P69" s="54" t="str">
        <f aca="false">IF(A69="","",IF(OR(I69="",NOT(ISNUMBER(J69)),NOT(ISNUMBER(K69))),"No KRI measured",IF(L69="Lower is worse",IF(J69&lt;K69,"Breach - threshold exceeded","Within threshold"),IF(J69&gt;K69,"Breach - threshold exceeded","Within threshold"))))</f>
        <v/>
      </c>
      <c r="Q69" s="54" t="str">
        <f aca="false">IF(A69="","",IF(OR(O69="Completed",O69="Cancelled"),"Closed",IF(AND(ISNUMBER(E69),E69&lt;AsOf),"Overdue - late review (no finding implied)","Scheduled")))</f>
        <v/>
      </c>
      <c r="R69" s="61" t="str">
        <f aca="false">IF(AND(O69="Completed",ISNUMBER(F69),E69=_xlfn.MAXIFS(MON_REVDATE,MON_SUP,B69,MON_STATUS,"Completed")),B69&amp;"|Latest","")</f>
        <v/>
      </c>
      <c r="S69" s="54" t="str">
        <f aca="false">IF(A69="","",IF(COUNTIF(MON_ID,A69)&gt;1,"CHECK: duplicate ID",IF(B69="","CHECK: Supplier ID missing",IF(COUNTIF(INV_ID,B69)=0,"CHECK: Supplier ID not in inventory","OK"))))</f>
        <v/>
      </c>
    </row>
    <row r="70" customFormat="false" ht="15" hidden="false" customHeight="false" outlineLevel="0" collapsed="false">
      <c r="A70" s="50"/>
      <c r="B70" s="50"/>
      <c r="C70" s="59" t="str">
        <f aca="false">IF(B70="","",IFERROR(INDEX(INV_NAME,MATCH(B70,INV_ID,0)),"CHECK: Supplier ID not found"))</f>
        <v/>
      </c>
      <c r="D70" s="34"/>
      <c r="E70" s="51"/>
      <c r="F70" s="51"/>
      <c r="G70" s="34"/>
      <c r="H70" s="34"/>
      <c r="I70" s="34"/>
      <c r="J70" s="50"/>
      <c r="K70" s="50"/>
      <c r="L70" s="34"/>
      <c r="M70" s="50"/>
      <c r="N70" s="34"/>
      <c r="O70" s="50"/>
      <c r="P70" s="54" t="str">
        <f aca="false">IF(A70="","",IF(OR(I70="",NOT(ISNUMBER(J70)),NOT(ISNUMBER(K70))),"No KRI measured",IF(L70="Lower is worse",IF(J70&lt;K70,"Breach - threshold exceeded","Within threshold"),IF(J70&gt;K70,"Breach - threshold exceeded","Within threshold"))))</f>
        <v/>
      </c>
      <c r="Q70" s="54" t="str">
        <f aca="false">IF(A70="","",IF(OR(O70="Completed",O70="Cancelled"),"Closed",IF(AND(ISNUMBER(E70),E70&lt;AsOf),"Overdue - late review (no finding implied)","Scheduled")))</f>
        <v/>
      </c>
      <c r="R70" s="61" t="str">
        <f aca="false">IF(AND(O70="Completed",ISNUMBER(F70),E70=_xlfn.MAXIFS(MON_REVDATE,MON_SUP,B70,MON_STATUS,"Completed")),B70&amp;"|Latest","")</f>
        <v/>
      </c>
      <c r="S70" s="54" t="str">
        <f aca="false">IF(A70="","",IF(COUNTIF(MON_ID,A70)&gt;1,"CHECK: duplicate ID",IF(B70="","CHECK: Supplier ID missing",IF(COUNTIF(INV_ID,B70)=0,"CHECK: Supplier ID not in inventory","OK"))))</f>
        <v/>
      </c>
    </row>
    <row r="71" customFormat="false" ht="15" hidden="false" customHeight="false" outlineLevel="0" collapsed="false">
      <c r="A71" s="50"/>
      <c r="B71" s="50"/>
      <c r="C71" s="59" t="str">
        <f aca="false">IF(B71="","",IFERROR(INDEX(INV_NAME,MATCH(B71,INV_ID,0)),"CHECK: Supplier ID not found"))</f>
        <v/>
      </c>
      <c r="D71" s="34"/>
      <c r="E71" s="51"/>
      <c r="F71" s="51"/>
      <c r="G71" s="34"/>
      <c r="H71" s="34"/>
      <c r="I71" s="34"/>
      <c r="J71" s="50"/>
      <c r="K71" s="50"/>
      <c r="L71" s="34"/>
      <c r="M71" s="50"/>
      <c r="N71" s="34"/>
      <c r="O71" s="50"/>
      <c r="P71" s="54" t="str">
        <f aca="false">IF(A71="","",IF(OR(I71="",NOT(ISNUMBER(J71)),NOT(ISNUMBER(K71))),"No KRI measured",IF(L71="Lower is worse",IF(J71&lt;K71,"Breach - threshold exceeded","Within threshold"),IF(J71&gt;K71,"Breach - threshold exceeded","Within threshold"))))</f>
        <v/>
      </c>
      <c r="Q71" s="54" t="str">
        <f aca="false">IF(A71="","",IF(OR(O71="Completed",O71="Cancelled"),"Closed",IF(AND(ISNUMBER(E71),E71&lt;AsOf),"Overdue - late review (no finding implied)","Scheduled")))</f>
        <v/>
      </c>
      <c r="R71" s="61" t="str">
        <f aca="false">IF(AND(O71="Completed",ISNUMBER(F71),E71=_xlfn.MAXIFS(MON_REVDATE,MON_SUP,B71,MON_STATUS,"Completed")),B71&amp;"|Latest","")</f>
        <v/>
      </c>
      <c r="S71" s="54" t="str">
        <f aca="false">IF(A71="","",IF(COUNTIF(MON_ID,A71)&gt;1,"CHECK: duplicate ID",IF(B71="","CHECK: Supplier ID missing",IF(COUNTIF(INV_ID,B71)=0,"CHECK: Supplier ID not in inventory","OK"))))</f>
        <v/>
      </c>
    </row>
    <row r="72" customFormat="false" ht="15" hidden="false" customHeight="false" outlineLevel="0" collapsed="false">
      <c r="A72" s="50"/>
      <c r="B72" s="50"/>
      <c r="C72" s="59" t="str">
        <f aca="false">IF(B72="","",IFERROR(INDEX(INV_NAME,MATCH(B72,INV_ID,0)),"CHECK: Supplier ID not found"))</f>
        <v/>
      </c>
      <c r="D72" s="34"/>
      <c r="E72" s="51"/>
      <c r="F72" s="51"/>
      <c r="G72" s="34"/>
      <c r="H72" s="34"/>
      <c r="I72" s="34"/>
      <c r="J72" s="50"/>
      <c r="K72" s="50"/>
      <c r="L72" s="34"/>
      <c r="M72" s="50"/>
      <c r="N72" s="34"/>
      <c r="O72" s="50"/>
      <c r="P72" s="54" t="str">
        <f aca="false">IF(A72="","",IF(OR(I72="",NOT(ISNUMBER(J72)),NOT(ISNUMBER(K72))),"No KRI measured",IF(L72="Lower is worse",IF(J72&lt;K72,"Breach - threshold exceeded","Within threshold"),IF(J72&gt;K72,"Breach - threshold exceeded","Within threshold"))))</f>
        <v/>
      </c>
      <c r="Q72" s="54" t="str">
        <f aca="false">IF(A72="","",IF(OR(O72="Completed",O72="Cancelled"),"Closed",IF(AND(ISNUMBER(E72),E72&lt;AsOf),"Overdue - late review (no finding implied)","Scheduled")))</f>
        <v/>
      </c>
      <c r="R72" s="61" t="str">
        <f aca="false">IF(AND(O72="Completed",ISNUMBER(F72),E72=_xlfn.MAXIFS(MON_REVDATE,MON_SUP,B72,MON_STATUS,"Completed")),B72&amp;"|Latest","")</f>
        <v/>
      </c>
      <c r="S72" s="54" t="str">
        <f aca="false">IF(A72="","",IF(COUNTIF(MON_ID,A72)&gt;1,"CHECK: duplicate ID",IF(B72="","CHECK: Supplier ID missing",IF(COUNTIF(INV_ID,B72)=0,"CHECK: Supplier ID not in inventory","OK"))))</f>
        <v/>
      </c>
    </row>
    <row r="73" customFormat="false" ht="15" hidden="false" customHeight="false" outlineLevel="0" collapsed="false">
      <c r="A73" s="50"/>
      <c r="B73" s="50"/>
      <c r="C73" s="59" t="str">
        <f aca="false">IF(B73="","",IFERROR(INDEX(INV_NAME,MATCH(B73,INV_ID,0)),"CHECK: Supplier ID not found"))</f>
        <v/>
      </c>
      <c r="D73" s="34"/>
      <c r="E73" s="51"/>
      <c r="F73" s="51"/>
      <c r="G73" s="34"/>
      <c r="H73" s="34"/>
      <c r="I73" s="34"/>
      <c r="J73" s="50"/>
      <c r="K73" s="50"/>
      <c r="L73" s="34"/>
      <c r="M73" s="50"/>
      <c r="N73" s="34"/>
      <c r="O73" s="50"/>
      <c r="P73" s="54" t="str">
        <f aca="false">IF(A73="","",IF(OR(I73="",NOT(ISNUMBER(J73)),NOT(ISNUMBER(K73))),"No KRI measured",IF(L73="Lower is worse",IF(J73&lt;K73,"Breach - threshold exceeded","Within threshold"),IF(J73&gt;K73,"Breach - threshold exceeded","Within threshold"))))</f>
        <v/>
      </c>
      <c r="Q73" s="54" t="str">
        <f aca="false">IF(A73="","",IF(OR(O73="Completed",O73="Cancelled"),"Closed",IF(AND(ISNUMBER(E73),E73&lt;AsOf),"Overdue - late review (no finding implied)","Scheduled")))</f>
        <v/>
      </c>
      <c r="R73" s="61" t="str">
        <f aca="false">IF(AND(O73="Completed",ISNUMBER(F73),E73=_xlfn.MAXIFS(MON_REVDATE,MON_SUP,B73,MON_STATUS,"Completed")),B73&amp;"|Latest","")</f>
        <v/>
      </c>
      <c r="S73" s="54" t="str">
        <f aca="false">IF(A73="","",IF(COUNTIF(MON_ID,A73)&gt;1,"CHECK: duplicate ID",IF(B73="","CHECK: Supplier ID missing",IF(COUNTIF(INV_ID,B73)=0,"CHECK: Supplier ID not in inventory","OK"))))</f>
        <v/>
      </c>
    </row>
    <row r="74" customFormat="false" ht="15" hidden="false" customHeight="false" outlineLevel="0" collapsed="false">
      <c r="A74" s="50"/>
      <c r="B74" s="50"/>
      <c r="C74" s="59" t="str">
        <f aca="false">IF(B74="","",IFERROR(INDEX(INV_NAME,MATCH(B74,INV_ID,0)),"CHECK: Supplier ID not found"))</f>
        <v/>
      </c>
      <c r="D74" s="34"/>
      <c r="E74" s="51"/>
      <c r="F74" s="51"/>
      <c r="G74" s="34"/>
      <c r="H74" s="34"/>
      <c r="I74" s="34"/>
      <c r="J74" s="50"/>
      <c r="K74" s="50"/>
      <c r="L74" s="34"/>
      <c r="M74" s="50"/>
      <c r="N74" s="34"/>
      <c r="O74" s="50"/>
      <c r="P74" s="54" t="str">
        <f aca="false">IF(A74="","",IF(OR(I74="",NOT(ISNUMBER(J74)),NOT(ISNUMBER(K74))),"No KRI measured",IF(L74="Lower is worse",IF(J74&lt;K74,"Breach - threshold exceeded","Within threshold"),IF(J74&gt;K74,"Breach - threshold exceeded","Within threshold"))))</f>
        <v/>
      </c>
      <c r="Q74" s="54" t="str">
        <f aca="false">IF(A74="","",IF(OR(O74="Completed",O74="Cancelled"),"Closed",IF(AND(ISNUMBER(E74),E74&lt;AsOf),"Overdue - late review (no finding implied)","Scheduled")))</f>
        <v/>
      </c>
      <c r="R74" s="61" t="str">
        <f aca="false">IF(AND(O74="Completed",ISNUMBER(F74),E74=_xlfn.MAXIFS(MON_REVDATE,MON_SUP,B74,MON_STATUS,"Completed")),B74&amp;"|Latest","")</f>
        <v/>
      </c>
      <c r="S74" s="54" t="str">
        <f aca="false">IF(A74="","",IF(COUNTIF(MON_ID,A74)&gt;1,"CHECK: duplicate ID",IF(B74="","CHECK: Supplier ID missing",IF(COUNTIF(INV_ID,B74)=0,"CHECK: Supplier ID not in inventory","OK"))))</f>
        <v/>
      </c>
    </row>
    <row r="75" customFormat="false" ht="15" hidden="false" customHeight="false" outlineLevel="0" collapsed="false">
      <c r="A75" s="50"/>
      <c r="B75" s="50"/>
      <c r="C75" s="59" t="str">
        <f aca="false">IF(B75="","",IFERROR(INDEX(INV_NAME,MATCH(B75,INV_ID,0)),"CHECK: Supplier ID not found"))</f>
        <v/>
      </c>
      <c r="D75" s="34"/>
      <c r="E75" s="51"/>
      <c r="F75" s="51"/>
      <c r="G75" s="34"/>
      <c r="H75" s="34"/>
      <c r="I75" s="34"/>
      <c r="J75" s="50"/>
      <c r="K75" s="50"/>
      <c r="L75" s="34"/>
      <c r="M75" s="50"/>
      <c r="N75" s="34"/>
      <c r="O75" s="50"/>
      <c r="P75" s="54" t="str">
        <f aca="false">IF(A75="","",IF(OR(I75="",NOT(ISNUMBER(J75)),NOT(ISNUMBER(K75))),"No KRI measured",IF(L75="Lower is worse",IF(J75&lt;K75,"Breach - threshold exceeded","Within threshold"),IF(J75&gt;K75,"Breach - threshold exceeded","Within threshold"))))</f>
        <v/>
      </c>
      <c r="Q75" s="54" t="str">
        <f aca="false">IF(A75="","",IF(OR(O75="Completed",O75="Cancelled"),"Closed",IF(AND(ISNUMBER(E75),E75&lt;AsOf),"Overdue - late review (no finding implied)","Scheduled")))</f>
        <v/>
      </c>
      <c r="R75" s="61" t="str">
        <f aca="false">IF(AND(O75="Completed",ISNUMBER(F75),E75=_xlfn.MAXIFS(MON_REVDATE,MON_SUP,B75,MON_STATUS,"Completed")),B75&amp;"|Latest","")</f>
        <v/>
      </c>
      <c r="S75" s="54" t="str">
        <f aca="false">IF(A75="","",IF(COUNTIF(MON_ID,A75)&gt;1,"CHECK: duplicate ID",IF(B75="","CHECK: Supplier ID missing",IF(COUNTIF(INV_ID,B75)=0,"CHECK: Supplier ID not in inventory","OK"))))</f>
        <v/>
      </c>
    </row>
    <row r="76" customFormat="false" ht="15" hidden="false" customHeight="false" outlineLevel="0" collapsed="false">
      <c r="A76" s="50"/>
      <c r="B76" s="50"/>
      <c r="C76" s="59" t="str">
        <f aca="false">IF(B76="","",IFERROR(INDEX(INV_NAME,MATCH(B76,INV_ID,0)),"CHECK: Supplier ID not found"))</f>
        <v/>
      </c>
      <c r="D76" s="34"/>
      <c r="E76" s="51"/>
      <c r="F76" s="51"/>
      <c r="G76" s="34"/>
      <c r="H76" s="34"/>
      <c r="I76" s="34"/>
      <c r="J76" s="50"/>
      <c r="K76" s="50"/>
      <c r="L76" s="34"/>
      <c r="M76" s="50"/>
      <c r="N76" s="34"/>
      <c r="O76" s="50"/>
      <c r="P76" s="54" t="str">
        <f aca="false">IF(A76="","",IF(OR(I76="",NOT(ISNUMBER(J76)),NOT(ISNUMBER(K76))),"No KRI measured",IF(L76="Lower is worse",IF(J76&lt;K76,"Breach - threshold exceeded","Within threshold"),IF(J76&gt;K76,"Breach - threshold exceeded","Within threshold"))))</f>
        <v/>
      </c>
      <c r="Q76" s="54" t="str">
        <f aca="false">IF(A76="","",IF(OR(O76="Completed",O76="Cancelled"),"Closed",IF(AND(ISNUMBER(E76),E76&lt;AsOf),"Overdue - late review (no finding implied)","Scheduled")))</f>
        <v/>
      </c>
      <c r="R76" s="61" t="str">
        <f aca="false">IF(AND(O76="Completed",ISNUMBER(F76),E76=_xlfn.MAXIFS(MON_REVDATE,MON_SUP,B76,MON_STATUS,"Completed")),B76&amp;"|Latest","")</f>
        <v/>
      </c>
      <c r="S76" s="54" t="str">
        <f aca="false">IF(A76="","",IF(COUNTIF(MON_ID,A76)&gt;1,"CHECK: duplicate ID",IF(B76="","CHECK: Supplier ID missing",IF(COUNTIF(INV_ID,B76)=0,"CHECK: Supplier ID not in inventory","OK"))))</f>
        <v/>
      </c>
    </row>
    <row r="77" customFormat="false" ht="15" hidden="false" customHeight="false" outlineLevel="0" collapsed="false">
      <c r="A77" s="50"/>
      <c r="B77" s="50"/>
      <c r="C77" s="59" t="str">
        <f aca="false">IF(B77="","",IFERROR(INDEX(INV_NAME,MATCH(B77,INV_ID,0)),"CHECK: Supplier ID not found"))</f>
        <v/>
      </c>
      <c r="D77" s="34"/>
      <c r="E77" s="51"/>
      <c r="F77" s="51"/>
      <c r="G77" s="34"/>
      <c r="H77" s="34"/>
      <c r="I77" s="34"/>
      <c r="J77" s="50"/>
      <c r="K77" s="50"/>
      <c r="L77" s="34"/>
      <c r="M77" s="50"/>
      <c r="N77" s="34"/>
      <c r="O77" s="50"/>
      <c r="P77" s="54" t="str">
        <f aca="false">IF(A77="","",IF(OR(I77="",NOT(ISNUMBER(J77)),NOT(ISNUMBER(K77))),"No KRI measured",IF(L77="Lower is worse",IF(J77&lt;K77,"Breach - threshold exceeded","Within threshold"),IF(J77&gt;K77,"Breach - threshold exceeded","Within threshold"))))</f>
        <v/>
      </c>
      <c r="Q77" s="54" t="str">
        <f aca="false">IF(A77="","",IF(OR(O77="Completed",O77="Cancelled"),"Closed",IF(AND(ISNUMBER(E77),E77&lt;AsOf),"Overdue - late review (no finding implied)","Scheduled")))</f>
        <v/>
      </c>
      <c r="R77" s="61" t="str">
        <f aca="false">IF(AND(O77="Completed",ISNUMBER(F77),E77=_xlfn.MAXIFS(MON_REVDATE,MON_SUP,B77,MON_STATUS,"Completed")),B77&amp;"|Latest","")</f>
        <v/>
      </c>
      <c r="S77" s="54" t="str">
        <f aca="false">IF(A77="","",IF(COUNTIF(MON_ID,A77)&gt;1,"CHECK: duplicate ID",IF(B77="","CHECK: Supplier ID missing",IF(COUNTIF(INV_ID,B77)=0,"CHECK: Supplier ID not in inventory","OK"))))</f>
        <v/>
      </c>
    </row>
    <row r="78" customFormat="false" ht="15" hidden="false" customHeight="false" outlineLevel="0" collapsed="false">
      <c r="A78" s="50"/>
      <c r="B78" s="50"/>
      <c r="C78" s="59" t="str">
        <f aca="false">IF(B78="","",IFERROR(INDEX(INV_NAME,MATCH(B78,INV_ID,0)),"CHECK: Supplier ID not found"))</f>
        <v/>
      </c>
      <c r="D78" s="34"/>
      <c r="E78" s="51"/>
      <c r="F78" s="51"/>
      <c r="G78" s="34"/>
      <c r="H78" s="34"/>
      <c r="I78" s="34"/>
      <c r="J78" s="50"/>
      <c r="K78" s="50"/>
      <c r="L78" s="34"/>
      <c r="M78" s="50"/>
      <c r="N78" s="34"/>
      <c r="O78" s="50"/>
      <c r="P78" s="54" t="str">
        <f aca="false">IF(A78="","",IF(OR(I78="",NOT(ISNUMBER(J78)),NOT(ISNUMBER(K78))),"No KRI measured",IF(L78="Lower is worse",IF(J78&lt;K78,"Breach - threshold exceeded","Within threshold"),IF(J78&gt;K78,"Breach - threshold exceeded","Within threshold"))))</f>
        <v/>
      </c>
      <c r="Q78" s="54" t="str">
        <f aca="false">IF(A78="","",IF(OR(O78="Completed",O78="Cancelled"),"Closed",IF(AND(ISNUMBER(E78),E78&lt;AsOf),"Overdue - late review (no finding implied)","Scheduled")))</f>
        <v/>
      </c>
      <c r="R78" s="61" t="str">
        <f aca="false">IF(AND(O78="Completed",ISNUMBER(F78),E78=_xlfn.MAXIFS(MON_REVDATE,MON_SUP,B78,MON_STATUS,"Completed")),B78&amp;"|Latest","")</f>
        <v/>
      </c>
      <c r="S78" s="54" t="str">
        <f aca="false">IF(A78="","",IF(COUNTIF(MON_ID,A78)&gt;1,"CHECK: duplicate ID",IF(B78="","CHECK: Supplier ID missing",IF(COUNTIF(INV_ID,B78)=0,"CHECK: Supplier ID not in inventory","OK"))))</f>
        <v/>
      </c>
    </row>
    <row r="79" customFormat="false" ht="15" hidden="false" customHeight="false" outlineLevel="0" collapsed="false">
      <c r="A79" s="50"/>
      <c r="B79" s="50"/>
      <c r="C79" s="59" t="str">
        <f aca="false">IF(B79="","",IFERROR(INDEX(INV_NAME,MATCH(B79,INV_ID,0)),"CHECK: Supplier ID not found"))</f>
        <v/>
      </c>
      <c r="D79" s="34"/>
      <c r="E79" s="51"/>
      <c r="F79" s="51"/>
      <c r="G79" s="34"/>
      <c r="H79" s="34"/>
      <c r="I79" s="34"/>
      <c r="J79" s="50"/>
      <c r="K79" s="50"/>
      <c r="L79" s="34"/>
      <c r="M79" s="50"/>
      <c r="N79" s="34"/>
      <c r="O79" s="50"/>
      <c r="P79" s="54" t="str">
        <f aca="false">IF(A79="","",IF(OR(I79="",NOT(ISNUMBER(J79)),NOT(ISNUMBER(K79))),"No KRI measured",IF(L79="Lower is worse",IF(J79&lt;K79,"Breach - threshold exceeded","Within threshold"),IF(J79&gt;K79,"Breach - threshold exceeded","Within threshold"))))</f>
        <v/>
      </c>
      <c r="Q79" s="54" t="str">
        <f aca="false">IF(A79="","",IF(OR(O79="Completed",O79="Cancelled"),"Closed",IF(AND(ISNUMBER(E79),E79&lt;AsOf),"Overdue - late review (no finding implied)","Scheduled")))</f>
        <v/>
      </c>
      <c r="R79" s="61" t="str">
        <f aca="false">IF(AND(O79="Completed",ISNUMBER(F79),E79=_xlfn.MAXIFS(MON_REVDATE,MON_SUP,B79,MON_STATUS,"Completed")),B79&amp;"|Latest","")</f>
        <v/>
      </c>
      <c r="S79" s="54" t="str">
        <f aca="false">IF(A79="","",IF(COUNTIF(MON_ID,A79)&gt;1,"CHECK: duplicate ID",IF(B79="","CHECK: Supplier ID missing",IF(COUNTIF(INV_ID,B79)=0,"CHECK: Supplier ID not in inventory","OK"))))</f>
        <v/>
      </c>
    </row>
    <row r="80" customFormat="false" ht="15" hidden="false" customHeight="false" outlineLevel="0" collapsed="false">
      <c r="A80" s="50"/>
      <c r="B80" s="50"/>
      <c r="C80" s="59" t="str">
        <f aca="false">IF(B80="","",IFERROR(INDEX(INV_NAME,MATCH(B80,INV_ID,0)),"CHECK: Supplier ID not found"))</f>
        <v/>
      </c>
      <c r="D80" s="34"/>
      <c r="E80" s="51"/>
      <c r="F80" s="51"/>
      <c r="G80" s="34"/>
      <c r="H80" s="34"/>
      <c r="I80" s="34"/>
      <c r="J80" s="50"/>
      <c r="K80" s="50"/>
      <c r="L80" s="34"/>
      <c r="M80" s="50"/>
      <c r="N80" s="34"/>
      <c r="O80" s="50"/>
      <c r="P80" s="54" t="str">
        <f aca="false">IF(A80="","",IF(OR(I80="",NOT(ISNUMBER(J80)),NOT(ISNUMBER(K80))),"No KRI measured",IF(L80="Lower is worse",IF(J80&lt;K80,"Breach - threshold exceeded","Within threshold"),IF(J80&gt;K80,"Breach - threshold exceeded","Within threshold"))))</f>
        <v/>
      </c>
      <c r="Q80" s="54" t="str">
        <f aca="false">IF(A80="","",IF(OR(O80="Completed",O80="Cancelled"),"Closed",IF(AND(ISNUMBER(E80),E80&lt;AsOf),"Overdue - late review (no finding implied)","Scheduled")))</f>
        <v/>
      </c>
      <c r="R80" s="61" t="str">
        <f aca="false">IF(AND(O80="Completed",ISNUMBER(F80),E80=_xlfn.MAXIFS(MON_REVDATE,MON_SUP,B80,MON_STATUS,"Completed")),B80&amp;"|Latest","")</f>
        <v/>
      </c>
      <c r="S80" s="54" t="str">
        <f aca="false">IF(A80="","",IF(COUNTIF(MON_ID,A80)&gt;1,"CHECK: duplicate ID",IF(B80="","CHECK: Supplier ID missing",IF(COUNTIF(INV_ID,B80)=0,"CHECK: Supplier ID not in inventory","OK"))))</f>
        <v/>
      </c>
    </row>
    <row r="81" customFormat="false" ht="15" hidden="false" customHeight="false" outlineLevel="0" collapsed="false">
      <c r="A81" s="50"/>
      <c r="B81" s="50"/>
      <c r="C81" s="59" t="str">
        <f aca="false">IF(B81="","",IFERROR(INDEX(INV_NAME,MATCH(B81,INV_ID,0)),"CHECK: Supplier ID not found"))</f>
        <v/>
      </c>
      <c r="D81" s="34"/>
      <c r="E81" s="51"/>
      <c r="F81" s="51"/>
      <c r="G81" s="34"/>
      <c r="H81" s="34"/>
      <c r="I81" s="34"/>
      <c r="J81" s="50"/>
      <c r="K81" s="50"/>
      <c r="L81" s="34"/>
      <c r="M81" s="50"/>
      <c r="N81" s="34"/>
      <c r="O81" s="50"/>
      <c r="P81" s="54" t="str">
        <f aca="false">IF(A81="","",IF(OR(I81="",NOT(ISNUMBER(J81)),NOT(ISNUMBER(K81))),"No KRI measured",IF(L81="Lower is worse",IF(J81&lt;K81,"Breach - threshold exceeded","Within threshold"),IF(J81&gt;K81,"Breach - threshold exceeded","Within threshold"))))</f>
        <v/>
      </c>
      <c r="Q81" s="54" t="str">
        <f aca="false">IF(A81="","",IF(OR(O81="Completed",O81="Cancelled"),"Closed",IF(AND(ISNUMBER(E81),E81&lt;AsOf),"Overdue - late review (no finding implied)","Scheduled")))</f>
        <v/>
      </c>
      <c r="R81" s="61" t="str">
        <f aca="false">IF(AND(O81="Completed",ISNUMBER(F81),E81=_xlfn.MAXIFS(MON_REVDATE,MON_SUP,B81,MON_STATUS,"Completed")),B81&amp;"|Latest","")</f>
        <v/>
      </c>
      <c r="S81" s="54" t="str">
        <f aca="false">IF(A81="","",IF(COUNTIF(MON_ID,A81)&gt;1,"CHECK: duplicate ID",IF(B81="","CHECK: Supplier ID missing",IF(COUNTIF(INV_ID,B81)=0,"CHECK: Supplier ID not in inventory","OK"))))</f>
        <v/>
      </c>
    </row>
    <row r="82" customFormat="false" ht="15" hidden="false" customHeight="false" outlineLevel="0" collapsed="false">
      <c r="A82" s="50"/>
      <c r="B82" s="50"/>
      <c r="C82" s="59" t="str">
        <f aca="false">IF(B82="","",IFERROR(INDEX(INV_NAME,MATCH(B82,INV_ID,0)),"CHECK: Supplier ID not found"))</f>
        <v/>
      </c>
      <c r="D82" s="34"/>
      <c r="E82" s="51"/>
      <c r="F82" s="51"/>
      <c r="G82" s="34"/>
      <c r="H82" s="34"/>
      <c r="I82" s="34"/>
      <c r="J82" s="50"/>
      <c r="K82" s="50"/>
      <c r="L82" s="34"/>
      <c r="M82" s="50"/>
      <c r="N82" s="34"/>
      <c r="O82" s="50"/>
      <c r="P82" s="54" t="str">
        <f aca="false">IF(A82="","",IF(OR(I82="",NOT(ISNUMBER(J82)),NOT(ISNUMBER(K82))),"No KRI measured",IF(L82="Lower is worse",IF(J82&lt;K82,"Breach - threshold exceeded","Within threshold"),IF(J82&gt;K82,"Breach - threshold exceeded","Within threshold"))))</f>
        <v/>
      </c>
      <c r="Q82" s="54" t="str">
        <f aca="false">IF(A82="","",IF(OR(O82="Completed",O82="Cancelled"),"Closed",IF(AND(ISNUMBER(E82),E82&lt;AsOf),"Overdue - late review (no finding implied)","Scheduled")))</f>
        <v/>
      </c>
      <c r="R82" s="61" t="str">
        <f aca="false">IF(AND(O82="Completed",ISNUMBER(F82),E82=_xlfn.MAXIFS(MON_REVDATE,MON_SUP,B82,MON_STATUS,"Completed")),B82&amp;"|Latest","")</f>
        <v/>
      </c>
      <c r="S82" s="54" t="str">
        <f aca="false">IF(A82="","",IF(COUNTIF(MON_ID,A82)&gt;1,"CHECK: duplicate ID",IF(B82="","CHECK: Supplier ID missing",IF(COUNTIF(INV_ID,B82)=0,"CHECK: Supplier ID not in inventory","OK"))))</f>
        <v/>
      </c>
    </row>
    <row r="83" customFormat="false" ht="15" hidden="false" customHeight="false" outlineLevel="0" collapsed="false">
      <c r="A83" s="50"/>
      <c r="B83" s="50"/>
      <c r="C83" s="59" t="str">
        <f aca="false">IF(B83="","",IFERROR(INDEX(INV_NAME,MATCH(B83,INV_ID,0)),"CHECK: Supplier ID not found"))</f>
        <v/>
      </c>
      <c r="D83" s="34"/>
      <c r="E83" s="51"/>
      <c r="F83" s="51"/>
      <c r="G83" s="34"/>
      <c r="H83" s="34"/>
      <c r="I83" s="34"/>
      <c r="J83" s="50"/>
      <c r="K83" s="50"/>
      <c r="L83" s="34"/>
      <c r="M83" s="50"/>
      <c r="N83" s="34"/>
      <c r="O83" s="50"/>
      <c r="P83" s="54" t="str">
        <f aca="false">IF(A83="","",IF(OR(I83="",NOT(ISNUMBER(J83)),NOT(ISNUMBER(K83))),"No KRI measured",IF(L83="Lower is worse",IF(J83&lt;K83,"Breach - threshold exceeded","Within threshold"),IF(J83&gt;K83,"Breach - threshold exceeded","Within threshold"))))</f>
        <v/>
      </c>
      <c r="Q83" s="54" t="str">
        <f aca="false">IF(A83="","",IF(OR(O83="Completed",O83="Cancelled"),"Closed",IF(AND(ISNUMBER(E83),E83&lt;AsOf),"Overdue - late review (no finding implied)","Scheduled")))</f>
        <v/>
      </c>
      <c r="R83" s="61" t="str">
        <f aca="false">IF(AND(O83="Completed",ISNUMBER(F83),E83=_xlfn.MAXIFS(MON_REVDATE,MON_SUP,B83,MON_STATUS,"Completed")),B83&amp;"|Latest","")</f>
        <v/>
      </c>
      <c r="S83" s="54" t="str">
        <f aca="false">IF(A83="","",IF(COUNTIF(MON_ID,A83)&gt;1,"CHECK: duplicate ID",IF(B83="","CHECK: Supplier ID missing",IF(COUNTIF(INV_ID,B83)=0,"CHECK: Supplier ID not in inventory","OK"))))</f>
        <v/>
      </c>
    </row>
    <row r="84" customFormat="false" ht="15" hidden="false" customHeight="false" outlineLevel="0" collapsed="false">
      <c r="A84" s="50"/>
      <c r="B84" s="50"/>
      <c r="C84" s="59" t="str">
        <f aca="false">IF(B84="","",IFERROR(INDEX(INV_NAME,MATCH(B84,INV_ID,0)),"CHECK: Supplier ID not found"))</f>
        <v/>
      </c>
      <c r="D84" s="34"/>
      <c r="E84" s="51"/>
      <c r="F84" s="51"/>
      <c r="G84" s="34"/>
      <c r="H84" s="34"/>
      <c r="I84" s="34"/>
      <c r="J84" s="50"/>
      <c r="K84" s="50"/>
      <c r="L84" s="34"/>
      <c r="M84" s="50"/>
      <c r="N84" s="34"/>
      <c r="O84" s="50"/>
      <c r="P84" s="54" t="str">
        <f aca="false">IF(A84="","",IF(OR(I84="",NOT(ISNUMBER(J84)),NOT(ISNUMBER(K84))),"No KRI measured",IF(L84="Lower is worse",IF(J84&lt;K84,"Breach - threshold exceeded","Within threshold"),IF(J84&gt;K84,"Breach - threshold exceeded","Within threshold"))))</f>
        <v/>
      </c>
      <c r="Q84" s="54" t="str">
        <f aca="false">IF(A84="","",IF(OR(O84="Completed",O84="Cancelled"),"Closed",IF(AND(ISNUMBER(E84),E84&lt;AsOf),"Overdue - late review (no finding implied)","Scheduled")))</f>
        <v/>
      </c>
      <c r="R84" s="61" t="str">
        <f aca="false">IF(AND(O84="Completed",ISNUMBER(F84),E84=_xlfn.MAXIFS(MON_REVDATE,MON_SUP,B84,MON_STATUS,"Completed")),B84&amp;"|Latest","")</f>
        <v/>
      </c>
      <c r="S84" s="54" t="str">
        <f aca="false">IF(A84="","",IF(COUNTIF(MON_ID,A84)&gt;1,"CHECK: duplicate ID",IF(B84="","CHECK: Supplier ID missing",IF(COUNTIF(INV_ID,B84)=0,"CHECK: Supplier ID not in inventory","OK"))))</f>
        <v/>
      </c>
    </row>
    <row r="85" customFormat="false" ht="15" hidden="false" customHeight="false" outlineLevel="0" collapsed="false">
      <c r="A85" s="50"/>
      <c r="B85" s="50"/>
      <c r="C85" s="59" t="str">
        <f aca="false">IF(B85="","",IFERROR(INDEX(INV_NAME,MATCH(B85,INV_ID,0)),"CHECK: Supplier ID not found"))</f>
        <v/>
      </c>
      <c r="D85" s="34"/>
      <c r="E85" s="51"/>
      <c r="F85" s="51"/>
      <c r="G85" s="34"/>
      <c r="H85" s="34"/>
      <c r="I85" s="34"/>
      <c r="J85" s="50"/>
      <c r="K85" s="50"/>
      <c r="L85" s="34"/>
      <c r="M85" s="50"/>
      <c r="N85" s="34"/>
      <c r="O85" s="50"/>
      <c r="P85" s="54" t="str">
        <f aca="false">IF(A85="","",IF(OR(I85="",NOT(ISNUMBER(J85)),NOT(ISNUMBER(K85))),"No KRI measured",IF(L85="Lower is worse",IF(J85&lt;K85,"Breach - threshold exceeded","Within threshold"),IF(J85&gt;K85,"Breach - threshold exceeded","Within threshold"))))</f>
        <v/>
      </c>
      <c r="Q85" s="54" t="str">
        <f aca="false">IF(A85="","",IF(OR(O85="Completed",O85="Cancelled"),"Closed",IF(AND(ISNUMBER(E85),E85&lt;AsOf),"Overdue - late review (no finding implied)","Scheduled")))</f>
        <v/>
      </c>
      <c r="R85" s="61" t="str">
        <f aca="false">IF(AND(O85="Completed",ISNUMBER(F85),E85=_xlfn.MAXIFS(MON_REVDATE,MON_SUP,B85,MON_STATUS,"Completed")),B85&amp;"|Latest","")</f>
        <v/>
      </c>
      <c r="S85" s="54" t="str">
        <f aca="false">IF(A85="","",IF(COUNTIF(MON_ID,A85)&gt;1,"CHECK: duplicate ID",IF(B85="","CHECK: Supplier ID missing",IF(COUNTIF(INV_ID,B85)=0,"CHECK: Supplier ID not in inventory","OK"))))</f>
        <v/>
      </c>
    </row>
    <row r="86" customFormat="false" ht="15" hidden="false" customHeight="false" outlineLevel="0" collapsed="false">
      <c r="A86" s="50"/>
      <c r="B86" s="50"/>
      <c r="C86" s="59" t="str">
        <f aca="false">IF(B86="","",IFERROR(INDEX(INV_NAME,MATCH(B86,INV_ID,0)),"CHECK: Supplier ID not found"))</f>
        <v/>
      </c>
      <c r="D86" s="34"/>
      <c r="E86" s="51"/>
      <c r="F86" s="51"/>
      <c r="G86" s="34"/>
      <c r="H86" s="34"/>
      <c r="I86" s="34"/>
      <c r="J86" s="50"/>
      <c r="K86" s="50"/>
      <c r="L86" s="34"/>
      <c r="M86" s="50"/>
      <c r="N86" s="34"/>
      <c r="O86" s="50"/>
      <c r="P86" s="54" t="str">
        <f aca="false">IF(A86="","",IF(OR(I86="",NOT(ISNUMBER(J86)),NOT(ISNUMBER(K86))),"No KRI measured",IF(L86="Lower is worse",IF(J86&lt;K86,"Breach - threshold exceeded","Within threshold"),IF(J86&gt;K86,"Breach - threshold exceeded","Within threshold"))))</f>
        <v/>
      </c>
      <c r="Q86" s="54" t="str">
        <f aca="false">IF(A86="","",IF(OR(O86="Completed",O86="Cancelled"),"Closed",IF(AND(ISNUMBER(E86),E86&lt;AsOf),"Overdue - late review (no finding implied)","Scheduled")))</f>
        <v/>
      </c>
      <c r="R86" s="61" t="str">
        <f aca="false">IF(AND(O86="Completed",ISNUMBER(F86),E86=_xlfn.MAXIFS(MON_REVDATE,MON_SUP,B86,MON_STATUS,"Completed")),B86&amp;"|Latest","")</f>
        <v/>
      </c>
      <c r="S86" s="54" t="str">
        <f aca="false">IF(A86="","",IF(COUNTIF(MON_ID,A86)&gt;1,"CHECK: duplicate ID",IF(B86="","CHECK: Supplier ID missing",IF(COUNTIF(INV_ID,B86)=0,"CHECK: Supplier ID not in inventory","OK"))))</f>
        <v/>
      </c>
    </row>
    <row r="87" customFormat="false" ht="15" hidden="false" customHeight="false" outlineLevel="0" collapsed="false">
      <c r="A87" s="50"/>
      <c r="B87" s="50"/>
      <c r="C87" s="59" t="str">
        <f aca="false">IF(B87="","",IFERROR(INDEX(INV_NAME,MATCH(B87,INV_ID,0)),"CHECK: Supplier ID not found"))</f>
        <v/>
      </c>
      <c r="D87" s="34"/>
      <c r="E87" s="51"/>
      <c r="F87" s="51"/>
      <c r="G87" s="34"/>
      <c r="H87" s="34"/>
      <c r="I87" s="34"/>
      <c r="J87" s="50"/>
      <c r="K87" s="50"/>
      <c r="L87" s="34"/>
      <c r="M87" s="50"/>
      <c r="N87" s="34"/>
      <c r="O87" s="50"/>
      <c r="P87" s="54" t="str">
        <f aca="false">IF(A87="","",IF(OR(I87="",NOT(ISNUMBER(J87)),NOT(ISNUMBER(K87))),"No KRI measured",IF(L87="Lower is worse",IF(J87&lt;K87,"Breach - threshold exceeded","Within threshold"),IF(J87&gt;K87,"Breach - threshold exceeded","Within threshold"))))</f>
        <v/>
      </c>
      <c r="Q87" s="54" t="str">
        <f aca="false">IF(A87="","",IF(OR(O87="Completed",O87="Cancelled"),"Closed",IF(AND(ISNUMBER(E87),E87&lt;AsOf),"Overdue - late review (no finding implied)","Scheduled")))</f>
        <v/>
      </c>
      <c r="R87" s="61" t="str">
        <f aca="false">IF(AND(O87="Completed",ISNUMBER(F87),E87=_xlfn.MAXIFS(MON_REVDATE,MON_SUP,B87,MON_STATUS,"Completed")),B87&amp;"|Latest","")</f>
        <v/>
      </c>
      <c r="S87" s="54" t="str">
        <f aca="false">IF(A87="","",IF(COUNTIF(MON_ID,A87)&gt;1,"CHECK: duplicate ID",IF(B87="","CHECK: Supplier ID missing",IF(COUNTIF(INV_ID,B87)=0,"CHECK: Supplier ID not in inventory","OK"))))</f>
        <v/>
      </c>
    </row>
    <row r="88" customFormat="false" ht="15" hidden="false" customHeight="false" outlineLevel="0" collapsed="false">
      <c r="A88" s="50"/>
      <c r="B88" s="50"/>
      <c r="C88" s="59" t="str">
        <f aca="false">IF(B88="","",IFERROR(INDEX(INV_NAME,MATCH(B88,INV_ID,0)),"CHECK: Supplier ID not found"))</f>
        <v/>
      </c>
      <c r="D88" s="34"/>
      <c r="E88" s="51"/>
      <c r="F88" s="51"/>
      <c r="G88" s="34"/>
      <c r="H88" s="34"/>
      <c r="I88" s="34"/>
      <c r="J88" s="50"/>
      <c r="K88" s="50"/>
      <c r="L88" s="34"/>
      <c r="M88" s="50"/>
      <c r="N88" s="34"/>
      <c r="O88" s="50"/>
      <c r="P88" s="54" t="str">
        <f aca="false">IF(A88="","",IF(OR(I88="",NOT(ISNUMBER(J88)),NOT(ISNUMBER(K88))),"No KRI measured",IF(L88="Lower is worse",IF(J88&lt;K88,"Breach - threshold exceeded","Within threshold"),IF(J88&gt;K88,"Breach - threshold exceeded","Within threshold"))))</f>
        <v/>
      </c>
      <c r="Q88" s="54" t="str">
        <f aca="false">IF(A88="","",IF(OR(O88="Completed",O88="Cancelled"),"Closed",IF(AND(ISNUMBER(E88),E88&lt;AsOf),"Overdue - late review (no finding implied)","Scheduled")))</f>
        <v/>
      </c>
      <c r="R88" s="61" t="str">
        <f aca="false">IF(AND(O88="Completed",ISNUMBER(F88),E88=_xlfn.MAXIFS(MON_REVDATE,MON_SUP,B88,MON_STATUS,"Completed")),B88&amp;"|Latest","")</f>
        <v/>
      </c>
      <c r="S88" s="54" t="str">
        <f aca="false">IF(A88="","",IF(COUNTIF(MON_ID,A88)&gt;1,"CHECK: duplicate ID",IF(B88="","CHECK: Supplier ID missing",IF(COUNTIF(INV_ID,B88)=0,"CHECK: Supplier ID not in inventory","OK"))))</f>
        <v/>
      </c>
    </row>
    <row r="89" customFormat="false" ht="15" hidden="false" customHeight="false" outlineLevel="0" collapsed="false">
      <c r="A89" s="50"/>
      <c r="B89" s="50"/>
      <c r="C89" s="59" t="str">
        <f aca="false">IF(B89="","",IFERROR(INDEX(INV_NAME,MATCH(B89,INV_ID,0)),"CHECK: Supplier ID not found"))</f>
        <v/>
      </c>
      <c r="D89" s="34"/>
      <c r="E89" s="51"/>
      <c r="F89" s="51"/>
      <c r="G89" s="34"/>
      <c r="H89" s="34"/>
      <c r="I89" s="34"/>
      <c r="J89" s="50"/>
      <c r="K89" s="50"/>
      <c r="L89" s="34"/>
      <c r="M89" s="50"/>
      <c r="N89" s="34"/>
      <c r="O89" s="50"/>
      <c r="P89" s="54" t="str">
        <f aca="false">IF(A89="","",IF(OR(I89="",NOT(ISNUMBER(J89)),NOT(ISNUMBER(K89))),"No KRI measured",IF(L89="Lower is worse",IF(J89&lt;K89,"Breach - threshold exceeded","Within threshold"),IF(J89&gt;K89,"Breach - threshold exceeded","Within threshold"))))</f>
        <v/>
      </c>
      <c r="Q89" s="54" t="str">
        <f aca="false">IF(A89="","",IF(OR(O89="Completed",O89="Cancelled"),"Closed",IF(AND(ISNUMBER(E89),E89&lt;AsOf),"Overdue - late review (no finding implied)","Scheduled")))</f>
        <v/>
      </c>
      <c r="R89" s="61" t="str">
        <f aca="false">IF(AND(O89="Completed",ISNUMBER(F89),E89=_xlfn.MAXIFS(MON_REVDATE,MON_SUP,B89,MON_STATUS,"Completed")),B89&amp;"|Latest","")</f>
        <v/>
      </c>
      <c r="S89" s="54" t="str">
        <f aca="false">IF(A89="","",IF(COUNTIF(MON_ID,A89)&gt;1,"CHECK: duplicate ID",IF(B89="","CHECK: Supplier ID missing",IF(COUNTIF(INV_ID,B89)=0,"CHECK: Supplier ID not in inventory","OK"))))</f>
        <v/>
      </c>
    </row>
    <row r="90" customFormat="false" ht="15" hidden="false" customHeight="false" outlineLevel="0" collapsed="false">
      <c r="A90" s="50"/>
      <c r="B90" s="50"/>
      <c r="C90" s="59" t="str">
        <f aca="false">IF(B90="","",IFERROR(INDEX(INV_NAME,MATCH(B90,INV_ID,0)),"CHECK: Supplier ID not found"))</f>
        <v/>
      </c>
      <c r="D90" s="34"/>
      <c r="E90" s="51"/>
      <c r="F90" s="51"/>
      <c r="G90" s="34"/>
      <c r="H90" s="34"/>
      <c r="I90" s="34"/>
      <c r="J90" s="50"/>
      <c r="K90" s="50"/>
      <c r="L90" s="34"/>
      <c r="M90" s="50"/>
      <c r="N90" s="34"/>
      <c r="O90" s="50"/>
      <c r="P90" s="54" t="str">
        <f aca="false">IF(A90="","",IF(OR(I90="",NOT(ISNUMBER(J90)),NOT(ISNUMBER(K90))),"No KRI measured",IF(L90="Lower is worse",IF(J90&lt;K90,"Breach - threshold exceeded","Within threshold"),IF(J90&gt;K90,"Breach - threshold exceeded","Within threshold"))))</f>
        <v/>
      </c>
      <c r="Q90" s="54" t="str">
        <f aca="false">IF(A90="","",IF(OR(O90="Completed",O90="Cancelled"),"Closed",IF(AND(ISNUMBER(E90),E90&lt;AsOf),"Overdue - late review (no finding implied)","Scheduled")))</f>
        <v/>
      </c>
      <c r="R90" s="61" t="str">
        <f aca="false">IF(AND(O90="Completed",ISNUMBER(F90),E90=_xlfn.MAXIFS(MON_REVDATE,MON_SUP,B90,MON_STATUS,"Completed")),B90&amp;"|Latest","")</f>
        <v/>
      </c>
      <c r="S90" s="54" t="str">
        <f aca="false">IF(A90="","",IF(COUNTIF(MON_ID,A90)&gt;1,"CHECK: duplicate ID",IF(B90="","CHECK: Supplier ID missing",IF(COUNTIF(INV_ID,B90)=0,"CHECK: Supplier ID not in inventory","OK"))))</f>
        <v/>
      </c>
    </row>
    <row r="91" customFormat="false" ht="15" hidden="false" customHeight="false" outlineLevel="0" collapsed="false">
      <c r="A91" s="50"/>
      <c r="B91" s="50"/>
      <c r="C91" s="59" t="str">
        <f aca="false">IF(B91="","",IFERROR(INDEX(INV_NAME,MATCH(B91,INV_ID,0)),"CHECK: Supplier ID not found"))</f>
        <v/>
      </c>
      <c r="D91" s="34"/>
      <c r="E91" s="51"/>
      <c r="F91" s="51"/>
      <c r="G91" s="34"/>
      <c r="H91" s="34"/>
      <c r="I91" s="34"/>
      <c r="J91" s="50"/>
      <c r="K91" s="50"/>
      <c r="L91" s="34"/>
      <c r="M91" s="50"/>
      <c r="N91" s="34"/>
      <c r="O91" s="50"/>
      <c r="P91" s="54" t="str">
        <f aca="false">IF(A91="","",IF(OR(I91="",NOT(ISNUMBER(J91)),NOT(ISNUMBER(K91))),"No KRI measured",IF(L91="Lower is worse",IF(J91&lt;K91,"Breach - threshold exceeded","Within threshold"),IF(J91&gt;K91,"Breach - threshold exceeded","Within threshold"))))</f>
        <v/>
      </c>
      <c r="Q91" s="54" t="str">
        <f aca="false">IF(A91="","",IF(OR(O91="Completed",O91="Cancelled"),"Closed",IF(AND(ISNUMBER(E91),E91&lt;AsOf),"Overdue - late review (no finding implied)","Scheduled")))</f>
        <v/>
      </c>
      <c r="R91" s="61" t="str">
        <f aca="false">IF(AND(O91="Completed",ISNUMBER(F91),E91=_xlfn.MAXIFS(MON_REVDATE,MON_SUP,B91,MON_STATUS,"Completed")),B91&amp;"|Latest","")</f>
        <v/>
      </c>
      <c r="S91" s="54" t="str">
        <f aca="false">IF(A91="","",IF(COUNTIF(MON_ID,A91)&gt;1,"CHECK: duplicate ID",IF(B91="","CHECK: Supplier ID missing",IF(COUNTIF(INV_ID,B91)=0,"CHECK: Supplier ID not in inventory","OK"))))</f>
        <v/>
      </c>
    </row>
    <row r="92" customFormat="false" ht="15" hidden="false" customHeight="false" outlineLevel="0" collapsed="false">
      <c r="A92" s="50"/>
      <c r="B92" s="50"/>
      <c r="C92" s="59" t="str">
        <f aca="false">IF(B92="","",IFERROR(INDEX(INV_NAME,MATCH(B92,INV_ID,0)),"CHECK: Supplier ID not found"))</f>
        <v/>
      </c>
      <c r="D92" s="34"/>
      <c r="E92" s="51"/>
      <c r="F92" s="51"/>
      <c r="G92" s="34"/>
      <c r="H92" s="34"/>
      <c r="I92" s="34"/>
      <c r="J92" s="50"/>
      <c r="K92" s="50"/>
      <c r="L92" s="34"/>
      <c r="M92" s="50"/>
      <c r="N92" s="34"/>
      <c r="O92" s="50"/>
      <c r="P92" s="54" t="str">
        <f aca="false">IF(A92="","",IF(OR(I92="",NOT(ISNUMBER(J92)),NOT(ISNUMBER(K92))),"No KRI measured",IF(L92="Lower is worse",IF(J92&lt;K92,"Breach - threshold exceeded","Within threshold"),IF(J92&gt;K92,"Breach - threshold exceeded","Within threshold"))))</f>
        <v/>
      </c>
      <c r="Q92" s="54" t="str">
        <f aca="false">IF(A92="","",IF(OR(O92="Completed",O92="Cancelled"),"Closed",IF(AND(ISNUMBER(E92),E92&lt;AsOf),"Overdue - late review (no finding implied)","Scheduled")))</f>
        <v/>
      </c>
      <c r="R92" s="61" t="str">
        <f aca="false">IF(AND(O92="Completed",ISNUMBER(F92),E92=_xlfn.MAXIFS(MON_REVDATE,MON_SUP,B92,MON_STATUS,"Completed")),B92&amp;"|Latest","")</f>
        <v/>
      </c>
      <c r="S92" s="54" t="str">
        <f aca="false">IF(A92="","",IF(COUNTIF(MON_ID,A92)&gt;1,"CHECK: duplicate ID",IF(B92="","CHECK: Supplier ID missing",IF(COUNTIF(INV_ID,B92)=0,"CHECK: Supplier ID not in inventory","OK"))))</f>
        <v/>
      </c>
    </row>
    <row r="93" customFormat="false" ht="15" hidden="false" customHeight="false" outlineLevel="0" collapsed="false">
      <c r="A93" s="50"/>
      <c r="B93" s="50"/>
      <c r="C93" s="59" t="str">
        <f aca="false">IF(B93="","",IFERROR(INDEX(INV_NAME,MATCH(B93,INV_ID,0)),"CHECK: Supplier ID not found"))</f>
        <v/>
      </c>
      <c r="D93" s="34"/>
      <c r="E93" s="51"/>
      <c r="F93" s="51"/>
      <c r="G93" s="34"/>
      <c r="H93" s="34"/>
      <c r="I93" s="34"/>
      <c r="J93" s="50"/>
      <c r="K93" s="50"/>
      <c r="L93" s="34"/>
      <c r="M93" s="50"/>
      <c r="N93" s="34"/>
      <c r="O93" s="50"/>
      <c r="P93" s="54" t="str">
        <f aca="false">IF(A93="","",IF(OR(I93="",NOT(ISNUMBER(J93)),NOT(ISNUMBER(K93))),"No KRI measured",IF(L93="Lower is worse",IF(J93&lt;K93,"Breach - threshold exceeded","Within threshold"),IF(J93&gt;K93,"Breach - threshold exceeded","Within threshold"))))</f>
        <v/>
      </c>
      <c r="Q93" s="54" t="str">
        <f aca="false">IF(A93="","",IF(OR(O93="Completed",O93="Cancelled"),"Closed",IF(AND(ISNUMBER(E93),E93&lt;AsOf),"Overdue - late review (no finding implied)","Scheduled")))</f>
        <v/>
      </c>
      <c r="R93" s="61" t="str">
        <f aca="false">IF(AND(O93="Completed",ISNUMBER(F93),E93=_xlfn.MAXIFS(MON_REVDATE,MON_SUP,B93,MON_STATUS,"Completed")),B93&amp;"|Latest","")</f>
        <v/>
      </c>
      <c r="S93" s="54" t="str">
        <f aca="false">IF(A93="","",IF(COUNTIF(MON_ID,A93)&gt;1,"CHECK: duplicate ID",IF(B93="","CHECK: Supplier ID missing",IF(COUNTIF(INV_ID,B93)=0,"CHECK: Supplier ID not in inventory","OK"))))</f>
        <v/>
      </c>
    </row>
    <row r="94" customFormat="false" ht="15" hidden="false" customHeight="false" outlineLevel="0" collapsed="false">
      <c r="A94" s="50"/>
      <c r="B94" s="50"/>
      <c r="C94" s="59" t="str">
        <f aca="false">IF(B94="","",IFERROR(INDEX(INV_NAME,MATCH(B94,INV_ID,0)),"CHECK: Supplier ID not found"))</f>
        <v/>
      </c>
      <c r="D94" s="34"/>
      <c r="E94" s="51"/>
      <c r="F94" s="51"/>
      <c r="G94" s="34"/>
      <c r="H94" s="34"/>
      <c r="I94" s="34"/>
      <c r="J94" s="50"/>
      <c r="K94" s="50"/>
      <c r="L94" s="34"/>
      <c r="M94" s="50"/>
      <c r="N94" s="34"/>
      <c r="O94" s="50"/>
      <c r="P94" s="54" t="str">
        <f aca="false">IF(A94="","",IF(OR(I94="",NOT(ISNUMBER(J94)),NOT(ISNUMBER(K94))),"No KRI measured",IF(L94="Lower is worse",IF(J94&lt;K94,"Breach - threshold exceeded","Within threshold"),IF(J94&gt;K94,"Breach - threshold exceeded","Within threshold"))))</f>
        <v/>
      </c>
      <c r="Q94" s="54" t="str">
        <f aca="false">IF(A94="","",IF(OR(O94="Completed",O94="Cancelled"),"Closed",IF(AND(ISNUMBER(E94),E94&lt;AsOf),"Overdue - late review (no finding implied)","Scheduled")))</f>
        <v/>
      </c>
      <c r="R94" s="61" t="str">
        <f aca="false">IF(AND(O94="Completed",ISNUMBER(F94),E94=_xlfn.MAXIFS(MON_REVDATE,MON_SUP,B94,MON_STATUS,"Completed")),B94&amp;"|Latest","")</f>
        <v/>
      </c>
      <c r="S94" s="54" t="str">
        <f aca="false">IF(A94="","",IF(COUNTIF(MON_ID,A94)&gt;1,"CHECK: duplicate ID",IF(B94="","CHECK: Supplier ID missing",IF(COUNTIF(INV_ID,B94)=0,"CHECK: Supplier ID not in inventory","OK"))))</f>
        <v/>
      </c>
    </row>
    <row r="95" customFormat="false" ht="15" hidden="false" customHeight="false" outlineLevel="0" collapsed="false">
      <c r="A95" s="50"/>
      <c r="B95" s="50"/>
      <c r="C95" s="59" t="str">
        <f aca="false">IF(B95="","",IFERROR(INDEX(INV_NAME,MATCH(B95,INV_ID,0)),"CHECK: Supplier ID not found"))</f>
        <v/>
      </c>
      <c r="D95" s="34"/>
      <c r="E95" s="51"/>
      <c r="F95" s="51"/>
      <c r="G95" s="34"/>
      <c r="H95" s="34"/>
      <c r="I95" s="34"/>
      <c r="J95" s="50"/>
      <c r="K95" s="50"/>
      <c r="L95" s="34"/>
      <c r="M95" s="50"/>
      <c r="N95" s="34"/>
      <c r="O95" s="50"/>
      <c r="P95" s="54" t="str">
        <f aca="false">IF(A95="","",IF(OR(I95="",NOT(ISNUMBER(J95)),NOT(ISNUMBER(K95))),"No KRI measured",IF(L95="Lower is worse",IF(J95&lt;K95,"Breach - threshold exceeded","Within threshold"),IF(J95&gt;K95,"Breach - threshold exceeded","Within threshold"))))</f>
        <v/>
      </c>
      <c r="Q95" s="54" t="str">
        <f aca="false">IF(A95="","",IF(OR(O95="Completed",O95="Cancelled"),"Closed",IF(AND(ISNUMBER(E95),E95&lt;AsOf),"Overdue - late review (no finding implied)","Scheduled")))</f>
        <v/>
      </c>
      <c r="R95" s="61" t="str">
        <f aca="false">IF(AND(O95="Completed",ISNUMBER(F95),E95=_xlfn.MAXIFS(MON_REVDATE,MON_SUP,B95,MON_STATUS,"Completed")),B95&amp;"|Latest","")</f>
        <v/>
      </c>
      <c r="S95" s="54" t="str">
        <f aca="false">IF(A95="","",IF(COUNTIF(MON_ID,A95)&gt;1,"CHECK: duplicate ID",IF(B95="","CHECK: Supplier ID missing",IF(COUNTIF(INV_ID,B95)=0,"CHECK: Supplier ID not in inventory","OK"))))</f>
        <v/>
      </c>
    </row>
    <row r="96" customFormat="false" ht="15" hidden="false" customHeight="false" outlineLevel="0" collapsed="false">
      <c r="A96" s="50"/>
      <c r="B96" s="50"/>
      <c r="C96" s="59" t="str">
        <f aca="false">IF(B96="","",IFERROR(INDEX(INV_NAME,MATCH(B96,INV_ID,0)),"CHECK: Supplier ID not found"))</f>
        <v/>
      </c>
      <c r="D96" s="34"/>
      <c r="E96" s="51"/>
      <c r="F96" s="51"/>
      <c r="G96" s="34"/>
      <c r="H96" s="34"/>
      <c r="I96" s="34"/>
      <c r="J96" s="50"/>
      <c r="K96" s="50"/>
      <c r="L96" s="34"/>
      <c r="M96" s="50"/>
      <c r="N96" s="34"/>
      <c r="O96" s="50"/>
      <c r="P96" s="54" t="str">
        <f aca="false">IF(A96="","",IF(OR(I96="",NOT(ISNUMBER(J96)),NOT(ISNUMBER(K96))),"No KRI measured",IF(L96="Lower is worse",IF(J96&lt;K96,"Breach - threshold exceeded","Within threshold"),IF(J96&gt;K96,"Breach - threshold exceeded","Within threshold"))))</f>
        <v/>
      </c>
      <c r="Q96" s="54" t="str">
        <f aca="false">IF(A96="","",IF(OR(O96="Completed",O96="Cancelled"),"Closed",IF(AND(ISNUMBER(E96),E96&lt;AsOf),"Overdue - late review (no finding implied)","Scheduled")))</f>
        <v/>
      </c>
      <c r="R96" s="61" t="str">
        <f aca="false">IF(AND(O96="Completed",ISNUMBER(F96),E96=_xlfn.MAXIFS(MON_REVDATE,MON_SUP,B96,MON_STATUS,"Completed")),B96&amp;"|Latest","")</f>
        <v/>
      </c>
      <c r="S96" s="54" t="str">
        <f aca="false">IF(A96="","",IF(COUNTIF(MON_ID,A96)&gt;1,"CHECK: duplicate ID",IF(B96="","CHECK: Supplier ID missing",IF(COUNTIF(INV_ID,B96)=0,"CHECK: Supplier ID not in inventory","OK"))))</f>
        <v/>
      </c>
    </row>
    <row r="97" customFormat="false" ht="15" hidden="false" customHeight="false" outlineLevel="0" collapsed="false">
      <c r="A97" s="50"/>
      <c r="B97" s="50"/>
      <c r="C97" s="59" t="str">
        <f aca="false">IF(B97="","",IFERROR(INDEX(INV_NAME,MATCH(B97,INV_ID,0)),"CHECK: Supplier ID not found"))</f>
        <v/>
      </c>
      <c r="D97" s="34"/>
      <c r="E97" s="51"/>
      <c r="F97" s="51"/>
      <c r="G97" s="34"/>
      <c r="H97" s="34"/>
      <c r="I97" s="34"/>
      <c r="J97" s="50"/>
      <c r="K97" s="50"/>
      <c r="L97" s="34"/>
      <c r="M97" s="50"/>
      <c r="N97" s="34"/>
      <c r="O97" s="50"/>
      <c r="P97" s="54" t="str">
        <f aca="false">IF(A97="","",IF(OR(I97="",NOT(ISNUMBER(J97)),NOT(ISNUMBER(K97))),"No KRI measured",IF(L97="Lower is worse",IF(J97&lt;K97,"Breach - threshold exceeded","Within threshold"),IF(J97&gt;K97,"Breach - threshold exceeded","Within threshold"))))</f>
        <v/>
      </c>
      <c r="Q97" s="54" t="str">
        <f aca="false">IF(A97="","",IF(OR(O97="Completed",O97="Cancelled"),"Closed",IF(AND(ISNUMBER(E97),E97&lt;AsOf),"Overdue - late review (no finding implied)","Scheduled")))</f>
        <v/>
      </c>
      <c r="R97" s="61" t="str">
        <f aca="false">IF(AND(O97="Completed",ISNUMBER(F97),E97=_xlfn.MAXIFS(MON_REVDATE,MON_SUP,B97,MON_STATUS,"Completed")),B97&amp;"|Latest","")</f>
        <v/>
      </c>
      <c r="S97" s="54" t="str">
        <f aca="false">IF(A97="","",IF(COUNTIF(MON_ID,A97)&gt;1,"CHECK: duplicate ID",IF(B97="","CHECK: Supplier ID missing",IF(COUNTIF(INV_ID,B97)=0,"CHECK: Supplier ID not in inventory","OK"))))</f>
        <v/>
      </c>
    </row>
    <row r="98" customFormat="false" ht="15" hidden="false" customHeight="false" outlineLevel="0" collapsed="false">
      <c r="A98" s="50"/>
      <c r="B98" s="50"/>
      <c r="C98" s="59" t="str">
        <f aca="false">IF(B98="","",IFERROR(INDEX(INV_NAME,MATCH(B98,INV_ID,0)),"CHECK: Supplier ID not found"))</f>
        <v/>
      </c>
      <c r="D98" s="34"/>
      <c r="E98" s="51"/>
      <c r="F98" s="51"/>
      <c r="G98" s="34"/>
      <c r="H98" s="34"/>
      <c r="I98" s="34"/>
      <c r="J98" s="50"/>
      <c r="K98" s="50"/>
      <c r="L98" s="34"/>
      <c r="M98" s="50"/>
      <c r="N98" s="34"/>
      <c r="O98" s="50"/>
      <c r="P98" s="54" t="str">
        <f aca="false">IF(A98="","",IF(OR(I98="",NOT(ISNUMBER(J98)),NOT(ISNUMBER(K98))),"No KRI measured",IF(L98="Lower is worse",IF(J98&lt;K98,"Breach - threshold exceeded","Within threshold"),IF(J98&gt;K98,"Breach - threshold exceeded","Within threshold"))))</f>
        <v/>
      </c>
      <c r="Q98" s="54" t="str">
        <f aca="false">IF(A98="","",IF(OR(O98="Completed",O98="Cancelled"),"Closed",IF(AND(ISNUMBER(E98),E98&lt;AsOf),"Overdue - late review (no finding implied)","Scheduled")))</f>
        <v/>
      </c>
      <c r="R98" s="61" t="str">
        <f aca="false">IF(AND(O98="Completed",ISNUMBER(F98),E98=_xlfn.MAXIFS(MON_REVDATE,MON_SUP,B98,MON_STATUS,"Completed")),B98&amp;"|Latest","")</f>
        <v/>
      </c>
      <c r="S98" s="54" t="str">
        <f aca="false">IF(A98="","",IF(COUNTIF(MON_ID,A98)&gt;1,"CHECK: duplicate ID",IF(B98="","CHECK: Supplier ID missing",IF(COUNTIF(INV_ID,B98)=0,"CHECK: Supplier ID not in inventory","OK"))))</f>
        <v/>
      </c>
    </row>
    <row r="99" customFormat="false" ht="15" hidden="false" customHeight="false" outlineLevel="0" collapsed="false">
      <c r="A99" s="50"/>
      <c r="B99" s="50"/>
      <c r="C99" s="59" t="str">
        <f aca="false">IF(B99="","",IFERROR(INDEX(INV_NAME,MATCH(B99,INV_ID,0)),"CHECK: Supplier ID not found"))</f>
        <v/>
      </c>
      <c r="D99" s="34"/>
      <c r="E99" s="51"/>
      <c r="F99" s="51"/>
      <c r="G99" s="34"/>
      <c r="H99" s="34"/>
      <c r="I99" s="34"/>
      <c r="J99" s="50"/>
      <c r="K99" s="50"/>
      <c r="L99" s="34"/>
      <c r="M99" s="50"/>
      <c r="N99" s="34"/>
      <c r="O99" s="50"/>
      <c r="P99" s="54" t="str">
        <f aca="false">IF(A99="","",IF(OR(I99="",NOT(ISNUMBER(J99)),NOT(ISNUMBER(K99))),"No KRI measured",IF(L99="Lower is worse",IF(J99&lt;K99,"Breach - threshold exceeded","Within threshold"),IF(J99&gt;K99,"Breach - threshold exceeded","Within threshold"))))</f>
        <v/>
      </c>
      <c r="Q99" s="54" t="str">
        <f aca="false">IF(A99="","",IF(OR(O99="Completed",O99="Cancelled"),"Closed",IF(AND(ISNUMBER(E99),E99&lt;AsOf),"Overdue - late review (no finding implied)","Scheduled")))</f>
        <v/>
      </c>
      <c r="R99" s="61" t="str">
        <f aca="false">IF(AND(O99="Completed",ISNUMBER(F99),E99=_xlfn.MAXIFS(MON_REVDATE,MON_SUP,B99,MON_STATUS,"Completed")),B99&amp;"|Latest","")</f>
        <v/>
      </c>
      <c r="S99" s="54" t="str">
        <f aca="false">IF(A99="","",IF(COUNTIF(MON_ID,A99)&gt;1,"CHECK: duplicate ID",IF(B99="","CHECK: Supplier ID missing",IF(COUNTIF(INV_ID,B99)=0,"CHECK: Supplier ID not in inventory","OK"))))</f>
        <v/>
      </c>
    </row>
    <row r="100" customFormat="false" ht="15" hidden="false" customHeight="false" outlineLevel="0" collapsed="false">
      <c r="A100" s="50"/>
      <c r="B100" s="50"/>
      <c r="C100" s="59" t="str">
        <f aca="false">IF(B100="","",IFERROR(INDEX(INV_NAME,MATCH(B100,INV_ID,0)),"CHECK: Supplier ID not found"))</f>
        <v/>
      </c>
      <c r="D100" s="34"/>
      <c r="E100" s="51"/>
      <c r="F100" s="51"/>
      <c r="G100" s="34"/>
      <c r="H100" s="34"/>
      <c r="I100" s="34"/>
      <c r="J100" s="50"/>
      <c r="K100" s="50"/>
      <c r="L100" s="34"/>
      <c r="M100" s="50"/>
      <c r="N100" s="34"/>
      <c r="O100" s="50"/>
      <c r="P100" s="54" t="str">
        <f aca="false">IF(A100="","",IF(OR(I100="",NOT(ISNUMBER(J100)),NOT(ISNUMBER(K100))),"No KRI measured",IF(L100="Lower is worse",IF(J100&lt;K100,"Breach - threshold exceeded","Within threshold"),IF(J100&gt;K100,"Breach - threshold exceeded","Within threshold"))))</f>
        <v/>
      </c>
      <c r="Q100" s="54" t="str">
        <f aca="false">IF(A100="","",IF(OR(O100="Completed",O100="Cancelled"),"Closed",IF(AND(ISNUMBER(E100),E100&lt;AsOf),"Overdue - late review (no finding implied)","Scheduled")))</f>
        <v/>
      </c>
      <c r="R100" s="61" t="str">
        <f aca="false">IF(AND(O100="Completed",ISNUMBER(F100),E100=_xlfn.MAXIFS(MON_REVDATE,MON_SUP,B100,MON_STATUS,"Completed")),B100&amp;"|Latest","")</f>
        <v/>
      </c>
      <c r="S100" s="54" t="str">
        <f aca="false">IF(A100="","",IF(COUNTIF(MON_ID,A100)&gt;1,"CHECK: duplicate ID",IF(B100="","CHECK: Supplier ID missing",IF(COUNTIF(INV_ID,B100)=0,"CHECK: Supplier ID not in inventory","OK"))))</f>
        <v/>
      </c>
    </row>
    <row r="101" customFormat="false" ht="15" hidden="false" customHeight="false" outlineLevel="0" collapsed="false">
      <c r="A101" s="50"/>
      <c r="B101" s="50"/>
      <c r="C101" s="59" t="str">
        <f aca="false">IF(B101="","",IFERROR(INDEX(INV_NAME,MATCH(B101,INV_ID,0)),"CHECK: Supplier ID not found"))</f>
        <v/>
      </c>
      <c r="D101" s="34"/>
      <c r="E101" s="51"/>
      <c r="F101" s="51"/>
      <c r="G101" s="34"/>
      <c r="H101" s="34"/>
      <c r="I101" s="34"/>
      <c r="J101" s="50"/>
      <c r="K101" s="50"/>
      <c r="L101" s="34"/>
      <c r="M101" s="50"/>
      <c r="N101" s="34"/>
      <c r="O101" s="50"/>
      <c r="P101" s="54" t="str">
        <f aca="false">IF(A101="","",IF(OR(I101="",NOT(ISNUMBER(J101)),NOT(ISNUMBER(K101))),"No KRI measured",IF(L101="Lower is worse",IF(J101&lt;K101,"Breach - threshold exceeded","Within threshold"),IF(J101&gt;K101,"Breach - threshold exceeded","Within threshold"))))</f>
        <v/>
      </c>
      <c r="Q101" s="54" t="str">
        <f aca="false">IF(A101="","",IF(OR(O101="Completed",O101="Cancelled"),"Closed",IF(AND(ISNUMBER(E101),E101&lt;AsOf),"Overdue - late review (no finding implied)","Scheduled")))</f>
        <v/>
      </c>
      <c r="R101" s="61" t="str">
        <f aca="false">IF(AND(O101="Completed",ISNUMBER(F101),E101=_xlfn.MAXIFS(MON_REVDATE,MON_SUP,B101,MON_STATUS,"Completed")),B101&amp;"|Latest","")</f>
        <v/>
      </c>
      <c r="S101" s="54" t="str">
        <f aca="false">IF(A101="","",IF(COUNTIF(MON_ID,A101)&gt;1,"CHECK: duplicate ID",IF(B101="","CHECK: Supplier ID missing",IF(COUNTIF(INV_ID,B101)=0,"CHECK: Supplier ID not in inventory","OK"))))</f>
        <v/>
      </c>
    </row>
    <row r="102" customFormat="false" ht="15" hidden="false" customHeight="false" outlineLevel="0" collapsed="false">
      <c r="A102" s="50"/>
      <c r="B102" s="50"/>
      <c r="C102" s="59" t="str">
        <f aca="false">IF(B102="","",IFERROR(INDEX(INV_NAME,MATCH(B102,INV_ID,0)),"CHECK: Supplier ID not found"))</f>
        <v/>
      </c>
      <c r="D102" s="34"/>
      <c r="E102" s="51"/>
      <c r="F102" s="51"/>
      <c r="G102" s="34"/>
      <c r="H102" s="34"/>
      <c r="I102" s="34"/>
      <c r="J102" s="50"/>
      <c r="K102" s="50"/>
      <c r="L102" s="34"/>
      <c r="M102" s="50"/>
      <c r="N102" s="34"/>
      <c r="O102" s="50"/>
      <c r="P102" s="54" t="str">
        <f aca="false">IF(A102="","",IF(OR(I102="",NOT(ISNUMBER(J102)),NOT(ISNUMBER(K102))),"No KRI measured",IF(L102="Lower is worse",IF(J102&lt;K102,"Breach - threshold exceeded","Within threshold"),IF(J102&gt;K102,"Breach - threshold exceeded","Within threshold"))))</f>
        <v/>
      </c>
      <c r="Q102" s="54" t="str">
        <f aca="false">IF(A102="","",IF(OR(O102="Completed",O102="Cancelled"),"Closed",IF(AND(ISNUMBER(E102),E102&lt;AsOf),"Overdue - late review (no finding implied)","Scheduled")))</f>
        <v/>
      </c>
      <c r="R102" s="61" t="str">
        <f aca="false">IF(AND(O102="Completed",ISNUMBER(F102),E102=_xlfn.MAXIFS(MON_REVDATE,MON_SUP,B102,MON_STATUS,"Completed")),B102&amp;"|Latest","")</f>
        <v/>
      </c>
      <c r="S102" s="54" t="str">
        <f aca="false">IF(A102="","",IF(COUNTIF(MON_ID,A102)&gt;1,"CHECK: duplicate ID",IF(B102="","CHECK: Supplier ID missing",IF(COUNTIF(INV_ID,B102)=0,"CHECK: Supplier ID not in inventory","OK"))))</f>
        <v/>
      </c>
    </row>
    <row r="103" customFormat="false" ht="15" hidden="false" customHeight="false" outlineLevel="0" collapsed="false">
      <c r="A103" s="50"/>
      <c r="B103" s="50"/>
      <c r="C103" s="59" t="str">
        <f aca="false">IF(B103="","",IFERROR(INDEX(INV_NAME,MATCH(B103,INV_ID,0)),"CHECK: Supplier ID not found"))</f>
        <v/>
      </c>
      <c r="D103" s="34"/>
      <c r="E103" s="51"/>
      <c r="F103" s="51"/>
      <c r="G103" s="34"/>
      <c r="H103" s="34"/>
      <c r="I103" s="34"/>
      <c r="J103" s="50"/>
      <c r="K103" s="50"/>
      <c r="L103" s="34"/>
      <c r="M103" s="50"/>
      <c r="N103" s="34"/>
      <c r="O103" s="50"/>
      <c r="P103" s="54" t="str">
        <f aca="false">IF(A103="","",IF(OR(I103="",NOT(ISNUMBER(J103)),NOT(ISNUMBER(K103))),"No KRI measured",IF(L103="Lower is worse",IF(J103&lt;K103,"Breach - threshold exceeded","Within threshold"),IF(J103&gt;K103,"Breach - threshold exceeded","Within threshold"))))</f>
        <v/>
      </c>
      <c r="Q103" s="54" t="str">
        <f aca="false">IF(A103="","",IF(OR(O103="Completed",O103="Cancelled"),"Closed",IF(AND(ISNUMBER(E103),E103&lt;AsOf),"Overdue - late review (no finding implied)","Scheduled")))</f>
        <v/>
      </c>
      <c r="R103" s="61" t="str">
        <f aca="false">IF(AND(O103="Completed",ISNUMBER(F103),E103=_xlfn.MAXIFS(MON_REVDATE,MON_SUP,B103,MON_STATUS,"Completed")),B103&amp;"|Latest","")</f>
        <v/>
      </c>
      <c r="S103" s="54" t="str">
        <f aca="false">IF(A103="","",IF(COUNTIF(MON_ID,A103)&gt;1,"CHECK: duplicate ID",IF(B103="","CHECK: Supplier ID missing",IF(COUNTIF(INV_ID,B103)=0,"CHECK: Supplier ID not in inventory","OK"))))</f>
        <v/>
      </c>
    </row>
    <row r="104" customFormat="false" ht="15" hidden="false" customHeight="false" outlineLevel="0" collapsed="false">
      <c r="A104" s="50"/>
      <c r="B104" s="50"/>
      <c r="C104" s="59" t="str">
        <f aca="false">IF(B104="","",IFERROR(INDEX(INV_NAME,MATCH(B104,INV_ID,0)),"CHECK: Supplier ID not found"))</f>
        <v/>
      </c>
      <c r="D104" s="34"/>
      <c r="E104" s="51"/>
      <c r="F104" s="51"/>
      <c r="G104" s="34"/>
      <c r="H104" s="34"/>
      <c r="I104" s="34"/>
      <c r="J104" s="50"/>
      <c r="K104" s="50"/>
      <c r="L104" s="34"/>
      <c r="M104" s="50"/>
      <c r="N104" s="34"/>
      <c r="O104" s="50"/>
      <c r="P104" s="54" t="str">
        <f aca="false">IF(A104="","",IF(OR(I104="",NOT(ISNUMBER(J104)),NOT(ISNUMBER(K104))),"No KRI measured",IF(L104="Lower is worse",IF(J104&lt;K104,"Breach - threshold exceeded","Within threshold"),IF(J104&gt;K104,"Breach - threshold exceeded","Within threshold"))))</f>
        <v/>
      </c>
      <c r="Q104" s="54" t="str">
        <f aca="false">IF(A104="","",IF(OR(O104="Completed",O104="Cancelled"),"Closed",IF(AND(ISNUMBER(E104),E104&lt;AsOf),"Overdue - late review (no finding implied)","Scheduled")))</f>
        <v/>
      </c>
      <c r="R104" s="61" t="str">
        <f aca="false">IF(AND(O104="Completed",ISNUMBER(F104),E104=_xlfn.MAXIFS(MON_REVDATE,MON_SUP,B104,MON_STATUS,"Completed")),B104&amp;"|Latest","")</f>
        <v/>
      </c>
      <c r="S104" s="54" t="str">
        <f aca="false">IF(A104="","",IF(COUNTIF(MON_ID,A104)&gt;1,"CHECK: duplicate ID",IF(B104="","CHECK: Supplier ID missing",IF(COUNTIF(INV_ID,B104)=0,"CHECK: Supplier ID not in inventory","OK"))))</f>
        <v/>
      </c>
    </row>
    <row r="105" customFormat="false" ht="15" hidden="false" customHeight="false" outlineLevel="0" collapsed="false">
      <c r="A105" s="50"/>
      <c r="B105" s="50"/>
      <c r="C105" s="59" t="str">
        <f aca="false">IF(B105="","",IFERROR(INDEX(INV_NAME,MATCH(B105,INV_ID,0)),"CHECK: Supplier ID not found"))</f>
        <v/>
      </c>
      <c r="D105" s="34"/>
      <c r="E105" s="51"/>
      <c r="F105" s="51"/>
      <c r="G105" s="34"/>
      <c r="H105" s="34"/>
      <c r="I105" s="34"/>
      <c r="J105" s="50"/>
      <c r="K105" s="50"/>
      <c r="L105" s="34"/>
      <c r="M105" s="50"/>
      <c r="N105" s="34"/>
      <c r="O105" s="50"/>
      <c r="P105" s="54" t="str">
        <f aca="false">IF(A105="","",IF(OR(I105="",NOT(ISNUMBER(J105)),NOT(ISNUMBER(K105))),"No KRI measured",IF(L105="Lower is worse",IF(J105&lt;K105,"Breach - threshold exceeded","Within threshold"),IF(J105&gt;K105,"Breach - threshold exceeded","Within threshold"))))</f>
        <v/>
      </c>
      <c r="Q105" s="54" t="str">
        <f aca="false">IF(A105="","",IF(OR(O105="Completed",O105="Cancelled"),"Closed",IF(AND(ISNUMBER(E105),E105&lt;AsOf),"Overdue - late review (no finding implied)","Scheduled")))</f>
        <v/>
      </c>
      <c r="R105" s="61" t="str">
        <f aca="false">IF(AND(O105="Completed",ISNUMBER(F105),E105=_xlfn.MAXIFS(MON_REVDATE,MON_SUP,B105,MON_STATUS,"Completed")),B105&amp;"|Latest","")</f>
        <v/>
      </c>
      <c r="S105" s="54" t="str">
        <f aca="false">IF(A105="","",IF(COUNTIF(MON_ID,A105)&gt;1,"CHECK: duplicate ID",IF(B105="","CHECK: Supplier ID missing",IF(COUNTIF(INV_ID,B105)=0,"CHECK: Supplier ID not in inventory","OK"))))</f>
        <v/>
      </c>
    </row>
    <row r="106" customFormat="false" ht="15" hidden="false" customHeight="false" outlineLevel="0" collapsed="false">
      <c r="A106" s="50"/>
      <c r="B106" s="50"/>
      <c r="C106" s="59" t="str">
        <f aca="false">IF(B106="","",IFERROR(INDEX(INV_NAME,MATCH(B106,INV_ID,0)),"CHECK: Supplier ID not found"))</f>
        <v/>
      </c>
      <c r="D106" s="34"/>
      <c r="E106" s="51"/>
      <c r="F106" s="51"/>
      <c r="G106" s="34"/>
      <c r="H106" s="34"/>
      <c r="I106" s="34"/>
      <c r="J106" s="50"/>
      <c r="K106" s="50"/>
      <c r="L106" s="34"/>
      <c r="M106" s="50"/>
      <c r="N106" s="34"/>
      <c r="O106" s="50"/>
      <c r="P106" s="54" t="str">
        <f aca="false">IF(A106="","",IF(OR(I106="",NOT(ISNUMBER(J106)),NOT(ISNUMBER(K106))),"No KRI measured",IF(L106="Lower is worse",IF(J106&lt;K106,"Breach - threshold exceeded","Within threshold"),IF(J106&gt;K106,"Breach - threshold exceeded","Within threshold"))))</f>
        <v/>
      </c>
      <c r="Q106" s="54" t="str">
        <f aca="false">IF(A106="","",IF(OR(O106="Completed",O106="Cancelled"),"Closed",IF(AND(ISNUMBER(E106),E106&lt;AsOf),"Overdue - late review (no finding implied)","Scheduled")))</f>
        <v/>
      </c>
      <c r="R106" s="61" t="str">
        <f aca="false">IF(AND(O106="Completed",ISNUMBER(F106),E106=_xlfn.MAXIFS(MON_REVDATE,MON_SUP,B106,MON_STATUS,"Completed")),B106&amp;"|Latest","")</f>
        <v/>
      </c>
      <c r="S106" s="54" t="str">
        <f aca="false">IF(A106="","",IF(COUNTIF(MON_ID,A106)&gt;1,"CHECK: duplicate ID",IF(B106="","CHECK: Supplier ID missing",IF(COUNTIF(INV_ID,B106)=0,"CHECK: Supplier ID not in inventory","OK"))))</f>
        <v/>
      </c>
    </row>
    <row r="107" customFormat="false" ht="15" hidden="false" customHeight="false" outlineLevel="0" collapsed="false">
      <c r="A107" s="50"/>
      <c r="B107" s="50"/>
      <c r="C107" s="59" t="str">
        <f aca="false">IF(B107="","",IFERROR(INDEX(INV_NAME,MATCH(B107,INV_ID,0)),"CHECK: Supplier ID not found"))</f>
        <v/>
      </c>
      <c r="D107" s="34"/>
      <c r="E107" s="51"/>
      <c r="F107" s="51"/>
      <c r="G107" s="34"/>
      <c r="H107" s="34"/>
      <c r="I107" s="34"/>
      <c r="J107" s="50"/>
      <c r="K107" s="50"/>
      <c r="L107" s="34"/>
      <c r="M107" s="50"/>
      <c r="N107" s="34"/>
      <c r="O107" s="50"/>
      <c r="P107" s="54" t="str">
        <f aca="false">IF(A107="","",IF(OR(I107="",NOT(ISNUMBER(J107)),NOT(ISNUMBER(K107))),"No KRI measured",IF(L107="Lower is worse",IF(J107&lt;K107,"Breach - threshold exceeded","Within threshold"),IF(J107&gt;K107,"Breach - threshold exceeded","Within threshold"))))</f>
        <v/>
      </c>
      <c r="Q107" s="54" t="str">
        <f aca="false">IF(A107="","",IF(OR(O107="Completed",O107="Cancelled"),"Closed",IF(AND(ISNUMBER(E107),E107&lt;AsOf),"Overdue - late review (no finding implied)","Scheduled")))</f>
        <v/>
      </c>
      <c r="R107" s="61" t="str">
        <f aca="false">IF(AND(O107="Completed",ISNUMBER(F107),E107=_xlfn.MAXIFS(MON_REVDATE,MON_SUP,B107,MON_STATUS,"Completed")),B107&amp;"|Latest","")</f>
        <v/>
      </c>
      <c r="S107" s="54" t="str">
        <f aca="false">IF(A107="","",IF(COUNTIF(MON_ID,A107)&gt;1,"CHECK: duplicate ID",IF(B107="","CHECK: Supplier ID missing",IF(COUNTIF(INV_ID,B107)=0,"CHECK: Supplier ID not in inventory","OK"))))</f>
        <v/>
      </c>
    </row>
    <row r="108" customFormat="false" ht="15" hidden="false" customHeight="false" outlineLevel="0" collapsed="false">
      <c r="A108" s="50"/>
      <c r="B108" s="50"/>
      <c r="C108" s="59" t="str">
        <f aca="false">IF(B108="","",IFERROR(INDEX(INV_NAME,MATCH(B108,INV_ID,0)),"CHECK: Supplier ID not found"))</f>
        <v/>
      </c>
      <c r="D108" s="34"/>
      <c r="E108" s="51"/>
      <c r="F108" s="51"/>
      <c r="G108" s="34"/>
      <c r="H108" s="34"/>
      <c r="I108" s="34"/>
      <c r="J108" s="50"/>
      <c r="K108" s="50"/>
      <c r="L108" s="34"/>
      <c r="M108" s="50"/>
      <c r="N108" s="34"/>
      <c r="O108" s="50"/>
      <c r="P108" s="54" t="str">
        <f aca="false">IF(A108="","",IF(OR(I108="",NOT(ISNUMBER(J108)),NOT(ISNUMBER(K108))),"No KRI measured",IF(L108="Lower is worse",IF(J108&lt;K108,"Breach - threshold exceeded","Within threshold"),IF(J108&gt;K108,"Breach - threshold exceeded","Within threshold"))))</f>
        <v/>
      </c>
      <c r="Q108" s="54" t="str">
        <f aca="false">IF(A108="","",IF(OR(O108="Completed",O108="Cancelled"),"Closed",IF(AND(ISNUMBER(E108),E108&lt;AsOf),"Overdue - late review (no finding implied)","Scheduled")))</f>
        <v/>
      </c>
      <c r="R108" s="61" t="str">
        <f aca="false">IF(AND(O108="Completed",ISNUMBER(F108),E108=_xlfn.MAXIFS(MON_REVDATE,MON_SUP,B108,MON_STATUS,"Completed")),B108&amp;"|Latest","")</f>
        <v/>
      </c>
      <c r="S108" s="54" t="str">
        <f aca="false">IF(A108="","",IF(COUNTIF(MON_ID,A108)&gt;1,"CHECK: duplicate ID",IF(B108="","CHECK: Supplier ID missing",IF(COUNTIF(INV_ID,B108)=0,"CHECK: Supplier ID not in inventory","OK"))))</f>
        <v/>
      </c>
    </row>
    <row r="109" customFormat="false" ht="15" hidden="false" customHeight="false" outlineLevel="0" collapsed="false">
      <c r="A109" s="50"/>
      <c r="B109" s="50"/>
      <c r="C109" s="59" t="str">
        <f aca="false">IF(B109="","",IFERROR(INDEX(INV_NAME,MATCH(B109,INV_ID,0)),"CHECK: Supplier ID not found"))</f>
        <v/>
      </c>
      <c r="D109" s="34"/>
      <c r="E109" s="51"/>
      <c r="F109" s="51"/>
      <c r="G109" s="34"/>
      <c r="H109" s="34"/>
      <c r="I109" s="34"/>
      <c r="J109" s="50"/>
      <c r="K109" s="50"/>
      <c r="L109" s="34"/>
      <c r="M109" s="50"/>
      <c r="N109" s="34"/>
      <c r="O109" s="50"/>
      <c r="P109" s="54" t="str">
        <f aca="false">IF(A109="","",IF(OR(I109="",NOT(ISNUMBER(J109)),NOT(ISNUMBER(K109))),"No KRI measured",IF(L109="Lower is worse",IF(J109&lt;K109,"Breach - threshold exceeded","Within threshold"),IF(J109&gt;K109,"Breach - threshold exceeded","Within threshold"))))</f>
        <v/>
      </c>
      <c r="Q109" s="54" t="str">
        <f aca="false">IF(A109="","",IF(OR(O109="Completed",O109="Cancelled"),"Closed",IF(AND(ISNUMBER(E109),E109&lt;AsOf),"Overdue - late review (no finding implied)","Scheduled")))</f>
        <v/>
      </c>
      <c r="R109" s="61" t="str">
        <f aca="false">IF(AND(O109="Completed",ISNUMBER(F109),E109=_xlfn.MAXIFS(MON_REVDATE,MON_SUP,B109,MON_STATUS,"Completed")),B109&amp;"|Latest","")</f>
        <v/>
      </c>
      <c r="S109" s="54" t="str">
        <f aca="false">IF(A109="","",IF(COUNTIF(MON_ID,A109)&gt;1,"CHECK: duplicate ID",IF(B109="","CHECK: Supplier ID missing",IF(COUNTIF(INV_ID,B109)=0,"CHECK: Supplier ID not in inventory","OK"))))</f>
        <v/>
      </c>
    </row>
    <row r="110" customFormat="false" ht="15" hidden="false" customHeight="false" outlineLevel="0" collapsed="false">
      <c r="A110" s="50"/>
      <c r="B110" s="50"/>
      <c r="C110" s="59" t="str">
        <f aca="false">IF(B110="","",IFERROR(INDEX(INV_NAME,MATCH(B110,INV_ID,0)),"CHECK: Supplier ID not found"))</f>
        <v/>
      </c>
      <c r="D110" s="34"/>
      <c r="E110" s="51"/>
      <c r="F110" s="51"/>
      <c r="G110" s="34"/>
      <c r="H110" s="34"/>
      <c r="I110" s="34"/>
      <c r="J110" s="50"/>
      <c r="K110" s="50"/>
      <c r="L110" s="34"/>
      <c r="M110" s="50"/>
      <c r="N110" s="34"/>
      <c r="O110" s="50"/>
      <c r="P110" s="54" t="str">
        <f aca="false">IF(A110="","",IF(OR(I110="",NOT(ISNUMBER(J110)),NOT(ISNUMBER(K110))),"No KRI measured",IF(L110="Lower is worse",IF(J110&lt;K110,"Breach - threshold exceeded","Within threshold"),IF(J110&gt;K110,"Breach - threshold exceeded","Within threshold"))))</f>
        <v/>
      </c>
      <c r="Q110" s="54" t="str">
        <f aca="false">IF(A110="","",IF(OR(O110="Completed",O110="Cancelled"),"Closed",IF(AND(ISNUMBER(E110),E110&lt;AsOf),"Overdue - late review (no finding implied)","Scheduled")))</f>
        <v/>
      </c>
      <c r="R110" s="61" t="str">
        <f aca="false">IF(AND(O110="Completed",ISNUMBER(F110),E110=_xlfn.MAXIFS(MON_REVDATE,MON_SUP,B110,MON_STATUS,"Completed")),B110&amp;"|Latest","")</f>
        <v/>
      </c>
      <c r="S110" s="54" t="str">
        <f aca="false">IF(A110="","",IF(COUNTIF(MON_ID,A110)&gt;1,"CHECK: duplicate ID",IF(B110="","CHECK: Supplier ID missing",IF(COUNTIF(INV_ID,B110)=0,"CHECK: Supplier ID not in inventory","OK"))))</f>
        <v/>
      </c>
    </row>
    <row r="111" customFormat="false" ht="15" hidden="false" customHeight="false" outlineLevel="0" collapsed="false">
      <c r="A111" s="50"/>
      <c r="B111" s="50"/>
      <c r="C111" s="59" t="str">
        <f aca="false">IF(B111="","",IFERROR(INDEX(INV_NAME,MATCH(B111,INV_ID,0)),"CHECK: Supplier ID not found"))</f>
        <v/>
      </c>
      <c r="D111" s="34"/>
      <c r="E111" s="51"/>
      <c r="F111" s="51"/>
      <c r="G111" s="34"/>
      <c r="H111" s="34"/>
      <c r="I111" s="34"/>
      <c r="J111" s="50"/>
      <c r="K111" s="50"/>
      <c r="L111" s="34"/>
      <c r="M111" s="50"/>
      <c r="N111" s="34"/>
      <c r="O111" s="50"/>
      <c r="P111" s="54" t="str">
        <f aca="false">IF(A111="","",IF(OR(I111="",NOT(ISNUMBER(J111)),NOT(ISNUMBER(K111))),"No KRI measured",IF(L111="Lower is worse",IF(J111&lt;K111,"Breach - threshold exceeded","Within threshold"),IF(J111&gt;K111,"Breach - threshold exceeded","Within threshold"))))</f>
        <v/>
      </c>
      <c r="Q111" s="54" t="str">
        <f aca="false">IF(A111="","",IF(OR(O111="Completed",O111="Cancelled"),"Closed",IF(AND(ISNUMBER(E111),E111&lt;AsOf),"Overdue - late review (no finding implied)","Scheduled")))</f>
        <v/>
      </c>
      <c r="R111" s="61" t="str">
        <f aca="false">IF(AND(O111="Completed",ISNUMBER(F111),E111=_xlfn.MAXIFS(MON_REVDATE,MON_SUP,B111,MON_STATUS,"Completed")),B111&amp;"|Latest","")</f>
        <v/>
      </c>
      <c r="S111" s="54" t="str">
        <f aca="false">IF(A111="","",IF(COUNTIF(MON_ID,A111)&gt;1,"CHECK: duplicate ID",IF(B111="","CHECK: Supplier ID missing",IF(COUNTIF(INV_ID,B111)=0,"CHECK: Supplier ID not in inventory","OK"))))</f>
        <v/>
      </c>
    </row>
    <row r="112" customFormat="false" ht="15" hidden="false" customHeight="false" outlineLevel="0" collapsed="false">
      <c r="A112" s="50"/>
      <c r="B112" s="50"/>
      <c r="C112" s="59" t="str">
        <f aca="false">IF(B112="","",IFERROR(INDEX(INV_NAME,MATCH(B112,INV_ID,0)),"CHECK: Supplier ID not found"))</f>
        <v/>
      </c>
      <c r="D112" s="34"/>
      <c r="E112" s="51"/>
      <c r="F112" s="51"/>
      <c r="G112" s="34"/>
      <c r="H112" s="34"/>
      <c r="I112" s="34"/>
      <c r="J112" s="50"/>
      <c r="K112" s="50"/>
      <c r="L112" s="34"/>
      <c r="M112" s="50"/>
      <c r="N112" s="34"/>
      <c r="O112" s="50"/>
      <c r="P112" s="54" t="str">
        <f aca="false">IF(A112="","",IF(OR(I112="",NOT(ISNUMBER(J112)),NOT(ISNUMBER(K112))),"No KRI measured",IF(L112="Lower is worse",IF(J112&lt;K112,"Breach - threshold exceeded","Within threshold"),IF(J112&gt;K112,"Breach - threshold exceeded","Within threshold"))))</f>
        <v/>
      </c>
      <c r="Q112" s="54" t="str">
        <f aca="false">IF(A112="","",IF(OR(O112="Completed",O112="Cancelled"),"Closed",IF(AND(ISNUMBER(E112),E112&lt;AsOf),"Overdue - late review (no finding implied)","Scheduled")))</f>
        <v/>
      </c>
      <c r="R112" s="61" t="str">
        <f aca="false">IF(AND(O112="Completed",ISNUMBER(F112),E112=_xlfn.MAXIFS(MON_REVDATE,MON_SUP,B112,MON_STATUS,"Completed")),B112&amp;"|Latest","")</f>
        <v/>
      </c>
      <c r="S112" s="54" t="str">
        <f aca="false">IF(A112="","",IF(COUNTIF(MON_ID,A112)&gt;1,"CHECK: duplicate ID",IF(B112="","CHECK: Supplier ID missing",IF(COUNTIF(INV_ID,B112)=0,"CHECK: Supplier ID not in inventory","OK"))))</f>
        <v/>
      </c>
    </row>
    <row r="113" customFormat="false" ht="15" hidden="false" customHeight="false" outlineLevel="0" collapsed="false">
      <c r="A113" s="50"/>
      <c r="B113" s="50"/>
      <c r="C113" s="59" t="str">
        <f aca="false">IF(B113="","",IFERROR(INDEX(INV_NAME,MATCH(B113,INV_ID,0)),"CHECK: Supplier ID not found"))</f>
        <v/>
      </c>
      <c r="D113" s="34"/>
      <c r="E113" s="51"/>
      <c r="F113" s="51"/>
      <c r="G113" s="34"/>
      <c r="H113" s="34"/>
      <c r="I113" s="34"/>
      <c r="J113" s="50"/>
      <c r="K113" s="50"/>
      <c r="L113" s="34"/>
      <c r="M113" s="50"/>
      <c r="N113" s="34"/>
      <c r="O113" s="50"/>
      <c r="P113" s="54" t="str">
        <f aca="false">IF(A113="","",IF(OR(I113="",NOT(ISNUMBER(J113)),NOT(ISNUMBER(K113))),"No KRI measured",IF(L113="Lower is worse",IF(J113&lt;K113,"Breach - threshold exceeded","Within threshold"),IF(J113&gt;K113,"Breach - threshold exceeded","Within threshold"))))</f>
        <v/>
      </c>
      <c r="Q113" s="54" t="str">
        <f aca="false">IF(A113="","",IF(OR(O113="Completed",O113="Cancelled"),"Closed",IF(AND(ISNUMBER(E113),E113&lt;AsOf),"Overdue - late review (no finding implied)","Scheduled")))</f>
        <v/>
      </c>
      <c r="R113" s="61" t="str">
        <f aca="false">IF(AND(O113="Completed",ISNUMBER(F113),E113=_xlfn.MAXIFS(MON_REVDATE,MON_SUP,B113,MON_STATUS,"Completed")),B113&amp;"|Latest","")</f>
        <v/>
      </c>
      <c r="S113" s="54" t="str">
        <f aca="false">IF(A113="","",IF(COUNTIF(MON_ID,A113)&gt;1,"CHECK: duplicate ID",IF(B113="","CHECK: Supplier ID missing",IF(COUNTIF(INV_ID,B113)=0,"CHECK: Supplier ID not in inventory","OK"))))</f>
        <v/>
      </c>
    </row>
    <row r="114" customFormat="false" ht="15" hidden="false" customHeight="false" outlineLevel="0" collapsed="false">
      <c r="A114" s="50"/>
      <c r="B114" s="50"/>
      <c r="C114" s="59" t="str">
        <f aca="false">IF(B114="","",IFERROR(INDEX(INV_NAME,MATCH(B114,INV_ID,0)),"CHECK: Supplier ID not found"))</f>
        <v/>
      </c>
      <c r="D114" s="34"/>
      <c r="E114" s="51"/>
      <c r="F114" s="51"/>
      <c r="G114" s="34"/>
      <c r="H114" s="34"/>
      <c r="I114" s="34"/>
      <c r="J114" s="50"/>
      <c r="K114" s="50"/>
      <c r="L114" s="34"/>
      <c r="M114" s="50"/>
      <c r="N114" s="34"/>
      <c r="O114" s="50"/>
      <c r="P114" s="54" t="str">
        <f aca="false">IF(A114="","",IF(OR(I114="",NOT(ISNUMBER(J114)),NOT(ISNUMBER(K114))),"No KRI measured",IF(L114="Lower is worse",IF(J114&lt;K114,"Breach - threshold exceeded","Within threshold"),IF(J114&gt;K114,"Breach - threshold exceeded","Within threshold"))))</f>
        <v/>
      </c>
      <c r="Q114" s="54" t="str">
        <f aca="false">IF(A114="","",IF(OR(O114="Completed",O114="Cancelled"),"Closed",IF(AND(ISNUMBER(E114),E114&lt;AsOf),"Overdue - late review (no finding implied)","Scheduled")))</f>
        <v/>
      </c>
      <c r="R114" s="61" t="str">
        <f aca="false">IF(AND(O114="Completed",ISNUMBER(F114),E114=_xlfn.MAXIFS(MON_REVDATE,MON_SUP,B114,MON_STATUS,"Completed")),B114&amp;"|Latest","")</f>
        <v/>
      </c>
      <c r="S114" s="54" t="str">
        <f aca="false">IF(A114="","",IF(COUNTIF(MON_ID,A114)&gt;1,"CHECK: duplicate ID",IF(B114="","CHECK: Supplier ID missing",IF(COUNTIF(INV_ID,B114)=0,"CHECK: Supplier ID not in inventory","OK"))))</f>
        <v/>
      </c>
    </row>
    <row r="115" customFormat="false" ht="15" hidden="false" customHeight="false" outlineLevel="0" collapsed="false">
      <c r="A115" s="50"/>
      <c r="B115" s="50"/>
      <c r="C115" s="59" t="str">
        <f aca="false">IF(B115="","",IFERROR(INDEX(INV_NAME,MATCH(B115,INV_ID,0)),"CHECK: Supplier ID not found"))</f>
        <v/>
      </c>
      <c r="D115" s="34"/>
      <c r="E115" s="51"/>
      <c r="F115" s="51"/>
      <c r="G115" s="34"/>
      <c r="H115" s="34"/>
      <c r="I115" s="34"/>
      <c r="J115" s="50"/>
      <c r="K115" s="50"/>
      <c r="L115" s="34"/>
      <c r="M115" s="50"/>
      <c r="N115" s="34"/>
      <c r="O115" s="50"/>
      <c r="P115" s="54" t="str">
        <f aca="false">IF(A115="","",IF(OR(I115="",NOT(ISNUMBER(J115)),NOT(ISNUMBER(K115))),"No KRI measured",IF(L115="Lower is worse",IF(J115&lt;K115,"Breach - threshold exceeded","Within threshold"),IF(J115&gt;K115,"Breach - threshold exceeded","Within threshold"))))</f>
        <v/>
      </c>
      <c r="Q115" s="54" t="str">
        <f aca="false">IF(A115="","",IF(OR(O115="Completed",O115="Cancelled"),"Closed",IF(AND(ISNUMBER(E115),E115&lt;AsOf),"Overdue - late review (no finding implied)","Scheduled")))</f>
        <v/>
      </c>
      <c r="R115" s="61" t="str">
        <f aca="false">IF(AND(O115="Completed",ISNUMBER(F115),E115=_xlfn.MAXIFS(MON_REVDATE,MON_SUP,B115,MON_STATUS,"Completed")),B115&amp;"|Latest","")</f>
        <v/>
      </c>
      <c r="S115" s="54" t="str">
        <f aca="false">IF(A115="","",IF(COUNTIF(MON_ID,A115)&gt;1,"CHECK: duplicate ID",IF(B115="","CHECK: Supplier ID missing",IF(COUNTIF(INV_ID,B115)=0,"CHECK: Supplier ID not in inventory","OK"))))</f>
        <v/>
      </c>
    </row>
    <row r="116" customFormat="false" ht="15" hidden="false" customHeight="false" outlineLevel="0" collapsed="false">
      <c r="A116" s="50"/>
      <c r="B116" s="50"/>
      <c r="C116" s="59" t="str">
        <f aca="false">IF(B116="","",IFERROR(INDEX(INV_NAME,MATCH(B116,INV_ID,0)),"CHECK: Supplier ID not found"))</f>
        <v/>
      </c>
      <c r="D116" s="34"/>
      <c r="E116" s="51"/>
      <c r="F116" s="51"/>
      <c r="G116" s="34"/>
      <c r="H116" s="34"/>
      <c r="I116" s="34"/>
      <c r="J116" s="50"/>
      <c r="K116" s="50"/>
      <c r="L116" s="34"/>
      <c r="M116" s="50"/>
      <c r="N116" s="34"/>
      <c r="O116" s="50"/>
      <c r="P116" s="54" t="str">
        <f aca="false">IF(A116="","",IF(OR(I116="",NOT(ISNUMBER(J116)),NOT(ISNUMBER(K116))),"No KRI measured",IF(L116="Lower is worse",IF(J116&lt;K116,"Breach - threshold exceeded","Within threshold"),IF(J116&gt;K116,"Breach - threshold exceeded","Within threshold"))))</f>
        <v/>
      </c>
      <c r="Q116" s="54" t="str">
        <f aca="false">IF(A116="","",IF(OR(O116="Completed",O116="Cancelled"),"Closed",IF(AND(ISNUMBER(E116),E116&lt;AsOf),"Overdue - late review (no finding implied)","Scheduled")))</f>
        <v/>
      </c>
      <c r="R116" s="61" t="str">
        <f aca="false">IF(AND(O116="Completed",ISNUMBER(F116),E116=_xlfn.MAXIFS(MON_REVDATE,MON_SUP,B116,MON_STATUS,"Completed")),B116&amp;"|Latest","")</f>
        <v/>
      </c>
      <c r="S116" s="54" t="str">
        <f aca="false">IF(A116="","",IF(COUNTIF(MON_ID,A116)&gt;1,"CHECK: duplicate ID",IF(B116="","CHECK: Supplier ID missing",IF(COUNTIF(INV_ID,B116)=0,"CHECK: Supplier ID not in inventory","OK"))))</f>
        <v/>
      </c>
    </row>
    <row r="117" customFormat="false" ht="15" hidden="false" customHeight="false" outlineLevel="0" collapsed="false">
      <c r="A117" s="50"/>
      <c r="B117" s="50"/>
      <c r="C117" s="59" t="str">
        <f aca="false">IF(B117="","",IFERROR(INDEX(INV_NAME,MATCH(B117,INV_ID,0)),"CHECK: Supplier ID not found"))</f>
        <v/>
      </c>
      <c r="D117" s="34"/>
      <c r="E117" s="51"/>
      <c r="F117" s="51"/>
      <c r="G117" s="34"/>
      <c r="H117" s="34"/>
      <c r="I117" s="34"/>
      <c r="J117" s="50"/>
      <c r="K117" s="50"/>
      <c r="L117" s="34"/>
      <c r="M117" s="50"/>
      <c r="N117" s="34"/>
      <c r="O117" s="50"/>
      <c r="P117" s="54" t="str">
        <f aca="false">IF(A117="","",IF(OR(I117="",NOT(ISNUMBER(J117)),NOT(ISNUMBER(K117))),"No KRI measured",IF(L117="Lower is worse",IF(J117&lt;K117,"Breach - threshold exceeded","Within threshold"),IF(J117&gt;K117,"Breach - threshold exceeded","Within threshold"))))</f>
        <v/>
      </c>
      <c r="Q117" s="54" t="str">
        <f aca="false">IF(A117="","",IF(OR(O117="Completed",O117="Cancelled"),"Closed",IF(AND(ISNUMBER(E117),E117&lt;AsOf),"Overdue - late review (no finding implied)","Scheduled")))</f>
        <v/>
      </c>
      <c r="R117" s="61" t="str">
        <f aca="false">IF(AND(O117="Completed",ISNUMBER(F117),E117=_xlfn.MAXIFS(MON_REVDATE,MON_SUP,B117,MON_STATUS,"Completed")),B117&amp;"|Latest","")</f>
        <v/>
      </c>
      <c r="S117" s="54" t="str">
        <f aca="false">IF(A117="","",IF(COUNTIF(MON_ID,A117)&gt;1,"CHECK: duplicate ID",IF(B117="","CHECK: Supplier ID missing",IF(COUNTIF(INV_ID,B117)=0,"CHECK: Supplier ID not in inventory","OK"))))</f>
        <v/>
      </c>
    </row>
    <row r="118" customFormat="false" ht="15" hidden="false" customHeight="false" outlineLevel="0" collapsed="false">
      <c r="A118" s="50"/>
      <c r="B118" s="50"/>
      <c r="C118" s="59" t="str">
        <f aca="false">IF(B118="","",IFERROR(INDEX(INV_NAME,MATCH(B118,INV_ID,0)),"CHECK: Supplier ID not found"))</f>
        <v/>
      </c>
      <c r="D118" s="34"/>
      <c r="E118" s="51"/>
      <c r="F118" s="51"/>
      <c r="G118" s="34"/>
      <c r="H118" s="34"/>
      <c r="I118" s="34"/>
      <c r="J118" s="50"/>
      <c r="K118" s="50"/>
      <c r="L118" s="34"/>
      <c r="M118" s="50"/>
      <c r="N118" s="34"/>
      <c r="O118" s="50"/>
      <c r="P118" s="54" t="str">
        <f aca="false">IF(A118="","",IF(OR(I118="",NOT(ISNUMBER(J118)),NOT(ISNUMBER(K118))),"No KRI measured",IF(L118="Lower is worse",IF(J118&lt;K118,"Breach - threshold exceeded","Within threshold"),IF(J118&gt;K118,"Breach - threshold exceeded","Within threshold"))))</f>
        <v/>
      </c>
      <c r="Q118" s="54" t="str">
        <f aca="false">IF(A118="","",IF(OR(O118="Completed",O118="Cancelled"),"Closed",IF(AND(ISNUMBER(E118),E118&lt;AsOf),"Overdue - late review (no finding implied)","Scheduled")))</f>
        <v/>
      </c>
      <c r="R118" s="61" t="str">
        <f aca="false">IF(AND(O118="Completed",ISNUMBER(F118),E118=_xlfn.MAXIFS(MON_REVDATE,MON_SUP,B118,MON_STATUS,"Completed")),B118&amp;"|Latest","")</f>
        <v/>
      </c>
      <c r="S118" s="54" t="str">
        <f aca="false">IF(A118="","",IF(COUNTIF(MON_ID,A118)&gt;1,"CHECK: duplicate ID",IF(B118="","CHECK: Supplier ID missing",IF(COUNTIF(INV_ID,B118)=0,"CHECK: Supplier ID not in inventory","OK"))))</f>
        <v/>
      </c>
    </row>
    <row r="119" customFormat="false" ht="15" hidden="false" customHeight="false" outlineLevel="0" collapsed="false">
      <c r="A119" s="50"/>
      <c r="B119" s="50"/>
      <c r="C119" s="59" t="str">
        <f aca="false">IF(B119="","",IFERROR(INDEX(INV_NAME,MATCH(B119,INV_ID,0)),"CHECK: Supplier ID not found"))</f>
        <v/>
      </c>
      <c r="D119" s="34"/>
      <c r="E119" s="51"/>
      <c r="F119" s="51"/>
      <c r="G119" s="34"/>
      <c r="H119" s="34"/>
      <c r="I119" s="34"/>
      <c r="J119" s="50"/>
      <c r="K119" s="50"/>
      <c r="L119" s="34"/>
      <c r="M119" s="50"/>
      <c r="N119" s="34"/>
      <c r="O119" s="50"/>
      <c r="P119" s="54" t="str">
        <f aca="false">IF(A119="","",IF(OR(I119="",NOT(ISNUMBER(J119)),NOT(ISNUMBER(K119))),"No KRI measured",IF(L119="Lower is worse",IF(J119&lt;K119,"Breach - threshold exceeded","Within threshold"),IF(J119&gt;K119,"Breach - threshold exceeded","Within threshold"))))</f>
        <v/>
      </c>
      <c r="Q119" s="54" t="str">
        <f aca="false">IF(A119="","",IF(OR(O119="Completed",O119="Cancelled"),"Closed",IF(AND(ISNUMBER(E119),E119&lt;AsOf),"Overdue - late review (no finding implied)","Scheduled")))</f>
        <v/>
      </c>
      <c r="R119" s="61" t="str">
        <f aca="false">IF(AND(O119="Completed",ISNUMBER(F119),E119=_xlfn.MAXIFS(MON_REVDATE,MON_SUP,B119,MON_STATUS,"Completed")),B119&amp;"|Latest","")</f>
        <v/>
      </c>
      <c r="S119" s="54" t="str">
        <f aca="false">IF(A119="","",IF(COUNTIF(MON_ID,A119)&gt;1,"CHECK: duplicate ID",IF(B119="","CHECK: Supplier ID missing",IF(COUNTIF(INV_ID,B119)=0,"CHECK: Supplier ID not in inventory","OK"))))</f>
        <v/>
      </c>
    </row>
    <row r="120" customFormat="false" ht="15" hidden="false" customHeight="false" outlineLevel="0" collapsed="false">
      <c r="A120" s="50"/>
      <c r="B120" s="50"/>
      <c r="C120" s="59" t="str">
        <f aca="false">IF(B120="","",IFERROR(INDEX(INV_NAME,MATCH(B120,INV_ID,0)),"CHECK: Supplier ID not found"))</f>
        <v/>
      </c>
      <c r="D120" s="34"/>
      <c r="E120" s="51"/>
      <c r="F120" s="51"/>
      <c r="G120" s="34"/>
      <c r="H120" s="34"/>
      <c r="I120" s="34"/>
      <c r="J120" s="50"/>
      <c r="K120" s="50"/>
      <c r="L120" s="34"/>
      <c r="M120" s="50"/>
      <c r="N120" s="34"/>
      <c r="O120" s="50"/>
      <c r="P120" s="54" t="str">
        <f aca="false">IF(A120="","",IF(OR(I120="",NOT(ISNUMBER(J120)),NOT(ISNUMBER(K120))),"No KRI measured",IF(L120="Lower is worse",IF(J120&lt;K120,"Breach - threshold exceeded","Within threshold"),IF(J120&gt;K120,"Breach - threshold exceeded","Within threshold"))))</f>
        <v/>
      </c>
      <c r="Q120" s="54" t="str">
        <f aca="false">IF(A120="","",IF(OR(O120="Completed",O120="Cancelled"),"Closed",IF(AND(ISNUMBER(E120),E120&lt;AsOf),"Overdue - late review (no finding implied)","Scheduled")))</f>
        <v/>
      </c>
      <c r="R120" s="61" t="str">
        <f aca="false">IF(AND(O120="Completed",ISNUMBER(F120),E120=_xlfn.MAXIFS(MON_REVDATE,MON_SUP,B120,MON_STATUS,"Completed")),B120&amp;"|Latest","")</f>
        <v/>
      </c>
      <c r="S120" s="54" t="str">
        <f aca="false">IF(A120="","",IF(COUNTIF(MON_ID,A120)&gt;1,"CHECK: duplicate ID",IF(B120="","CHECK: Supplier ID missing",IF(COUNTIF(INV_ID,B120)=0,"CHECK: Supplier ID not in inventory","OK"))))</f>
        <v/>
      </c>
    </row>
    <row r="121" customFormat="false" ht="15" hidden="false" customHeight="false" outlineLevel="0" collapsed="false">
      <c r="A121" s="50"/>
      <c r="B121" s="50"/>
      <c r="C121" s="59" t="str">
        <f aca="false">IF(B121="","",IFERROR(INDEX(INV_NAME,MATCH(B121,INV_ID,0)),"CHECK: Supplier ID not found"))</f>
        <v/>
      </c>
      <c r="D121" s="34"/>
      <c r="E121" s="51"/>
      <c r="F121" s="51"/>
      <c r="G121" s="34"/>
      <c r="H121" s="34"/>
      <c r="I121" s="34"/>
      <c r="J121" s="50"/>
      <c r="K121" s="50"/>
      <c r="L121" s="34"/>
      <c r="M121" s="50"/>
      <c r="N121" s="34"/>
      <c r="O121" s="50"/>
      <c r="P121" s="54" t="str">
        <f aca="false">IF(A121="","",IF(OR(I121="",NOT(ISNUMBER(J121)),NOT(ISNUMBER(K121))),"No KRI measured",IF(L121="Lower is worse",IF(J121&lt;K121,"Breach - threshold exceeded","Within threshold"),IF(J121&gt;K121,"Breach - threshold exceeded","Within threshold"))))</f>
        <v/>
      </c>
      <c r="Q121" s="54" t="str">
        <f aca="false">IF(A121="","",IF(OR(O121="Completed",O121="Cancelled"),"Closed",IF(AND(ISNUMBER(E121),E121&lt;AsOf),"Overdue - late review (no finding implied)","Scheduled")))</f>
        <v/>
      </c>
      <c r="R121" s="61" t="str">
        <f aca="false">IF(AND(O121="Completed",ISNUMBER(F121),E121=_xlfn.MAXIFS(MON_REVDATE,MON_SUP,B121,MON_STATUS,"Completed")),B121&amp;"|Latest","")</f>
        <v/>
      </c>
      <c r="S121" s="54" t="str">
        <f aca="false">IF(A121="","",IF(COUNTIF(MON_ID,A121)&gt;1,"CHECK: duplicate ID",IF(B121="","CHECK: Supplier ID missing",IF(COUNTIF(INV_ID,B121)=0,"CHECK: Supplier ID not in inventory","OK"))))</f>
        <v/>
      </c>
    </row>
    <row r="122" customFormat="false" ht="15" hidden="false" customHeight="false" outlineLevel="0" collapsed="false">
      <c r="A122" s="50"/>
      <c r="B122" s="50"/>
      <c r="C122" s="59" t="str">
        <f aca="false">IF(B122="","",IFERROR(INDEX(INV_NAME,MATCH(B122,INV_ID,0)),"CHECK: Supplier ID not found"))</f>
        <v/>
      </c>
      <c r="D122" s="34"/>
      <c r="E122" s="51"/>
      <c r="F122" s="51"/>
      <c r="G122" s="34"/>
      <c r="H122" s="34"/>
      <c r="I122" s="34"/>
      <c r="J122" s="50"/>
      <c r="K122" s="50"/>
      <c r="L122" s="34"/>
      <c r="M122" s="50"/>
      <c r="N122" s="34"/>
      <c r="O122" s="50"/>
      <c r="P122" s="54" t="str">
        <f aca="false">IF(A122="","",IF(OR(I122="",NOT(ISNUMBER(J122)),NOT(ISNUMBER(K122))),"No KRI measured",IF(L122="Lower is worse",IF(J122&lt;K122,"Breach - threshold exceeded","Within threshold"),IF(J122&gt;K122,"Breach - threshold exceeded","Within threshold"))))</f>
        <v/>
      </c>
      <c r="Q122" s="54" t="str">
        <f aca="false">IF(A122="","",IF(OR(O122="Completed",O122="Cancelled"),"Closed",IF(AND(ISNUMBER(E122),E122&lt;AsOf),"Overdue - late review (no finding implied)","Scheduled")))</f>
        <v/>
      </c>
      <c r="R122" s="61" t="str">
        <f aca="false">IF(AND(O122="Completed",ISNUMBER(F122),E122=_xlfn.MAXIFS(MON_REVDATE,MON_SUP,B122,MON_STATUS,"Completed")),B122&amp;"|Latest","")</f>
        <v/>
      </c>
      <c r="S122" s="54" t="str">
        <f aca="false">IF(A122="","",IF(COUNTIF(MON_ID,A122)&gt;1,"CHECK: duplicate ID",IF(B122="","CHECK: Supplier ID missing",IF(COUNTIF(INV_ID,B122)=0,"CHECK: Supplier ID not in inventory","OK"))))</f>
        <v/>
      </c>
    </row>
    <row r="123" customFormat="false" ht="15" hidden="false" customHeight="false" outlineLevel="0" collapsed="false">
      <c r="A123" s="50"/>
      <c r="B123" s="50"/>
      <c r="C123" s="59" t="str">
        <f aca="false">IF(B123="","",IFERROR(INDEX(INV_NAME,MATCH(B123,INV_ID,0)),"CHECK: Supplier ID not found"))</f>
        <v/>
      </c>
      <c r="D123" s="34"/>
      <c r="E123" s="51"/>
      <c r="F123" s="51"/>
      <c r="G123" s="34"/>
      <c r="H123" s="34"/>
      <c r="I123" s="34"/>
      <c r="J123" s="50"/>
      <c r="K123" s="50"/>
      <c r="L123" s="34"/>
      <c r="M123" s="50"/>
      <c r="N123" s="34"/>
      <c r="O123" s="50"/>
      <c r="P123" s="54" t="str">
        <f aca="false">IF(A123="","",IF(OR(I123="",NOT(ISNUMBER(J123)),NOT(ISNUMBER(K123))),"No KRI measured",IF(L123="Lower is worse",IF(J123&lt;K123,"Breach - threshold exceeded","Within threshold"),IF(J123&gt;K123,"Breach - threshold exceeded","Within threshold"))))</f>
        <v/>
      </c>
      <c r="Q123" s="54" t="str">
        <f aca="false">IF(A123="","",IF(OR(O123="Completed",O123="Cancelled"),"Closed",IF(AND(ISNUMBER(E123),E123&lt;AsOf),"Overdue - late review (no finding implied)","Scheduled")))</f>
        <v/>
      </c>
      <c r="R123" s="61" t="str">
        <f aca="false">IF(AND(O123="Completed",ISNUMBER(F123),E123=_xlfn.MAXIFS(MON_REVDATE,MON_SUP,B123,MON_STATUS,"Completed")),B123&amp;"|Latest","")</f>
        <v/>
      </c>
      <c r="S123" s="54" t="str">
        <f aca="false">IF(A123="","",IF(COUNTIF(MON_ID,A123)&gt;1,"CHECK: duplicate ID",IF(B123="","CHECK: Supplier ID missing",IF(COUNTIF(INV_ID,B123)=0,"CHECK: Supplier ID not in inventory","OK"))))</f>
        <v/>
      </c>
    </row>
    <row r="124" customFormat="false" ht="15" hidden="false" customHeight="false" outlineLevel="0" collapsed="false">
      <c r="A124" s="50"/>
      <c r="B124" s="50"/>
      <c r="C124" s="59" t="str">
        <f aca="false">IF(B124="","",IFERROR(INDEX(INV_NAME,MATCH(B124,INV_ID,0)),"CHECK: Supplier ID not found"))</f>
        <v/>
      </c>
      <c r="D124" s="34"/>
      <c r="E124" s="51"/>
      <c r="F124" s="51"/>
      <c r="G124" s="34"/>
      <c r="H124" s="34"/>
      <c r="I124" s="34"/>
      <c r="J124" s="50"/>
      <c r="K124" s="50"/>
      <c r="L124" s="34"/>
      <c r="M124" s="50"/>
      <c r="N124" s="34"/>
      <c r="O124" s="50"/>
      <c r="P124" s="54" t="str">
        <f aca="false">IF(A124="","",IF(OR(I124="",NOT(ISNUMBER(J124)),NOT(ISNUMBER(K124))),"No KRI measured",IF(L124="Lower is worse",IF(J124&lt;K124,"Breach - threshold exceeded","Within threshold"),IF(J124&gt;K124,"Breach - threshold exceeded","Within threshold"))))</f>
        <v/>
      </c>
      <c r="Q124" s="54" t="str">
        <f aca="false">IF(A124="","",IF(OR(O124="Completed",O124="Cancelled"),"Closed",IF(AND(ISNUMBER(E124),E124&lt;AsOf),"Overdue - late review (no finding implied)","Scheduled")))</f>
        <v/>
      </c>
      <c r="R124" s="61" t="str">
        <f aca="false">IF(AND(O124="Completed",ISNUMBER(F124),E124=_xlfn.MAXIFS(MON_REVDATE,MON_SUP,B124,MON_STATUS,"Completed")),B124&amp;"|Latest","")</f>
        <v/>
      </c>
      <c r="S124" s="54" t="str">
        <f aca="false">IF(A124="","",IF(COUNTIF(MON_ID,A124)&gt;1,"CHECK: duplicate ID",IF(B124="","CHECK: Supplier ID missing",IF(COUNTIF(INV_ID,B124)=0,"CHECK: Supplier ID not in inventory","OK"))))</f>
        <v/>
      </c>
    </row>
    <row r="125" customFormat="false" ht="15" hidden="false" customHeight="false" outlineLevel="0" collapsed="false">
      <c r="A125" s="50"/>
      <c r="B125" s="50"/>
      <c r="C125" s="59" t="str">
        <f aca="false">IF(B125="","",IFERROR(INDEX(INV_NAME,MATCH(B125,INV_ID,0)),"CHECK: Supplier ID not found"))</f>
        <v/>
      </c>
      <c r="D125" s="34"/>
      <c r="E125" s="51"/>
      <c r="F125" s="51"/>
      <c r="G125" s="34"/>
      <c r="H125" s="34"/>
      <c r="I125" s="34"/>
      <c r="J125" s="50"/>
      <c r="K125" s="50"/>
      <c r="L125" s="34"/>
      <c r="M125" s="50"/>
      <c r="N125" s="34"/>
      <c r="O125" s="50"/>
      <c r="P125" s="54" t="str">
        <f aca="false">IF(A125="","",IF(OR(I125="",NOT(ISNUMBER(J125)),NOT(ISNUMBER(K125))),"No KRI measured",IF(L125="Lower is worse",IF(J125&lt;K125,"Breach - threshold exceeded","Within threshold"),IF(J125&gt;K125,"Breach - threshold exceeded","Within threshold"))))</f>
        <v/>
      </c>
      <c r="Q125" s="54" t="str">
        <f aca="false">IF(A125="","",IF(OR(O125="Completed",O125="Cancelled"),"Closed",IF(AND(ISNUMBER(E125),E125&lt;AsOf),"Overdue - late review (no finding implied)","Scheduled")))</f>
        <v/>
      </c>
      <c r="R125" s="61" t="str">
        <f aca="false">IF(AND(O125="Completed",ISNUMBER(F125),E125=_xlfn.MAXIFS(MON_REVDATE,MON_SUP,B125,MON_STATUS,"Completed")),B125&amp;"|Latest","")</f>
        <v/>
      </c>
      <c r="S125" s="54" t="str">
        <f aca="false">IF(A125="","",IF(COUNTIF(MON_ID,A125)&gt;1,"CHECK: duplicate ID",IF(B125="","CHECK: Supplier ID missing",IF(COUNTIF(INV_ID,B125)=0,"CHECK: Supplier ID not in inventory","OK"))))</f>
        <v/>
      </c>
    </row>
    <row r="126" customFormat="false" ht="15" hidden="false" customHeight="false" outlineLevel="0" collapsed="false">
      <c r="A126" s="50"/>
      <c r="B126" s="50"/>
      <c r="C126" s="59" t="str">
        <f aca="false">IF(B126="","",IFERROR(INDEX(INV_NAME,MATCH(B126,INV_ID,0)),"CHECK: Supplier ID not found"))</f>
        <v/>
      </c>
      <c r="D126" s="34"/>
      <c r="E126" s="51"/>
      <c r="F126" s="51"/>
      <c r="G126" s="34"/>
      <c r="H126" s="34"/>
      <c r="I126" s="34"/>
      <c r="J126" s="50"/>
      <c r="K126" s="50"/>
      <c r="L126" s="34"/>
      <c r="M126" s="50"/>
      <c r="N126" s="34"/>
      <c r="O126" s="50"/>
      <c r="P126" s="54" t="str">
        <f aca="false">IF(A126="","",IF(OR(I126="",NOT(ISNUMBER(J126)),NOT(ISNUMBER(K126))),"No KRI measured",IF(L126="Lower is worse",IF(J126&lt;K126,"Breach - threshold exceeded","Within threshold"),IF(J126&gt;K126,"Breach - threshold exceeded","Within threshold"))))</f>
        <v/>
      </c>
      <c r="Q126" s="54" t="str">
        <f aca="false">IF(A126="","",IF(OR(O126="Completed",O126="Cancelled"),"Closed",IF(AND(ISNUMBER(E126),E126&lt;AsOf),"Overdue - late review (no finding implied)","Scheduled")))</f>
        <v/>
      </c>
      <c r="R126" s="61" t="str">
        <f aca="false">IF(AND(O126="Completed",ISNUMBER(F126),E126=_xlfn.MAXIFS(MON_REVDATE,MON_SUP,B126,MON_STATUS,"Completed")),B126&amp;"|Latest","")</f>
        <v/>
      </c>
      <c r="S126" s="54" t="str">
        <f aca="false">IF(A126="","",IF(COUNTIF(MON_ID,A126)&gt;1,"CHECK: duplicate ID",IF(B126="","CHECK: Supplier ID missing",IF(COUNTIF(INV_ID,B126)=0,"CHECK: Supplier ID not in inventory","OK"))))</f>
        <v/>
      </c>
    </row>
    <row r="127" customFormat="false" ht="15" hidden="false" customHeight="false" outlineLevel="0" collapsed="false">
      <c r="A127" s="50"/>
      <c r="B127" s="50"/>
      <c r="C127" s="59" t="str">
        <f aca="false">IF(B127="","",IFERROR(INDEX(INV_NAME,MATCH(B127,INV_ID,0)),"CHECK: Supplier ID not found"))</f>
        <v/>
      </c>
      <c r="D127" s="34"/>
      <c r="E127" s="51"/>
      <c r="F127" s="51"/>
      <c r="G127" s="34"/>
      <c r="H127" s="34"/>
      <c r="I127" s="34"/>
      <c r="J127" s="50"/>
      <c r="K127" s="50"/>
      <c r="L127" s="34"/>
      <c r="M127" s="50"/>
      <c r="N127" s="34"/>
      <c r="O127" s="50"/>
      <c r="P127" s="54" t="str">
        <f aca="false">IF(A127="","",IF(OR(I127="",NOT(ISNUMBER(J127)),NOT(ISNUMBER(K127))),"No KRI measured",IF(L127="Lower is worse",IF(J127&lt;K127,"Breach - threshold exceeded","Within threshold"),IF(J127&gt;K127,"Breach - threshold exceeded","Within threshold"))))</f>
        <v/>
      </c>
      <c r="Q127" s="54" t="str">
        <f aca="false">IF(A127="","",IF(OR(O127="Completed",O127="Cancelled"),"Closed",IF(AND(ISNUMBER(E127),E127&lt;AsOf),"Overdue - late review (no finding implied)","Scheduled")))</f>
        <v/>
      </c>
      <c r="R127" s="61" t="str">
        <f aca="false">IF(AND(O127="Completed",ISNUMBER(F127),E127=_xlfn.MAXIFS(MON_REVDATE,MON_SUP,B127,MON_STATUS,"Completed")),B127&amp;"|Latest","")</f>
        <v/>
      </c>
      <c r="S127" s="54" t="str">
        <f aca="false">IF(A127="","",IF(COUNTIF(MON_ID,A127)&gt;1,"CHECK: duplicate ID",IF(B127="","CHECK: Supplier ID missing",IF(COUNTIF(INV_ID,B127)=0,"CHECK: Supplier ID not in inventory","OK"))))</f>
        <v/>
      </c>
    </row>
    <row r="128" customFormat="false" ht="15" hidden="false" customHeight="false" outlineLevel="0" collapsed="false">
      <c r="A128" s="50"/>
      <c r="B128" s="50"/>
      <c r="C128" s="59" t="str">
        <f aca="false">IF(B128="","",IFERROR(INDEX(INV_NAME,MATCH(B128,INV_ID,0)),"CHECK: Supplier ID not found"))</f>
        <v/>
      </c>
      <c r="D128" s="34"/>
      <c r="E128" s="51"/>
      <c r="F128" s="51"/>
      <c r="G128" s="34"/>
      <c r="H128" s="34"/>
      <c r="I128" s="34"/>
      <c r="J128" s="50"/>
      <c r="K128" s="50"/>
      <c r="L128" s="34"/>
      <c r="M128" s="50"/>
      <c r="N128" s="34"/>
      <c r="O128" s="50"/>
      <c r="P128" s="54" t="str">
        <f aca="false">IF(A128="","",IF(OR(I128="",NOT(ISNUMBER(J128)),NOT(ISNUMBER(K128))),"No KRI measured",IF(L128="Lower is worse",IF(J128&lt;K128,"Breach - threshold exceeded","Within threshold"),IF(J128&gt;K128,"Breach - threshold exceeded","Within threshold"))))</f>
        <v/>
      </c>
      <c r="Q128" s="54" t="str">
        <f aca="false">IF(A128="","",IF(OR(O128="Completed",O128="Cancelled"),"Closed",IF(AND(ISNUMBER(E128),E128&lt;AsOf),"Overdue - late review (no finding implied)","Scheduled")))</f>
        <v/>
      </c>
      <c r="R128" s="61" t="str">
        <f aca="false">IF(AND(O128="Completed",ISNUMBER(F128),E128=_xlfn.MAXIFS(MON_REVDATE,MON_SUP,B128,MON_STATUS,"Completed")),B128&amp;"|Latest","")</f>
        <v/>
      </c>
      <c r="S128" s="54" t="str">
        <f aca="false">IF(A128="","",IF(COUNTIF(MON_ID,A128)&gt;1,"CHECK: duplicate ID",IF(B128="","CHECK: Supplier ID missing",IF(COUNTIF(INV_ID,B128)=0,"CHECK: Supplier ID not in inventory","OK"))))</f>
        <v/>
      </c>
    </row>
    <row r="129" customFormat="false" ht="15" hidden="false" customHeight="false" outlineLevel="0" collapsed="false">
      <c r="A129" s="50"/>
      <c r="B129" s="50"/>
      <c r="C129" s="59" t="str">
        <f aca="false">IF(B129="","",IFERROR(INDEX(INV_NAME,MATCH(B129,INV_ID,0)),"CHECK: Supplier ID not found"))</f>
        <v/>
      </c>
      <c r="D129" s="34"/>
      <c r="E129" s="51"/>
      <c r="F129" s="51"/>
      <c r="G129" s="34"/>
      <c r="H129" s="34"/>
      <c r="I129" s="34"/>
      <c r="J129" s="50"/>
      <c r="K129" s="50"/>
      <c r="L129" s="34"/>
      <c r="M129" s="50"/>
      <c r="N129" s="34"/>
      <c r="O129" s="50"/>
      <c r="P129" s="54" t="str">
        <f aca="false">IF(A129="","",IF(OR(I129="",NOT(ISNUMBER(J129)),NOT(ISNUMBER(K129))),"No KRI measured",IF(L129="Lower is worse",IF(J129&lt;K129,"Breach - threshold exceeded","Within threshold"),IF(J129&gt;K129,"Breach - threshold exceeded","Within threshold"))))</f>
        <v/>
      </c>
      <c r="Q129" s="54" t="str">
        <f aca="false">IF(A129="","",IF(OR(O129="Completed",O129="Cancelled"),"Closed",IF(AND(ISNUMBER(E129),E129&lt;AsOf),"Overdue - late review (no finding implied)","Scheduled")))</f>
        <v/>
      </c>
      <c r="R129" s="61" t="str">
        <f aca="false">IF(AND(O129="Completed",ISNUMBER(F129),E129=_xlfn.MAXIFS(MON_REVDATE,MON_SUP,B129,MON_STATUS,"Completed")),B129&amp;"|Latest","")</f>
        <v/>
      </c>
      <c r="S129" s="54" t="str">
        <f aca="false">IF(A129="","",IF(COUNTIF(MON_ID,A129)&gt;1,"CHECK: duplicate ID",IF(B129="","CHECK: Supplier ID missing",IF(COUNTIF(INV_ID,B129)=0,"CHECK: Supplier ID not in inventory","OK"))))</f>
        <v/>
      </c>
    </row>
    <row r="130" customFormat="false" ht="15" hidden="false" customHeight="false" outlineLevel="0" collapsed="false">
      <c r="A130" s="50"/>
      <c r="B130" s="50"/>
      <c r="C130" s="59" t="str">
        <f aca="false">IF(B130="","",IFERROR(INDEX(INV_NAME,MATCH(B130,INV_ID,0)),"CHECK: Supplier ID not found"))</f>
        <v/>
      </c>
      <c r="D130" s="34"/>
      <c r="E130" s="51"/>
      <c r="F130" s="51"/>
      <c r="G130" s="34"/>
      <c r="H130" s="34"/>
      <c r="I130" s="34"/>
      <c r="J130" s="50"/>
      <c r="K130" s="50"/>
      <c r="L130" s="34"/>
      <c r="M130" s="50"/>
      <c r="N130" s="34"/>
      <c r="O130" s="50"/>
      <c r="P130" s="54" t="str">
        <f aca="false">IF(A130="","",IF(OR(I130="",NOT(ISNUMBER(J130)),NOT(ISNUMBER(K130))),"No KRI measured",IF(L130="Lower is worse",IF(J130&lt;K130,"Breach - threshold exceeded","Within threshold"),IF(J130&gt;K130,"Breach - threshold exceeded","Within threshold"))))</f>
        <v/>
      </c>
      <c r="Q130" s="54" t="str">
        <f aca="false">IF(A130="","",IF(OR(O130="Completed",O130="Cancelled"),"Closed",IF(AND(ISNUMBER(E130),E130&lt;AsOf),"Overdue - late review (no finding implied)","Scheduled")))</f>
        <v/>
      </c>
      <c r="R130" s="61" t="str">
        <f aca="false">IF(AND(O130="Completed",ISNUMBER(F130),E130=_xlfn.MAXIFS(MON_REVDATE,MON_SUP,B130,MON_STATUS,"Completed")),B130&amp;"|Latest","")</f>
        <v/>
      </c>
      <c r="S130" s="54" t="str">
        <f aca="false">IF(A130="","",IF(COUNTIF(MON_ID,A130)&gt;1,"CHECK: duplicate ID",IF(B130="","CHECK: Supplier ID missing",IF(COUNTIF(INV_ID,B130)=0,"CHECK: Supplier ID not in inventory","OK"))))</f>
        <v/>
      </c>
    </row>
    <row r="131" customFormat="false" ht="15" hidden="false" customHeight="false" outlineLevel="0" collapsed="false">
      <c r="A131" s="50"/>
      <c r="B131" s="50"/>
      <c r="C131" s="59" t="str">
        <f aca="false">IF(B131="","",IFERROR(INDEX(INV_NAME,MATCH(B131,INV_ID,0)),"CHECK: Supplier ID not found"))</f>
        <v/>
      </c>
      <c r="D131" s="34"/>
      <c r="E131" s="51"/>
      <c r="F131" s="51"/>
      <c r="G131" s="34"/>
      <c r="H131" s="34"/>
      <c r="I131" s="34"/>
      <c r="J131" s="50"/>
      <c r="K131" s="50"/>
      <c r="L131" s="34"/>
      <c r="M131" s="50"/>
      <c r="N131" s="34"/>
      <c r="O131" s="50"/>
      <c r="P131" s="54" t="str">
        <f aca="false">IF(A131="","",IF(OR(I131="",NOT(ISNUMBER(J131)),NOT(ISNUMBER(K131))),"No KRI measured",IF(L131="Lower is worse",IF(J131&lt;K131,"Breach - threshold exceeded","Within threshold"),IF(J131&gt;K131,"Breach - threshold exceeded","Within threshold"))))</f>
        <v/>
      </c>
      <c r="Q131" s="54" t="str">
        <f aca="false">IF(A131="","",IF(OR(O131="Completed",O131="Cancelled"),"Closed",IF(AND(ISNUMBER(E131),E131&lt;AsOf),"Overdue - late review (no finding implied)","Scheduled")))</f>
        <v/>
      </c>
      <c r="R131" s="61" t="str">
        <f aca="false">IF(AND(O131="Completed",ISNUMBER(F131),E131=_xlfn.MAXIFS(MON_REVDATE,MON_SUP,B131,MON_STATUS,"Completed")),B131&amp;"|Latest","")</f>
        <v/>
      </c>
      <c r="S131" s="54" t="str">
        <f aca="false">IF(A131="","",IF(COUNTIF(MON_ID,A131)&gt;1,"CHECK: duplicate ID",IF(B131="","CHECK: Supplier ID missing",IF(COUNTIF(INV_ID,B131)=0,"CHECK: Supplier ID not in inventory","OK"))))</f>
        <v/>
      </c>
    </row>
    <row r="132" customFormat="false" ht="15" hidden="false" customHeight="false" outlineLevel="0" collapsed="false">
      <c r="A132" s="50"/>
      <c r="B132" s="50"/>
      <c r="C132" s="59" t="str">
        <f aca="false">IF(B132="","",IFERROR(INDEX(INV_NAME,MATCH(B132,INV_ID,0)),"CHECK: Supplier ID not found"))</f>
        <v/>
      </c>
      <c r="D132" s="34"/>
      <c r="E132" s="51"/>
      <c r="F132" s="51"/>
      <c r="G132" s="34"/>
      <c r="H132" s="34"/>
      <c r="I132" s="34"/>
      <c r="J132" s="50"/>
      <c r="K132" s="50"/>
      <c r="L132" s="34"/>
      <c r="M132" s="50"/>
      <c r="N132" s="34"/>
      <c r="O132" s="50"/>
      <c r="P132" s="54" t="str">
        <f aca="false">IF(A132="","",IF(OR(I132="",NOT(ISNUMBER(J132)),NOT(ISNUMBER(K132))),"No KRI measured",IF(L132="Lower is worse",IF(J132&lt;K132,"Breach - threshold exceeded","Within threshold"),IF(J132&gt;K132,"Breach - threshold exceeded","Within threshold"))))</f>
        <v/>
      </c>
      <c r="Q132" s="54" t="str">
        <f aca="false">IF(A132="","",IF(OR(O132="Completed",O132="Cancelled"),"Closed",IF(AND(ISNUMBER(E132),E132&lt;AsOf),"Overdue - late review (no finding implied)","Scheduled")))</f>
        <v/>
      </c>
      <c r="R132" s="61" t="str">
        <f aca="false">IF(AND(O132="Completed",ISNUMBER(F132),E132=_xlfn.MAXIFS(MON_REVDATE,MON_SUP,B132,MON_STATUS,"Completed")),B132&amp;"|Latest","")</f>
        <v/>
      </c>
      <c r="S132" s="54" t="str">
        <f aca="false">IF(A132="","",IF(COUNTIF(MON_ID,A132)&gt;1,"CHECK: duplicate ID",IF(B132="","CHECK: Supplier ID missing",IF(COUNTIF(INV_ID,B132)=0,"CHECK: Supplier ID not in inventory","OK"))))</f>
        <v/>
      </c>
    </row>
    <row r="133" customFormat="false" ht="15" hidden="false" customHeight="false" outlineLevel="0" collapsed="false">
      <c r="A133" s="50"/>
      <c r="B133" s="50"/>
      <c r="C133" s="59" t="str">
        <f aca="false">IF(B133="","",IFERROR(INDEX(INV_NAME,MATCH(B133,INV_ID,0)),"CHECK: Supplier ID not found"))</f>
        <v/>
      </c>
      <c r="D133" s="34"/>
      <c r="E133" s="51"/>
      <c r="F133" s="51"/>
      <c r="G133" s="34"/>
      <c r="H133" s="34"/>
      <c r="I133" s="34"/>
      <c r="J133" s="50"/>
      <c r="K133" s="50"/>
      <c r="L133" s="34"/>
      <c r="M133" s="50"/>
      <c r="N133" s="34"/>
      <c r="O133" s="50"/>
      <c r="P133" s="54" t="str">
        <f aca="false">IF(A133="","",IF(OR(I133="",NOT(ISNUMBER(J133)),NOT(ISNUMBER(K133))),"No KRI measured",IF(L133="Lower is worse",IF(J133&lt;K133,"Breach - threshold exceeded","Within threshold"),IF(J133&gt;K133,"Breach - threshold exceeded","Within threshold"))))</f>
        <v/>
      </c>
      <c r="Q133" s="54" t="str">
        <f aca="false">IF(A133="","",IF(OR(O133="Completed",O133="Cancelled"),"Closed",IF(AND(ISNUMBER(E133),E133&lt;AsOf),"Overdue - late review (no finding implied)","Scheduled")))</f>
        <v/>
      </c>
      <c r="R133" s="61" t="str">
        <f aca="false">IF(AND(O133="Completed",ISNUMBER(F133),E133=_xlfn.MAXIFS(MON_REVDATE,MON_SUP,B133,MON_STATUS,"Completed")),B133&amp;"|Latest","")</f>
        <v/>
      </c>
      <c r="S133" s="54" t="str">
        <f aca="false">IF(A133="","",IF(COUNTIF(MON_ID,A133)&gt;1,"CHECK: duplicate ID",IF(B133="","CHECK: Supplier ID missing",IF(COUNTIF(INV_ID,B133)=0,"CHECK: Supplier ID not in inventory","OK"))))</f>
        <v/>
      </c>
    </row>
    <row r="134" customFormat="false" ht="15" hidden="false" customHeight="false" outlineLevel="0" collapsed="false">
      <c r="A134" s="50"/>
      <c r="B134" s="50"/>
      <c r="C134" s="59" t="str">
        <f aca="false">IF(B134="","",IFERROR(INDEX(INV_NAME,MATCH(B134,INV_ID,0)),"CHECK: Supplier ID not found"))</f>
        <v/>
      </c>
      <c r="D134" s="34"/>
      <c r="E134" s="51"/>
      <c r="F134" s="51"/>
      <c r="G134" s="34"/>
      <c r="H134" s="34"/>
      <c r="I134" s="34"/>
      <c r="J134" s="50"/>
      <c r="K134" s="50"/>
      <c r="L134" s="34"/>
      <c r="M134" s="50"/>
      <c r="N134" s="34"/>
      <c r="O134" s="50"/>
      <c r="P134" s="54" t="str">
        <f aca="false">IF(A134="","",IF(OR(I134="",NOT(ISNUMBER(J134)),NOT(ISNUMBER(K134))),"No KRI measured",IF(L134="Lower is worse",IF(J134&lt;K134,"Breach - threshold exceeded","Within threshold"),IF(J134&gt;K134,"Breach - threshold exceeded","Within threshold"))))</f>
        <v/>
      </c>
      <c r="Q134" s="54" t="str">
        <f aca="false">IF(A134="","",IF(OR(O134="Completed",O134="Cancelled"),"Closed",IF(AND(ISNUMBER(E134),E134&lt;AsOf),"Overdue - late review (no finding implied)","Scheduled")))</f>
        <v/>
      </c>
      <c r="R134" s="61" t="str">
        <f aca="false">IF(AND(O134="Completed",ISNUMBER(F134),E134=_xlfn.MAXIFS(MON_REVDATE,MON_SUP,B134,MON_STATUS,"Completed")),B134&amp;"|Latest","")</f>
        <v/>
      </c>
      <c r="S134" s="54" t="str">
        <f aca="false">IF(A134="","",IF(COUNTIF(MON_ID,A134)&gt;1,"CHECK: duplicate ID",IF(B134="","CHECK: Supplier ID missing",IF(COUNTIF(INV_ID,B134)=0,"CHECK: Supplier ID not in inventory","OK"))))</f>
        <v/>
      </c>
    </row>
    <row r="135" customFormat="false" ht="15" hidden="false" customHeight="false" outlineLevel="0" collapsed="false">
      <c r="A135" s="50"/>
      <c r="B135" s="50"/>
      <c r="C135" s="59" t="str">
        <f aca="false">IF(B135="","",IFERROR(INDEX(INV_NAME,MATCH(B135,INV_ID,0)),"CHECK: Supplier ID not found"))</f>
        <v/>
      </c>
      <c r="D135" s="34"/>
      <c r="E135" s="51"/>
      <c r="F135" s="51"/>
      <c r="G135" s="34"/>
      <c r="H135" s="34"/>
      <c r="I135" s="34"/>
      <c r="J135" s="50"/>
      <c r="K135" s="50"/>
      <c r="L135" s="34"/>
      <c r="M135" s="50"/>
      <c r="N135" s="34"/>
      <c r="O135" s="50"/>
      <c r="P135" s="54" t="str">
        <f aca="false">IF(A135="","",IF(OR(I135="",NOT(ISNUMBER(J135)),NOT(ISNUMBER(K135))),"No KRI measured",IF(L135="Lower is worse",IF(J135&lt;K135,"Breach - threshold exceeded","Within threshold"),IF(J135&gt;K135,"Breach - threshold exceeded","Within threshold"))))</f>
        <v/>
      </c>
      <c r="Q135" s="54" t="str">
        <f aca="false">IF(A135="","",IF(OR(O135="Completed",O135="Cancelled"),"Closed",IF(AND(ISNUMBER(E135),E135&lt;AsOf),"Overdue - late review (no finding implied)","Scheduled")))</f>
        <v/>
      </c>
      <c r="R135" s="61" t="str">
        <f aca="false">IF(AND(O135="Completed",ISNUMBER(F135),E135=_xlfn.MAXIFS(MON_REVDATE,MON_SUP,B135,MON_STATUS,"Completed")),B135&amp;"|Latest","")</f>
        <v/>
      </c>
      <c r="S135" s="54" t="str">
        <f aca="false">IF(A135="","",IF(COUNTIF(MON_ID,A135)&gt;1,"CHECK: duplicate ID",IF(B135="","CHECK: Supplier ID missing",IF(COUNTIF(INV_ID,B135)=0,"CHECK: Supplier ID not in inventory","OK"))))</f>
        <v/>
      </c>
    </row>
    <row r="136" customFormat="false" ht="15" hidden="false" customHeight="false" outlineLevel="0" collapsed="false">
      <c r="A136" s="50"/>
      <c r="B136" s="50"/>
      <c r="C136" s="59" t="str">
        <f aca="false">IF(B136="","",IFERROR(INDEX(INV_NAME,MATCH(B136,INV_ID,0)),"CHECK: Supplier ID not found"))</f>
        <v/>
      </c>
      <c r="D136" s="34"/>
      <c r="E136" s="51"/>
      <c r="F136" s="51"/>
      <c r="G136" s="34"/>
      <c r="H136" s="34"/>
      <c r="I136" s="34"/>
      <c r="J136" s="50"/>
      <c r="K136" s="50"/>
      <c r="L136" s="34"/>
      <c r="M136" s="50"/>
      <c r="N136" s="34"/>
      <c r="O136" s="50"/>
      <c r="P136" s="54" t="str">
        <f aca="false">IF(A136="","",IF(OR(I136="",NOT(ISNUMBER(J136)),NOT(ISNUMBER(K136))),"No KRI measured",IF(L136="Lower is worse",IF(J136&lt;K136,"Breach - threshold exceeded","Within threshold"),IF(J136&gt;K136,"Breach - threshold exceeded","Within threshold"))))</f>
        <v/>
      </c>
      <c r="Q136" s="54" t="str">
        <f aca="false">IF(A136="","",IF(OR(O136="Completed",O136="Cancelled"),"Closed",IF(AND(ISNUMBER(E136),E136&lt;AsOf),"Overdue - late review (no finding implied)","Scheduled")))</f>
        <v/>
      </c>
      <c r="R136" s="61" t="str">
        <f aca="false">IF(AND(O136="Completed",ISNUMBER(F136),E136=_xlfn.MAXIFS(MON_REVDATE,MON_SUP,B136,MON_STATUS,"Completed")),B136&amp;"|Latest","")</f>
        <v/>
      </c>
      <c r="S136" s="54" t="str">
        <f aca="false">IF(A136="","",IF(COUNTIF(MON_ID,A136)&gt;1,"CHECK: duplicate ID",IF(B136="","CHECK: Supplier ID missing",IF(COUNTIF(INV_ID,B136)=0,"CHECK: Supplier ID not in inventory","OK"))))</f>
        <v/>
      </c>
    </row>
    <row r="137" customFormat="false" ht="15" hidden="false" customHeight="false" outlineLevel="0" collapsed="false">
      <c r="A137" s="50"/>
      <c r="B137" s="50"/>
      <c r="C137" s="59" t="str">
        <f aca="false">IF(B137="","",IFERROR(INDEX(INV_NAME,MATCH(B137,INV_ID,0)),"CHECK: Supplier ID not found"))</f>
        <v/>
      </c>
      <c r="D137" s="34"/>
      <c r="E137" s="51"/>
      <c r="F137" s="51"/>
      <c r="G137" s="34"/>
      <c r="H137" s="34"/>
      <c r="I137" s="34"/>
      <c r="J137" s="50"/>
      <c r="K137" s="50"/>
      <c r="L137" s="34"/>
      <c r="M137" s="50"/>
      <c r="N137" s="34"/>
      <c r="O137" s="50"/>
      <c r="P137" s="54" t="str">
        <f aca="false">IF(A137="","",IF(OR(I137="",NOT(ISNUMBER(J137)),NOT(ISNUMBER(K137))),"No KRI measured",IF(L137="Lower is worse",IF(J137&lt;K137,"Breach - threshold exceeded","Within threshold"),IF(J137&gt;K137,"Breach - threshold exceeded","Within threshold"))))</f>
        <v/>
      </c>
      <c r="Q137" s="54" t="str">
        <f aca="false">IF(A137="","",IF(OR(O137="Completed",O137="Cancelled"),"Closed",IF(AND(ISNUMBER(E137),E137&lt;AsOf),"Overdue - late review (no finding implied)","Scheduled")))</f>
        <v/>
      </c>
      <c r="R137" s="61" t="str">
        <f aca="false">IF(AND(O137="Completed",ISNUMBER(F137),E137=_xlfn.MAXIFS(MON_REVDATE,MON_SUP,B137,MON_STATUS,"Completed")),B137&amp;"|Latest","")</f>
        <v/>
      </c>
      <c r="S137" s="54" t="str">
        <f aca="false">IF(A137="","",IF(COUNTIF(MON_ID,A137)&gt;1,"CHECK: duplicate ID",IF(B137="","CHECK: Supplier ID missing",IF(COUNTIF(INV_ID,B137)=0,"CHECK: Supplier ID not in inventory","OK"))))</f>
        <v/>
      </c>
    </row>
    <row r="138" customFormat="false" ht="15" hidden="false" customHeight="false" outlineLevel="0" collapsed="false">
      <c r="A138" s="50"/>
      <c r="B138" s="50"/>
      <c r="C138" s="59" t="str">
        <f aca="false">IF(B138="","",IFERROR(INDEX(INV_NAME,MATCH(B138,INV_ID,0)),"CHECK: Supplier ID not found"))</f>
        <v/>
      </c>
      <c r="D138" s="34"/>
      <c r="E138" s="51"/>
      <c r="F138" s="51"/>
      <c r="G138" s="34"/>
      <c r="H138" s="34"/>
      <c r="I138" s="34"/>
      <c r="J138" s="50"/>
      <c r="K138" s="50"/>
      <c r="L138" s="34"/>
      <c r="M138" s="50"/>
      <c r="N138" s="34"/>
      <c r="O138" s="50"/>
      <c r="P138" s="54" t="str">
        <f aca="false">IF(A138="","",IF(OR(I138="",NOT(ISNUMBER(J138)),NOT(ISNUMBER(K138))),"No KRI measured",IF(L138="Lower is worse",IF(J138&lt;K138,"Breach - threshold exceeded","Within threshold"),IF(J138&gt;K138,"Breach - threshold exceeded","Within threshold"))))</f>
        <v/>
      </c>
      <c r="Q138" s="54" t="str">
        <f aca="false">IF(A138="","",IF(OR(O138="Completed",O138="Cancelled"),"Closed",IF(AND(ISNUMBER(E138),E138&lt;AsOf),"Overdue - late review (no finding implied)","Scheduled")))</f>
        <v/>
      </c>
      <c r="R138" s="61" t="str">
        <f aca="false">IF(AND(O138="Completed",ISNUMBER(F138),E138=_xlfn.MAXIFS(MON_REVDATE,MON_SUP,B138,MON_STATUS,"Completed")),B138&amp;"|Latest","")</f>
        <v/>
      </c>
      <c r="S138" s="54" t="str">
        <f aca="false">IF(A138="","",IF(COUNTIF(MON_ID,A138)&gt;1,"CHECK: duplicate ID",IF(B138="","CHECK: Supplier ID missing",IF(COUNTIF(INV_ID,B138)=0,"CHECK: Supplier ID not in inventory","OK"))))</f>
        <v/>
      </c>
    </row>
    <row r="139" customFormat="false" ht="15" hidden="false" customHeight="false" outlineLevel="0" collapsed="false">
      <c r="A139" s="50"/>
      <c r="B139" s="50"/>
      <c r="C139" s="59" t="str">
        <f aca="false">IF(B139="","",IFERROR(INDEX(INV_NAME,MATCH(B139,INV_ID,0)),"CHECK: Supplier ID not found"))</f>
        <v/>
      </c>
      <c r="D139" s="34"/>
      <c r="E139" s="51"/>
      <c r="F139" s="51"/>
      <c r="G139" s="34"/>
      <c r="H139" s="34"/>
      <c r="I139" s="34"/>
      <c r="J139" s="50"/>
      <c r="K139" s="50"/>
      <c r="L139" s="34"/>
      <c r="M139" s="50"/>
      <c r="N139" s="34"/>
      <c r="O139" s="50"/>
      <c r="P139" s="54" t="str">
        <f aca="false">IF(A139="","",IF(OR(I139="",NOT(ISNUMBER(J139)),NOT(ISNUMBER(K139))),"No KRI measured",IF(L139="Lower is worse",IF(J139&lt;K139,"Breach - threshold exceeded","Within threshold"),IF(J139&gt;K139,"Breach - threshold exceeded","Within threshold"))))</f>
        <v/>
      </c>
      <c r="Q139" s="54" t="str">
        <f aca="false">IF(A139="","",IF(OR(O139="Completed",O139="Cancelled"),"Closed",IF(AND(ISNUMBER(E139),E139&lt;AsOf),"Overdue - late review (no finding implied)","Scheduled")))</f>
        <v/>
      </c>
      <c r="R139" s="61" t="str">
        <f aca="false">IF(AND(O139="Completed",ISNUMBER(F139),E139=_xlfn.MAXIFS(MON_REVDATE,MON_SUP,B139,MON_STATUS,"Completed")),B139&amp;"|Latest","")</f>
        <v/>
      </c>
      <c r="S139" s="54" t="str">
        <f aca="false">IF(A139="","",IF(COUNTIF(MON_ID,A139)&gt;1,"CHECK: duplicate ID",IF(B139="","CHECK: Supplier ID missing",IF(COUNTIF(INV_ID,B139)=0,"CHECK: Supplier ID not in inventory","OK"))))</f>
        <v/>
      </c>
    </row>
    <row r="140" customFormat="false" ht="15" hidden="false" customHeight="false" outlineLevel="0" collapsed="false">
      <c r="A140" s="50"/>
      <c r="B140" s="50"/>
      <c r="C140" s="59" t="str">
        <f aca="false">IF(B140="","",IFERROR(INDEX(INV_NAME,MATCH(B140,INV_ID,0)),"CHECK: Supplier ID not found"))</f>
        <v/>
      </c>
      <c r="D140" s="34"/>
      <c r="E140" s="51"/>
      <c r="F140" s="51"/>
      <c r="G140" s="34"/>
      <c r="H140" s="34"/>
      <c r="I140" s="34"/>
      <c r="J140" s="50"/>
      <c r="K140" s="50"/>
      <c r="L140" s="34"/>
      <c r="M140" s="50"/>
      <c r="N140" s="34"/>
      <c r="O140" s="50"/>
      <c r="P140" s="54" t="str">
        <f aca="false">IF(A140="","",IF(OR(I140="",NOT(ISNUMBER(J140)),NOT(ISNUMBER(K140))),"No KRI measured",IF(L140="Lower is worse",IF(J140&lt;K140,"Breach - threshold exceeded","Within threshold"),IF(J140&gt;K140,"Breach - threshold exceeded","Within threshold"))))</f>
        <v/>
      </c>
      <c r="Q140" s="54" t="str">
        <f aca="false">IF(A140="","",IF(OR(O140="Completed",O140="Cancelled"),"Closed",IF(AND(ISNUMBER(E140),E140&lt;AsOf),"Overdue - late review (no finding implied)","Scheduled")))</f>
        <v/>
      </c>
      <c r="R140" s="61" t="str">
        <f aca="false">IF(AND(O140="Completed",ISNUMBER(F140),E140=_xlfn.MAXIFS(MON_REVDATE,MON_SUP,B140,MON_STATUS,"Completed")),B140&amp;"|Latest","")</f>
        <v/>
      </c>
      <c r="S140" s="54" t="str">
        <f aca="false">IF(A140="","",IF(COUNTIF(MON_ID,A140)&gt;1,"CHECK: duplicate ID",IF(B140="","CHECK: Supplier ID missing",IF(COUNTIF(INV_ID,B140)=0,"CHECK: Supplier ID not in inventory","OK"))))</f>
        <v/>
      </c>
    </row>
    <row r="141" customFormat="false" ht="15" hidden="false" customHeight="false" outlineLevel="0" collapsed="false">
      <c r="A141" s="50"/>
      <c r="B141" s="50"/>
      <c r="C141" s="59" t="str">
        <f aca="false">IF(B141="","",IFERROR(INDEX(INV_NAME,MATCH(B141,INV_ID,0)),"CHECK: Supplier ID not found"))</f>
        <v/>
      </c>
      <c r="D141" s="34"/>
      <c r="E141" s="51"/>
      <c r="F141" s="51"/>
      <c r="G141" s="34"/>
      <c r="H141" s="34"/>
      <c r="I141" s="34"/>
      <c r="J141" s="50"/>
      <c r="K141" s="50"/>
      <c r="L141" s="34"/>
      <c r="M141" s="50"/>
      <c r="N141" s="34"/>
      <c r="O141" s="50"/>
      <c r="P141" s="54" t="str">
        <f aca="false">IF(A141="","",IF(OR(I141="",NOT(ISNUMBER(J141)),NOT(ISNUMBER(K141))),"No KRI measured",IF(L141="Lower is worse",IF(J141&lt;K141,"Breach - threshold exceeded","Within threshold"),IF(J141&gt;K141,"Breach - threshold exceeded","Within threshold"))))</f>
        <v/>
      </c>
      <c r="Q141" s="54" t="str">
        <f aca="false">IF(A141="","",IF(OR(O141="Completed",O141="Cancelled"),"Closed",IF(AND(ISNUMBER(E141),E141&lt;AsOf),"Overdue - late review (no finding implied)","Scheduled")))</f>
        <v/>
      </c>
      <c r="R141" s="61" t="str">
        <f aca="false">IF(AND(O141="Completed",ISNUMBER(F141),E141=_xlfn.MAXIFS(MON_REVDATE,MON_SUP,B141,MON_STATUS,"Completed")),B141&amp;"|Latest","")</f>
        <v/>
      </c>
      <c r="S141" s="54" t="str">
        <f aca="false">IF(A141="","",IF(COUNTIF(MON_ID,A141)&gt;1,"CHECK: duplicate ID",IF(B141="","CHECK: Supplier ID missing",IF(COUNTIF(INV_ID,B141)=0,"CHECK: Supplier ID not in inventory","OK"))))</f>
        <v/>
      </c>
    </row>
    <row r="142" customFormat="false" ht="15" hidden="false" customHeight="false" outlineLevel="0" collapsed="false">
      <c r="A142" s="50"/>
      <c r="B142" s="50"/>
      <c r="C142" s="59" t="str">
        <f aca="false">IF(B142="","",IFERROR(INDEX(INV_NAME,MATCH(B142,INV_ID,0)),"CHECK: Supplier ID not found"))</f>
        <v/>
      </c>
      <c r="D142" s="34"/>
      <c r="E142" s="51"/>
      <c r="F142" s="51"/>
      <c r="G142" s="34"/>
      <c r="H142" s="34"/>
      <c r="I142" s="34"/>
      <c r="J142" s="50"/>
      <c r="K142" s="50"/>
      <c r="L142" s="34"/>
      <c r="M142" s="50"/>
      <c r="N142" s="34"/>
      <c r="O142" s="50"/>
      <c r="P142" s="54" t="str">
        <f aca="false">IF(A142="","",IF(OR(I142="",NOT(ISNUMBER(J142)),NOT(ISNUMBER(K142))),"No KRI measured",IF(L142="Lower is worse",IF(J142&lt;K142,"Breach - threshold exceeded","Within threshold"),IF(J142&gt;K142,"Breach - threshold exceeded","Within threshold"))))</f>
        <v/>
      </c>
      <c r="Q142" s="54" t="str">
        <f aca="false">IF(A142="","",IF(OR(O142="Completed",O142="Cancelled"),"Closed",IF(AND(ISNUMBER(E142),E142&lt;AsOf),"Overdue - late review (no finding implied)","Scheduled")))</f>
        <v/>
      </c>
      <c r="R142" s="61" t="str">
        <f aca="false">IF(AND(O142="Completed",ISNUMBER(F142),E142=_xlfn.MAXIFS(MON_REVDATE,MON_SUP,B142,MON_STATUS,"Completed")),B142&amp;"|Latest","")</f>
        <v/>
      </c>
      <c r="S142" s="54" t="str">
        <f aca="false">IF(A142="","",IF(COUNTIF(MON_ID,A142)&gt;1,"CHECK: duplicate ID",IF(B142="","CHECK: Supplier ID missing",IF(COUNTIF(INV_ID,B142)=0,"CHECK: Supplier ID not in inventory","OK"))))</f>
        <v/>
      </c>
    </row>
    <row r="143" customFormat="false" ht="15" hidden="false" customHeight="false" outlineLevel="0" collapsed="false">
      <c r="A143" s="50"/>
      <c r="B143" s="50"/>
      <c r="C143" s="59" t="str">
        <f aca="false">IF(B143="","",IFERROR(INDEX(INV_NAME,MATCH(B143,INV_ID,0)),"CHECK: Supplier ID not found"))</f>
        <v/>
      </c>
      <c r="D143" s="34"/>
      <c r="E143" s="51"/>
      <c r="F143" s="51"/>
      <c r="G143" s="34"/>
      <c r="H143" s="34"/>
      <c r="I143" s="34"/>
      <c r="J143" s="50"/>
      <c r="K143" s="50"/>
      <c r="L143" s="34"/>
      <c r="M143" s="50"/>
      <c r="N143" s="34"/>
      <c r="O143" s="50"/>
      <c r="P143" s="54" t="str">
        <f aca="false">IF(A143="","",IF(OR(I143="",NOT(ISNUMBER(J143)),NOT(ISNUMBER(K143))),"No KRI measured",IF(L143="Lower is worse",IF(J143&lt;K143,"Breach - threshold exceeded","Within threshold"),IF(J143&gt;K143,"Breach - threshold exceeded","Within threshold"))))</f>
        <v/>
      </c>
      <c r="Q143" s="54" t="str">
        <f aca="false">IF(A143="","",IF(OR(O143="Completed",O143="Cancelled"),"Closed",IF(AND(ISNUMBER(E143),E143&lt;AsOf),"Overdue - late review (no finding implied)","Scheduled")))</f>
        <v/>
      </c>
      <c r="R143" s="61" t="str">
        <f aca="false">IF(AND(O143="Completed",ISNUMBER(F143),E143=_xlfn.MAXIFS(MON_REVDATE,MON_SUP,B143,MON_STATUS,"Completed")),B143&amp;"|Latest","")</f>
        <v/>
      </c>
      <c r="S143" s="54" t="str">
        <f aca="false">IF(A143="","",IF(COUNTIF(MON_ID,A143)&gt;1,"CHECK: duplicate ID",IF(B143="","CHECK: Supplier ID missing",IF(COUNTIF(INV_ID,B143)=0,"CHECK: Supplier ID not in inventory","OK"))))</f>
        <v/>
      </c>
    </row>
    <row r="144" customFormat="false" ht="15" hidden="false" customHeight="false" outlineLevel="0" collapsed="false">
      <c r="A144" s="50"/>
      <c r="B144" s="50"/>
      <c r="C144" s="59" t="str">
        <f aca="false">IF(B144="","",IFERROR(INDEX(INV_NAME,MATCH(B144,INV_ID,0)),"CHECK: Supplier ID not found"))</f>
        <v/>
      </c>
      <c r="D144" s="34"/>
      <c r="E144" s="51"/>
      <c r="F144" s="51"/>
      <c r="G144" s="34"/>
      <c r="H144" s="34"/>
      <c r="I144" s="34"/>
      <c r="J144" s="50"/>
      <c r="K144" s="50"/>
      <c r="L144" s="34"/>
      <c r="M144" s="50"/>
      <c r="N144" s="34"/>
      <c r="O144" s="50"/>
      <c r="P144" s="54" t="str">
        <f aca="false">IF(A144="","",IF(OR(I144="",NOT(ISNUMBER(J144)),NOT(ISNUMBER(K144))),"No KRI measured",IF(L144="Lower is worse",IF(J144&lt;K144,"Breach - threshold exceeded","Within threshold"),IF(J144&gt;K144,"Breach - threshold exceeded","Within threshold"))))</f>
        <v/>
      </c>
      <c r="Q144" s="54" t="str">
        <f aca="false">IF(A144="","",IF(OR(O144="Completed",O144="Cancelled"),"Closed",IF(AND(ISNUMBER(E144),E144&lt;AsOf),"Overdue - late review (no finding implied)","Scheduled")))</f>
        <v/>
      </c>
      <c r="R144" s="61" t="str">
        <f aca="false">IF(AND(O144="Completed",ISNUMBER(F144),E144=_xlfn.MAXIFS(MON_REVDATE,MON_SUP,B144,MON_STATUS,"Completed")),B144&amp;"|Latest","")</f>
        <v/>
      </c>
      <c r="S144" s="54" t="str">
        <f aca="false">IF(A144="","",IF(COUNTIF(MON_ID,A144)&gt;1,"CHECK: duplicate ID",IF(B144="","CHECK: Supplier ID missing",IF(COUNTIF(INV_ID,B144)=0,"CHECK: Supplier ID not in inventory","OK"))))</f>
        <v/>
      </c>
    </row>
    <row r="145" customFormat="false" ht="15" hidden="false" customHeight="false" outlineLevel="0" collapsed="false">
      <c r="A145" s="50"/>
      <c r="B145" s="50"/>
      <c r="C145" s="59" t="str">
        <f aca="false">IF(B145="","",IFERROR(INDEX(INV_NAME,MATCH(B145,INV_ID,0)),"CHECK: Supplier ID not found"))</f>
        <v/>
      </c>
      <c r="D145" s="34"/>
      <c r="E145" s="51"/>
      <c r="F145" s="51"/>
      <c r="G145" s="34"/>
      <c r="H145" s="34"/>
      <c r="I145" s="34"/>
      <c r="J145" s="50"/>
      <c r="K145" s="50"/>
      <c r="L145" s="34"/>
      <c r="M145" s="50"/>
      <c r="N145" s="34"/>
      <c r="O145" s="50"/>
      <c r="P145" s="54" t="str">
        <f aca="false">IF(A145="","",IF(OR(I145="",NOT(ISNUMBER(J145)),NOT(ISNUMBER(K145))),"No KRI measured",IF(L145="Lower is worse",IF(J145&lt;K145,"Breach - threshold exceeded","Within threshold"),IF(J145&gt;K145,"Breach - threshold exceeded","Within threshold"))))</f>
        <v/>
      </c>
      <c r="Q145" s="54" t="str">
        <f aca="false">IF(A145="","",IF(OR(O145="Completed",O145="Cancelled"),"Closed",IF(AND(ISNUMBER(E145),E145&lt;AsOf),"Overdue - late review (no finding implied)","Scheduled")))</f>
        <v/>
      </c>
      <c r="R145" s="61" t="str">
        <f aca="false">IF(AND(O145="Completed",ISNUMBER(F145),E145=_xlfn.MAXIFS(MON_REVDATE,MON_SUP,B145,MON_STATUS,"Completed")),B145&amp;"|Latest","")</f>
        <v/>
      </c>
      <c r="S145" s="54" t="str">
        <f aca="false">IF(A145="","",IF(COUNTIF(MON_ID,A145)&gt;1,"CHECK: duplicate ID",IF(B145="","CHECK: Supplier ID missing",IF(COUNTIF(INV_ID,B145)=0,"CHECK: Supplier ID not in inventory","OK"))))</f>
        <v/>
      </c>
    </row>
    <row r="146" customFormat="false" ht="15" hidden="false" customHeight="false" outlineLevel="0" collapsed="false">
      <c r="A146" s="50"/>
      <c r="B146" s="50"/>
      <c r="C146" s="59" t="str">
        <f aca="false">IF(B146="","",IFERROR(INDEX(INV_NAME,MATCH(B146,INV_ID,0)),"CHECK: Supplier ID not found"))</f>
        <v/>
      </c>
      <c r="D146" s="34"/>
      <c r="E146" s="51"/>
      <c r="F146" s="51"/>
      <c r="G146" s="34"/>
      <c r="H146" s="34"/>
      <c r="I146" s="34"/>
      <c r="J146" s="50"/>
      <c r="K146" s="50"/>
      <c r="L146" s="34"/>
      <c r="M146" s="50"/>
      <c r="N146" s="34"/>
      <c r="O146" s="50"/>
      <c r="P146" s="54" t="str">
        <f aca="false">IF(A146="","",IF(OR(I146="",NOT(ISNUMBER(J146)),NOT(ISNUMBER(K146))),"No KRI measured",IF(L146="Lower is worse",IF(J146&lt;K146,"Breach - threshold exceeded","Within threshold"),IF(J146&gt;K146,"Breach - threshold exceeded","Within threshold"))))</f>
        <v/>
      </c>
      <c r="Q146" s="54" t="str">
        <f aca="false">IF(A146="","",IF(OR(O146="Completed",O146="Cancelled"),"Closed",IF(AND(ISNUMBER(E146),E146&lt;AsOf),"Overdue - late review (no finding implied)","Scheduled")))</f>
        <v/>
      </c>
      <c r="R146" s="61" t="str">
        <f aca="false">IF(AND(O146="Completed",ISNUMBER(F146),E146=_xlfn.MAXIFS(MON_REVDATE,MON_SUP,B146,MON_STATUS,"Completed")),B146&amp;"|Latest","")</f>
        <v/>
      </c>
      <c r="S146" s="54" t="str">
        <f aca="false">IF(A146="","",IF(COUNTIF(MON_ID,A146)&gt;1,"CHECK: duplicate ID",IF(B146="","CHECK: Supplier ID missing",IF(COUNTIF(INV_ID,B146)=0,"CHECK: Supplier ID not in inventory","OK"))))</f>
        <v/>
      </c>
    </row>
    <row r="147" customFormat="false" ht="15" hidden="false" customHeight="false" outlineLevel="0" collapsed="false">
      <c r="A147" s="50"/>
      <c r="B147" s="50"/>
      <c r="C147" s="59" t="str">
        <f aca="false">IF(B147="","",IFERROR(INDEX(INV_NAME,MATCH(B147,INV_ID,0)),"CHECK: Supplier ID not found"))</f>
        <v/>
      </c>
      <c r="D147" s="34"/>
      <c r="E147" s="51"/>
      <c r="F147" s="51"/>
      <c r="G147" s="34"/>
      <c r="H147" s="34"/>
      <c r="I147" s="34"/>
      <c r="J147" s="50"/>
      <c r="K147" s="50"/>
      <c r="L147" s="34"/>
      <c r="M147" s="50"/>
      <c r="N147" s="34"/>
      <c r="O147" s="50"/>
      <c r="P147" s="54" t="str">
        <f aca="false">IF(A147="","",IF(OR(I147="",NOT(ISNUMBER(J147)),NOT(ISNUMBER(K147))),"No KRI measured",IF(L147="Lower is worse",IF(J147&lt;K147,"Breach - threshold exceeded","Within threshold"),IF(J147&gt;K147,"Breach - threshold exceeded","Within threshold"))))</f>
        <v/>
      </c>
      <c r="Q147" s="54" t="str">
        <f aca="false">IF(A147="","",IF(OR(O147="Completed",O147="Cancelled"),"Closed",IF(AND(ISNUMBER(E147),E147&lt;AsOf),"Overdue - late review (no finding implied)","Scheduled")))</f>
        <v/>
      </c>
      <c r="R147" s="61" t="str">
        <f aca="false">IF(AND(O147="Completed",ISNUMBER(F147),E147=_xlfn.MAXIFS(MON_REVDATE,MON_SUP,B147,MON_STATUS,"Completed")),B147&amp;"|Latest","")</f>
        <v/>
      </c>
      <c r="S147" s="54" t="str">
        <f aca="false">IF(A147="","",IF(COUNTIF(MON_ID,A147)&gt;1,"CHECK: duplicate ID",IF(B147="","CHECK: Supplier ID missing",IF(COUNTIF(INV_ID,B147)=0,"CHECK: Supplier ID not in inventory","OK"))))</f>
        <v/>
      </c>
    </row>
    <row r="148" customFormat="false" ht="15" hidden="false" customHeight="false" outlineLevel="0" collapsed="false">
      <c r="A148" s="50"/>
      <c r="B148" s="50"/>
      <c r="C148" s="59" t="str">
        <f aca="false">IF(B148="","",IFERROR(INDEX(INV_NAME,MATCH(B148,INV_ID,0)),"CHECK: Supplier ID not found"))</f>
        <v/>
      </c>
      <c r="D148" s="34"/>
      <c r="E148" s="51"/>
      <c r="F148" s="51"/>
      <c r="G148" s="34"/>
      <c r="H148" s="34"/>
      <c r="I148" s="34"/>
      <c r="J148" s="50"/>
      <c r="K148" s="50"/>
      <c r="L148" s="34"/>
      <c r="M148" s="50"/>
      <c r="N148" s="34"/>
      <c r="O148" s="50"/>
      <c r="P148" s="54" t="str">
        <f aca="false">IF(A148="","",IF(OR(I148="",NOT(ISNUMBER(J148)),NOT(ISNUMBER(K148))),"No KRI measured",IF(L148="Lower is worse",IF(J148&lt;K148,"Breach - threshold exceeded","Within threshold"),IF(J148&gt;K148,"Breach - threshold exceeded","Within threshold"))))</f>
        <v/>
      </c>
      <c r="Q148" s="54" t="str">
        <f aca="false">IF(A148="","",IF(OR(O148="Completed",O148="Cancelled"),"Closed",IF(AND(ISNUMBER(E148),E148&lt;AsOf),"Overdue - late review (no finding implied)","Scheduled")))</f>
        <v/>
      </c>
      <c r="R148" s="61" t="str">
        <f aca="false">IF(AND(O148="Completed",ISNUMBER(F148),E148=_xlfn.MAXIFS(MON_REVDATE,MON_SUP,B148,MON_STATUS,"Completed")),B148&amp;"|Latest","")</f>
        <v/>
      </c>
      <c r="S148" s="54" t="str">
        <f aca="false">IF(A148="","",IF(COUNTIF(MON_ID,A148)&gt;1,"CHECK: duplicate ID",IF(B148="","CHECK: Supplier ID missing",IF(COUNTIF(INV_ID,B148)=0,"CHECK: Supplier ID not in inventory","OK"))))</f>
        <v/>
      </c>
    </row>
    <row r="149" customFormat="false" ht="15" hidden="false" customHeight="false" outlineLevel="0" collapsed="false">
      <c r="A149" s="50"/>
      <c r="B149" s="50"/>
      <c r="C149" s="59" t="str">
        <f aca="false">IF(B149="","",IFERROR(INDEX(INV_NAME,MATCH(B149,INV_ID,0)),"CHECK: Supplier ID not found"))</f>
        <v/>
      </c>
      <c r="D149" s="34"/>
      <c r="E149" s="51"/>
      <c r="F149" s="51"/>
      <c r="G149" s="34"/>
      <c r="H149" s="34"/>
      <c r="I149" s="34"/>
      <c r="J149" s="50"/>
      <c r="K149" s="50"/>
      <c r="L149" s="34"/>
      <c r="M149" s="50"/>
      <c r="N149" s="34"/>
      <c r="O149" s="50"/>
      <c r="P149" s="54" t="str">
        <f aca="false">IF(A149="","",IF(OR(I149="",NOT(ISNUMBER(J149)),NOT(ISNUMBER(K149))),"No KRI measured",IF(L149="Lower is worse",IF(J149&lt;K149,"Breach - threshold exceeded","Within threshold"),IF(J149&gt;K149,"Breach - threshold exceeded","Within threshold"))))</f>
        <v/>
      </c>
      <c r="Q149" s="54" t="str">
        <f aca="false">IF(A149="","",IF(OR(O149="Completed",O149="Cancelled"),"Closed",IF(AND(ISNUMBER(E149),E149&lt;AsOf),"Overdue - late review (no finding implied)","Scheduled")))</f>
        <v/>
      </c>
      <c r="R149" s="61" t="str">
        <f aca="false">IF(AND(O149="Completed",ISNUMBER(F149),E149=_xlfn.MAXIFS(MON_REVDATE,MON_SUP,B149,MON_STATUS,"Completed")),B149&amp;"|Latest","")</f>
        <v/>
      </c>
      <c r="S149" s="54" t="str">
        <f aca="false">IF(A149="","",IF(COUNTIF(MON_ID,A149)&gt;1,"CHECK: duplicate ID",IF(B149="","CHECK: Supplier ID missing",IF(COUNTIF(INV_ID,B149)=0,"CHECK: Supplier ID not in inventory","OK"))))</f>
        <v/>
      </c>
    </row>
    <row r="150" customFormat="false" ht="15" hidden="false" customHeight="false" outlineLevel="0" collapsed="false">
      <c r="A150" s="50"/>
      <c r="B150" s="50"/>
      <c r="C150" s="59" t="str">
        <f aca="false">IF(B150="","",IFERROR(INDEX(INV_NAME,MATCH(B150,INV_ID,0)),"CHECK: Supplier ID not found"))</f>
        <v/>
      </c>
      <c r="D150" s="34"/>
      <c r="E150" s="51"/>
      <c r="F150" s="51"/>
      <c r="G150" s="34"/>
      <c r="H150" s="34"/>
      <c r="I150" s="34"/>
      <c r="J150" s="50"/>
      <c r="K150" s="50"/>
      <c r="L150" s="34"/>
      <c r="M150" s="50"/>
      <c r="N150" s="34"/>
      <c r="O150" s="50"/>
      <c r="P150" s="54" t="str">
        <f aca="false">IF(A150="","",IF(OR(I150="",NOT(ISNUMBER(J150)),NOT(ISNUMBER(K150))),"No KRI measured",IF(L150="Lower is worse",IF(J150&lt;K150,"Breach - threshold exceeded","Within threshold"),IF(J150&gt;K150,"Breach - threshold exceeded","Within threshold"))))</f>
        <v/>
      </c>
      <c r="Q150" s="54" t="str">
        <f aca="false">IF(A150="","",IF(OR(O150="Completed",O150="Cancelled"),"Closed",IF(AND(ISNUMBER(E150),E150&lt;AsOf),"Overdue - late review (no finding implied)","Scheduled")))</f>
        <v/>
      </c>
      <c r="R150" s="61" t="str">
        <f aca="false">IF(AND(O150="Completed",ISNUMBER(F150),E150=_xlfn.MAXIFS(MON_REVDATE,MON_SUP,B150,MON_STATUS,"Completed")),B150&amp;"|Latest","")</f>
        <v/>
      </c>
      <c r="S150" s="54" t="str">
        <f aca="false">IF(A150="","",IF(COUNTIF(MON_ID,A150)&gt;1,"CHECK: duplicate ID",IF(B150="","CHECK: Supplier ID missing",IF(COUNTIF(INV_ID,B150)=0,"CHECK: Supplier ID not in inventory","OK"))))</f>
        <v/>
      </c>
    </row>
    <row r="151" customFormat="false" ht="15" hidden="false" customHeight="false" outlineLevel="0" collapsed="false">
      <c r="A151" s="50"/>
      <c r="B151" s="50"/>
      <c r="C151" s="59" t="str">
        <f aca="false">IF(B151="","",IFERROR(INDEX(INV_NAME,MATCH(B151,INV_ID,0)),"CHECK: Supplier ID not found"))</f>
        <v/>
      </c>
      <c r="D151" s="34"/>
      <c r="E151" s="51"/>
      <c r="F151" s="51"/>
      <c r="G151" s="34"/>
      <c r="H151" s="34"/>
      <c r="I151" s="34"/>
      <c r="J151" s="50"/>
      <c r="K151" s="50"/>
      <c r="L151" s="34"/>
      <c r="M151" s="50"/>
      <c r="N151" s="34"/>
      <c r="O151" s="50"/>
      <c r="P151" s="54" t="str">
        <f aca="false">IF(A151="","",IF(OR(I151="",NOT(ISNUMBER(J151)),NOT(ISNUMBER(K151))),"No KRI measured",IF(L151="Lower is worse",IF(J151&lt;K151,"Breach - threshold exceeded","Within threshold"),IF(J151&gt;K151,"Breach - threshold exceeded","Within threshold"))))</f>
        <v/>
      </c>
      <c r="Q151" s="54" t="str">
        <f aca="false">IF(A151="","",IF(OR(O151="Completed",O151="Cancelled"),"Closed",IF(AND(ISNUMBER(E151),E151&lt;AsOf),"Overdue - late review (no finding implied)","Scheduled")))</f>
        <v/>
      </c>
      <c r="R151" s="61" t="str">
        <f aca="false">IF(AND(O151="Completed",ISNUMBER(F151),E151=_xlfn.MAXIFS(MON_REVDATE,MON_SUP,B151,MON_STATUS,"Completed")),B151&amp;"|Latest","")</f>
        <v/>
      </c>
      <c r="S151" s="54" t="str">
        <f aca="false">IF(A151="","",IF(COUNTIF(MON_ID,A151)&gt;1,"CHECK: duplicate ID",IF(B151="","CHECK: Supplier ID missing",IF(COUNTIF(INV_ID,B151)=0,"CHECK: Supplier ID not in inventory","OK"))))</f>
        <v/>
      </c>
    </row>
    <row r="152" customFormat="false" ht="15" hidden="false" customHeight="false" outlineLevel="0" collapsed="false">
      <c r="A152" s="50"/>
      <c r="B152" s="50"/>
      <c r="C152" s="59" t="str">
        <f aca="false">IF(B152="","",IFERROR(INDEX(INV_NAME,MATCH(B152,INV_ID,0)),"CHECK: Supplier ID not found"))</f>
        <v/>
      </c>
      <c r="D152" s="34"/>
      <c r="E152" s="51"/>
      <c r="F152" s="51"/>
      <c r="G152" s="34"/>
      <c r="H152" s="34"/>
      <c r="I152" s="34"/>
      <c r="J152" s="50"/>
      <c r="K152" s="50"/>
      <c r="L152" s="34"/>
      <c r="M152" s="50"/>
      <c r="N152" s="34"/>
      <c r="O152" s="50"/>
      <c r="P152" s="54" t="str">
        <f aca="false">IF(A152="","",IF(OR(I152="",NOT(ISNUMBER(J152)),NOT(ISNUMBER(K152))),"No KRI measured",IF(L152="Lower is worse",IF(J152&lt;K152,"Breach - threshold exceeded","Within threshold"),IF(J152&gt;K152,"Breach - threshold exceeded","Within threshold"))))</f>
        <v/>
      </c>
      <c r="Q152" s="54" t="str">
        <f aca="false">IF(A152="","",IF(OR(O152="Completed",O152="Cancelled"),"Closed",IF(AND(ISNUMBER(E152),E152&lt;AsOf),"Overdue - late review (no finding implied)","Scheduled")))</f>
        <v/>
      </c>
      <c r="R152" s="61" t="str">
        <f aca="false">IF(AND(O152="Completed",ISNUMBER(F152),E152=_xlfn.MAXIFS(MON_REVDATE,MON_SUP,B152,MON_STATUS,"Completed")),B152&amp;"|Latest","")</f>
        <v/>
      </c>
      <c r="S152" s="54" t="str">
        <f aca="false">IF(A152="","",IF(COUNTIF(MON_ID,A152)&gt;1,"CHECK: duplicate ID",IF(B152="","CHECK: Supplier ID missing",IF(COUNTIF(INV_ID,B152)=0,"CHECK: Supplier ID not in inventory","OK"))))</f>
        <v/>
      </c>
    </row>
    <row r="153" customFormat="false" ht="15" hidden="false" customHeight="false" outlineLevel="0" collapsed="false">
      <c r="A153" s="50"/>
      <c r="B153" s="50"/>
      <c r="C153" s="59" t="str">
        <f aca="false">IF(B153="","",IFERROR(INDEX(INV_NAME,MATCH(B153,INV_ID,0)),"CHECK: Supplier ID not found"))</f>
        <v/>
      </c>
      <c r="D153" s="34"/>
      <c r="E153" s="51"/>
      <c r="F153" s="51"/>
      <c r="G153" s="34"/>
      <c r="H153" s="34"/>
      <c r="I153" s="34"/>
      <c r="J153" s="50"/>
      <c r="K153" s="50"/>
      <c r="L153" s="34"/>
      <c r="M153" s="50"/>
      <c r="N153" s="34"/>
      <c r="O153" s="50"/>
      <c r="P153" s="54" t="str">
        <f aca="false">IF(A153="","",IF(OR(I153="",NOT(ISNUMBER(J153)),NOT(ISNUMBER(K153))),"No KRI measured",IF(L153="Lower is worse",IF(J153&lt;K153,"Breach - threshold exceeded","Within threshold"),IF(J153&gt;K153,"Breach - threshold exceeded","Within threshold"))))</f>
        <v/>
      </c>
      <c r="Q153" s="54" t="str">
        <f aca="false">IF(A153="","",IF(OR(O153="Completed",O153="Cancelled"),"Closed",IF(AND(ISNUMBER(E153),E153&lt;AsOf),"Overdue - late review (no finding implied)","Scheduled")))</f>
        <v/>
      </c>
      <c r="R153" s="61" t="str">
        <f aca="false">IF(AND(O153="Completed",ISNUMBER(F153),E153=_xlfn.MAXIFS(MON_REVDATE,MON_SUP,B153,MON_STATUS,"Completed")),B153&amp;"|Latest","")</f>
        <v/>
      </c>
      <c r="S153" s="54" t="str">
        <f aca="false">IF(A153="","",IF(COUNTIF(MON_ID,A153)&gt;1,"CHECK: duplicate ID",IF(B153="","CHECK: Supplier ID missing",IF(COUNTIF(INV_ID,B153)=0,"CHECK: Supplier ID not in inventory","OK"))))</f>
        <v/>
      </c>
    </row>
    <row r="154" customFormat="false" ht="15" hidden="false" customHeight="false" outlineLevel="0" collapsed="false">
      <c r="A154" s="50"/>
      <c r="B154" s="50"/>
      <c r="C154" s="59" t="str">
        <f aca="false">IF(B154="","",IFERROR(INDEX(INV_NAME,MATCH(B154,INV_ID,0)),"CHECK: Supplier ID not found"))</f>
        <v/>
      </c>
      <c r="D154" s="34"/>
      <c r="E154" s="51"/>
      <c r="F154" s="51"/>
      <c r="G154" s="34"/>
      <c r="H154" s="34"/>
      <c r="I154" s="34"/>
      <c r="J154" s="50"/>
      <c r="K154" s="50"/>
      <c r="L154" s="34"/>
      <c r="M154" s="50"/>
      <c r="N154" s="34"/>
      <c r="O154" s="50"/>
      <c r="P154" s="54" t="str">
        <f aca="false">IF(A154="","",IF(OR(I154="",NOT(ISNUMBER(J154)),NOT(ISNUMBER(K154))),"No KRI measured",IF(L154="Lower is worse",IF(J154&lt;K154,"Breach - threshold exceeded","Within threshold"),IF(J154&gt;K154,"Breach - threshold exceeded","Within threshold"))))</f>
        <v/>
      </c>
      <c r="Q154" s="54" t="str">
        <f aca="false">IF(A154="","",IF(OR(O154="Completed",O154="Cancelled"),"Closed",IF(AND(ISNUMBER(E154),E154&lt;AsOf),"Overdue - late review (no finding implied)","Scheduled")))</f>
        <v/>
      </c>
      <c r="R154" s="61" t="str">
        <f aca="false">IF(AND(O154="Completed",ISNUMBER(F154),E154=_xlfn.MAXIFS(MON_REVDATE,MON_SUP,B154,MON_STATUS,"Completed")),B154&amp;"|Latest","")</f>
        <v/>
      </c>
      <c r="S154" s="54" t="str">
        <f aca="false">IF(A154="","",IF(COUNTIF(MON_ID,A154)&gt;1,"CHECK: duplicate ID",IF(B154="","CHECK: Supplier ID missing",IF(COUNTIF(INV_ID,B154)=0,"CHECK: Supplier ID not in inventory","OK"))))</f>
        <v/>
      </c>
    </row>
    <row r="155" customFormat="false" ht="15" hidden="false" customHeight="false" outlineLevel="0" collapsed="false">
      <c r="A155" s="50"/>
      <c r="B155" s="50"/>
      <c r="C155" s="59" t="str">
        <f aca="false">IF(B155="","",IFERROR(INDEX(INV_NAME,MATCH(B155,INV_ID,0)),"CHECK: Supplier ID not found"))</f>
        <v/>
      </c>
      <c r="D155" s="34"/>
      <c r="E155" s="51"/>
      <c r="F155" s="51"/>
      <c r="G155" s="34"/>
      <c r="H155" s="34"/>
      <c r="I155" s="34"/>
      <c r="J155" s="50"/>
      <c r="K155" s="50"/>
      <c r="L155" s="34"/>
      <c r="M155" s="50"/>
      <c r="N155" s="34"/>
      <c r="O155" s="50"/>
      <c r="P155" s="54" t="str">
        <f aca="false">IF(A155="","",IF(OR(I155="",NOT(ISNUMBER(J155)),NOT(ISNUMBER(K155))),"No KRI measured",IF(L155="Lower is worse",IF(J155&lt;K155,"Breach - threshold exceeded","Within threshold"),IF(J155&gt;K155,"Breach - threshold exceeded","Within threshold"))))</f>
        <v/>
      </c>
      <c r="Q155" s="54" t="str">
        <f aca="false">IF(A155="","",IF(OR(O155="Completed",O155="Cancelled"),"Closed",IF(AND(ISNUMBER(E155),E155&lt;AsOf),"Overdue - late review (no finding implied)","Scheduled")))</f>
        <v/>
      </c>
      <c r="R155" s="61" t="str">
        <f aca="false">IF(AND(O155="Completed",ISNUMBER(F155),E155=_xlfn.MAXIFS(MON_REVDATE,MON_SUP,B155,MON_STATUS,"Completed")),B155&amp;"|Latest","")</f>
        <v/>
      </c>
      <c r="S155" s="54" t="str">
        <f aca="false">IF(A155="","",IF(COUNTIF(MON_ID,A155)&gt;1,"CHECK: duplicate ID",IF(B155="","CHECK: Supplier ID missing",IF(COUNTIF(INV_ID,B155)=0,"CHECK: Supplier ID not in inventory","OK"))))</f>
        <v/>
      </c>
    </row>
    <row r="156" customFormat="false" ht="15" hidden="false" customHeight="false" outlineLevel="0" collapsed="false">
      <c r="A156" s="50"/>
      <c r="B156" s="50"/>
      <c r="C156" s="59" t="str">
        <f aca="false">IF(B156="","",IFERROR(INDEX(INV_NAME,MATCH(B156,INV_ID,0)),"CHECK: Supplier ID not found"))</f>
        <v/>
      </c>
      <c r="D156" s="34"/>
      <c r="E156" s="51"/>
      <c r="F156" s="51"/>
      <c r="G156" s="34"/>
      <c r="H156" s="34"/>
      <c r="I156" s="34"/>
      <c r="J156" s="50"/>
      <c r="K156" s="50"/>
      <c r="L156" s="34"/>
      <c r="M156" s="50"/>
      <c r="N156" s="34"/>
      <c r="O156" s="50"/>
      <c r="P156" s="54" t="str">
        <f aca="false">IF(A156="","",IF(OR(I156="",NOT(ISNUMBER(J156)),NOT(ISNUMBER(K156))),"No KRI measured",IF(L156="Lower is worse",IF(J156&lt;K156,"Breach - threshold exceeded","Within threshold"),IF(J156&gt;K156,"Breach - threshold exceeded","Within threshold"))))</f>
        <v/>
      </c>
      <c r="Q156" s="54" t="str">
        <f aca="false">IF(A156="","",IF(OR(O156="Completed",O156="Cancelled"),"Closed",IF(AND(ISNUMBER(E156),E156&lt;AsOf),"Overdue - late review (no finding implied)","Scheduled")))</f>
        <v/>
      </c>
      <c r="R156" s="61" t="str">
        <f aca="false">IF(AND(O156="Completed",ISNUMBER(F156),E156=_xlfn.MAXIFS(MON_REVDATE,MON_SUP,B156,MON_STATUS,"Completed")),B156&amp;"|Latest","")</f>
        <v/>
      </c>
      <c r="S156" s="54" t="str">
        <f aca="false">IF(A156="","",IF(COUNTIF(MON_ID,A156)&gt;1,"CHECK: duplicate ID",IF(B156="","CHECK: Supplier ID missing",IF(COUNTIF(INV_ID,B156)=0,"CHECK: Supplier ID not in inventory","OK"))))</f>
        <v/>
      </c>
    </row>
    <row r="157" customFormat="false" ht="15" hidden="false" customHeight="false" outlineLevel="0" collapsed="false">
      <c r="A157" s="50"/>
      <c r="B157" s="50"/>
      <c r="C157" s="59" t="str">
        <f aca="false">IF(B157="","",IFERROR(INDEX(INV_NAME,MATCH(B157,INV_ID,0)),"CHECK: Supplier ID not found"))</f>
        <v/>
      </c>
      <c r="D157" s="34"/>
      <c r="E157" s="51"/>
      <c r="F157" s="51"/>
      <c r="G157" s="34"/>
      <c r="H157" s="34"/>
      <c r="I157" s="34"/>
      <c r="J157" s="50"/>
      <c r="K157" s="50"/>
      <c r="L157" s="34"/>
      <c r="M157" s="50"/>
      <c r="N157" s="34"/>
      <c r="O157" s="50"/>
      <c r="P157" s="54" t="str">
        <f aca="false">IF(A157="","",IF(OR(I157="",NOT(ISNUMBER(J157)),NOT(ISNUMBER(K157))),"No KRI measured",IF(L157="Lower is worse",IF(J157&lt;K157,"Breach - threshold exceeded","Within threshold"),IF(J157&gt;K157,"Breach - threshold exceeded","Within threshold"))))</f>
        <v/>
      </c>
      <c r="Q157" s="54" t="str">
        <f aca="false">IF(A157="","",IF(OR(O157="Completed",O157="Cancelled"),"Closed",IF(AND(ISNUMBER(E157),E157&lt;AsOf),"Overdue - late review (no finding implied)","Scheduled")))</f>
        <v/>
      </c>
      <c r="R157" s="61" t="str">
        <f aca="false">IF(AND(O157="Completed",ISNUMBER(F157),E157=_xlfn.MAXIFS(MON_REVDATE,MON_SUP,B157,MON_STATUS,"Completed")),B157&amp;"|Latest","")</f>
        <v/>
      </c>
      <c r="S157" s="54" t="str">
        <f aca="false">IF(A157="","",IF(COUNTIF(MON_ID,A157)&gt;1,"CHECK: duplicate ID",IF(B157="","CHECK: Supplier ID missing",IF(COUNTIF(INV_ID,B157)=0,"CHECK: Supplier ID not in inventory","OK"))))</f>
        <v/>
      </c>
    </row>
    <row r="158" customFormat="false" ht="15" hidden="false" customHeight="false" outlineLevel="0" collapsed="false">
      <c r="A158" s="50"/>
      <c r="B158" s="50"/>
      <c r="C158" s="59" t="str">
        <f aca="false">IF(B158="","",IFERROR(INDEX(INV_NAME,MATCH(B158,INV_ID,0)),"CHECK: Supplier ID not found"))</f>
        <v/>
      </c>
      <c r="D158" s="34"/>
      <c r="E158" s="51"/>
      <c r="F158" s="51"/>
      <c r="G158" s="34"/>
      <c r="H158" s="34"/>
      <c r="I158" s="34"/>
      <c r="J158" s="50"/>
      <c r="K158" s="50"/>
      <c r="L158" s="34"/>
      <c r="M158" s="50"/>
      <c r="N158" s="34"/>
      <c r="O158" s="50"/>
      <c r="P158" s="54" t="str">
        <f aca="false">IF(A158="","",IF(OR(I158="",NOT(ISNUMBER(J158)),NOT(ISNUMBER(K158))),"No KRI measured",IF(L158="Lower is worse",IF(J158&lt;K158,"Breach - threshold exceeded","Within threshold"),IF(J158&gt;K158,"Breach - threshold exceeded","Within threshold"))))</f>
        <v/>
      </c>
      <c r="Q158" s="54" t="str">
        <f aca="false">IF(A158="","",IF(OR(O158="Completed",O158="Cancelled"),"Closed",IF(AND(ISNUMBER(E158),E158&lt;AsOf),"Overdue - late review (no finding implied)","Scheduled")))</f>
        <v/>
      </c>
      <c r="R158" s="61" t="str">
        <f aca="false">IF(AND(O158="Completed",ISNUMBER(F158),E158=_xlfn.MAXIFS(MON_REVDATE,MON_SUP,B158,MON_STATUS,"Completed")),B158&amp;"|Latest","")</f>
        <v/>
      </c>
      <c r="S158" s="54" t="str">
        <f aca="false">IF(A158="","",IF(COUNTIF(MON_ID,A158)&gt;1,"CHECK: duplicate ID",IF(B158="","CHECK: Supplier ID missing",IF(COUNTIF(INV_ID,B158)=0,"CHECK: Supplier ID not in inventory","OK"))))</f>
        <v/>
      </c>
    </row>
    <row r="159" customFormat="false" ht="15" hidden="false" customHeight="false" outlineLevel="0" collapsed="false">
      <c r="A159" s="50"/>
      <c r="B159" s="50"/>
      <c r="C159" s="59" t="str">
        <f aca="false">IF(B159="","",IFERROR(INDEX(INV_NAME,MATCH(B159,INV_ID,0)),"CHECK: Supplier ID not found"))</f>
        <v/>
      </c>
      <c r="D159" s="34"/>
      <c r="E159" s="51"/>
      <c r="F159" s="51"/>
      <c r="G159" s="34"/>
      <c r="H159" s="34"/>
      <c r="I159" s="34"/>
      <c r="J159" s="50"/>
      <c r="K159" s="50"/>
      <c r="L159" s="34"/>
      <c r="M159" s="50"/>
      <c r="N159" s="34"/>
      <c r="O159" s="50"/>
      <c r="P159" s="54" t="str">
        <f aca="false">IF(A159="","",IF(OR(I159="",NOT(ISNUMBER(J159)),NOT(ISNUMBER(K159))),"No KRI measured",IF(L159="Lower is worse",IF(J159&lt;K159,"Breach - threshold exceeded","Within threshold"),IF(J159&gt;K159,"Breach - threshold exceeded","Within threshold"))))</f>
        <v/>
      </c>
      <c r="Q159" s="54" t="str">
        <f aca="false">IF(A159="","",IF(OR(O159="Completed",O159="Cancelled"),"Closed",IF(AND(ISNUMBER(E159),E159&lt;AsOf),"Overdue - late review (no finding implied)","Scheduled")))</f>
        <v/>
      </c>
      <c r="R159" s="61" t="str">
        <f aca="false">IF(AND(O159="Completed",ISNUMBER(F159),E159=_xlfn.MAXIFS(MON_REVDATE,MON_SUP,B159,MON_STATUS,"Completed")),B159&amp;"|Latest","")</f>
        <v/>
      </c>
      <c r="S159" s="54" t="str">
        <f aca="false">IF(A159="","",IF(COUNTIF(MON_ID,A159)&gt;1,"CHECK: duplicate ID",IF(B159="","CHECK: Supplier ID missing",IF(COUNTIF(INV_ID,B159)=0,"CHECK: Supplier ID not in inventory","OK"))))</f>
        <v/>
      </c>
    </row>
    <row r="160" customFormat="false" ht="15" hidden="false" customHeight="false" outlineLevel="0" collapsed="false">
      <c r="A160" s="50"/>
      <c r="B160" s="50"/>
      <c r="C160" s="59" t="str">
        <f aca="false">IF(B160="","",IFERROR(INDEX(INV_NAME,MATCH(B160,INV_ID,0)),"CHECK: Supplier ID not found"))</f>
        <v/>
      </c>
      <c r="D160" s="34"/>
      <c r="E160" s="51"/>
      <c r="F160" s="51"/>
      <c r="G160" s="34"/>
      <c r="H160" s="34"/>
      <c r="I160" s="34"/>
      <c r="J160" s="50"/>
      <c r="K160" s="50"/>
      <c r="L160" s="34"/>
      <c r="M160" s="50"/>
      <c r="N160" s="34"/>
      <c r="O160" s="50"/>
      <c r="P160" s="54" t="str">
        <f aca="false">IF(A160="","",IF(OR(I160="",NOT(ISNUMBER(J160)),NOT(ISNUMBER(K160))),"No KRI measured",IF(L160="Lower is worse",IF(J160&lt;K160,"Breach - threshold exceeded","Within threshold"),IF(J160&gt;K160,"Breach - threshold exceeded","Within threshold"))))</f>
        <v/>
      </c>
      <c r="Q160" s="54" t="str">
        <f aca="false">IF(A160="","",IF(OR(O160="Completed",O160="Cancelled"),"Closed",IF(AND(ISNUMBER(E160),E160&lt;AsOf),"Overdue - late review (no finding implied)","Scheduled")))</f>
        <v/>
      </c>
      <c r="R160" s="61" t="str">
        <f aca="false">IF(AND(O160="Completed",ISNUMBER(F160),E160=_xlfn.MAXIFS(MON_REVDATE,MON_SUP,B160,MON_STATUS,"Completed")),B160&amp;"|Latest","")</f>
        <v/>
      </c>
      <c r="S160" s="54" t="str">
        <f aca="false">IF(A160="","",IF(COUNTIF(MON_ID,A160)&gt;1,"CHECK: duplicate ID",IF(B160="","CHECK: Supplier ID missing",IF(COUNTIF(INV_ID,B160)=0,"CHECK: Supplier ID not in inventory","OK"))))</f>
        <v/>
      </c>
    </row>
    <row r="161" customFormat="false" ht="15" hidden="false" customHeight="false" outlineLevel="0" collapsed="false">
      <c r="A161" s="50"/>
      <c r="B161" s="50"/>
      <c r="C161" s="59" t="str">
        <f aca="false">IF(B161="","",IFERROR(INDEX(INV_NAME,MATCH(B161,INV_ID,0)),"CHECK: Supplier ID not found"))</f>
        <v/>
      </c>
      <c r="D161" s="34"/>
      <c r="E161" s="51"/>
      <c r="F161" s="51"/>
      <c r="G161" s="34"/>
      <c r="H161" s="34"/>
      <c r="I161" s="34"/>
      <c r="J161" s="50"/>
      <c r="K161" s="50"/>
      <c r="L161" s="34"/>
      <c r="M161" s="50"/>
      <c r="N161" s="34"/>
      <c r="O161" s="50"/>
      <c r="P161" s="54" t="str">
        <f aca="false">IF(A161="","",IF(OR(I161="",NOT(ISNUMBER(J161)),NOT(ISNUMBER(K161))),"No KRI measured",IF(L161="Lower is worse",IF(J161&lt;K161,"Breach - threshold exceeded","Within threshold"),IF(J161&gt;K161,"Breach - threshold exceeded","Within threshold"))))</f>
        <v/>
      </c>
      <c r="Q161" s="54" t="str">
        <f aca="false">IF(A161="","",IF(OR(O161="Completed",O161="Cancelled"),"Closed",IF(AND(ISNUMBER(E161),E161&lt;AsOf),"Overdue - late review (no finding implied)","Scheduled")))</f>
        <v/>
      </c>
      <c r="R161" s="61" t="str">
        <f aca="false">IF(AND(O161="Completed",ISNUMBER(F161),E161=_xlfn.MAXIFS(MON_REVDATE,MON_SUP,B161,MON_STATUS,"Completed")),B161&amp;"|Latest","")</f>
        <v/>
      </c>
      <c r="S161" s="54" t="str">
        <f aca="false">IF(A161="","",IF(COUNTIF(MON_ID,A161)&gt;1,"CHECK: duplicate ID",IF(B161="","CHECK: Supplier ID missing",IF(COUNTIF(INV_ID,B161)=0,"CHECK: Supplier ID not in inventory","OK"))))</f>
        <v/>
      </c>
    </row>
    <row r="162" customFormat="false" ht="15" hidden="false" customHeight="false" outlineLevel="0" collapsed="false">
      <c r="A162" s="50"/>
      <c r="B162" s="50"/>
      <c r="C162" s="59" t="str">
        <f aca="false">IF(B162="","",IFERROR(INDEX(INV_NAME,MATCH(B162,INV_ID,0)),"CHECK: Supplier ID not found"))</f>
        <v/>
      </c>
      <c r="D162" s="34"/>
      <c r="E162" s="51"/>
      <c r="F162" s="51"/>
      <c r="G162" s="34"/>
      <c r="H162" s="34"/>
      <c r="I162" s="34"/>
      <c r="J162" s="50"/>
      <c r="K162" s="50"/>
      <c r="L162" s="34"/>
      <c r="M162" s="50"/>
      <c r="N162" s="34"/>
      <c r="O162" s="50"/>
      <c r="P162" s="54" t="str">
        <f aca="false">IF(A162="","",IF(OR(I162="",NOT(ISNUMBER(J162)),NOT(ISNUMBER(K162))),"No KRI measured",IF(L162="Lower is worse",IF(J162&lt;K162,"Breach - threshold exceeded","Within threshold"),IF(J162&gt;K162,"Breach - threshold exceeded","Within threshold"))))</f>
        <v/>
      </c>
      <c r="Q162" s="54" t="str">
        <f aca="false">IF(A162="","",IF(OR(O162="Completed",O162="Cancelled"),"Closed",IF(AND(ISNUMBER(E162),E162&lt;AsOf),"Overdue - late review (no finding implied)","Scheduled")))</f>
        <v/>
      </c>
      <c r="R162" s="61" t="str">
        <f aca="false">IF(AND(O162="Completed",ISNUMBER(F162),E162=_xlfn.MAXIFS(MON_REVDATE,MON_SUP,B162,MON_STATUS,"Completed")),B162&amp;"|Latest","")</f>
        <v/>
      </c>
      <c r="S162" s="54" t="str">
        <f aca="false">IF(A162="","",IF(COUNTIF(MON_ID,A162)&gt;1,"CHECK: duplicate ID",IF(B162="","CHECK: Supplier ID missing",IF(COUNTIF(INV_ID,B162)=0,"CHECK: Supplier ID not in inventory","OK"))))</f>
        <v/>
      </c>
    </row>
    <row r="163" customFormat="false" ht="15" hidden="false" customHeight="false" outlineLevel="0" collapsed="false">
      <c r="A163" s="50"/>
      <c r="B163" s="50"/>
      <c r="C163" s="59" t="str">
        <f aca="false">IF(B163="","",IFERROR(INDEX(INV_NAME,MATCH(B163,INV_ID,0)),"CHECK: Supplier ID not found"))</f>
        <v/>
      </c>
      <c r="D163" s="34"/>
      <c r="E163" s="51"/>
      <c r="F163" s="51"/>
      <c r="G163" s="34"/>
      <c r="H163" s="34"/>
      <c r="I163" s="34"/>
      <c r="J163" s="50"/>
      <c r="K163" s="50"/>
      <c r="L163" s="34"/>
      <c r="M163" s="50"/>
      <c r="N163" s="34"/>
      <c r="O163" s="50"/>
      <c r="P163" s="54" t="str">
        <f aca="false">IF(A163="","",IF(OR(I163="",NOT(ISNUMBER(J163)),NOT(ISNUMBER(K163))),"No KRI measured",IF(L163="Lower is worse",IF(J163&lt;K163,"Breach - threshold exceeded","Within threshold"),IF(J163&gt;K163,"Breach - threshold exceeded","Within threshold"))))</f>
        <v/>
      </c>
      <c r="Q163" s="54" t="str">
        <f aca="false">IF(A163="","",IF(OR(O163="Completed",O163="Cancelled"),"Closed",IF(AND(ISNUMBER(E163),E163&lt;AsOf),"Overdue - late review (no finding implied)","Scheduled")))</f>
        <v/>
      </c>
      <c r="R163" s="61" t="str">
        <f aca="false">IF(AND(O163="Completed",ISNUMBER(F163),E163=_xlfn.MAXIFS(MON_REVDATE,MON_SUP,B163,MON_STATUS,"Completed")),B163&amp;"|Latest","")</f>
        <v/>
      </c>
      <c r="S163" s="54" t="str">
        <f aca="false">IF(A163="","",IF(COUNTIF(MON_ID,A163)&gt;1,"CHECK: duplicate ID",IF(B163="","CHECK: Supplier ID missing",IF(COUNTIF(INV_ID,B163)=0,"CHECK: Supplier ID not in inventory","OK"))))</f>
        <v/>
      </c>
    </row>
    <row r="164" customFormat="false" ht="15" hidden="false" customHeight="false" outlineLevel="0" collapsed="false">
      <c r="A164" s="50"/>
      <c r="B164" s="50"/>
      <c r="C164" s="59" t="str">
        <f aca="false">IF(B164="","",IFERROR(INDEX(INV_NAME,MATCH(B164,INV_ID,0)),"CHECK: Supplier ID not found"))</f>
        <v/>
      </c>
      <c r="D164" s="34"/>
      <c r="E164" s="51"/>
      <c r="F164" s="51"/>
      <c r="G164" s="34"/>
      <c r="H164" s="34"/>
      <c r="I164" s="34"/>
      <c r="J164" s="50"/>
      <c r="K164" s="50"/>
      <c r="L164" s="34"/>
      <c r="M164" s="50"/>
      <c r="N164" s="34"/>
      <c r="O164" s="50"/>
      <c r="P164" s="54" t="str">
        <f aca="false">IF(A164="","",IF(OR(I164="",NOT(ISNUMBER(J164)),NOT(ISNUMBER(K164))),"No KRI measured",IF(L164="Lower is worse",IF(J164&lt;K164,"Breach - threshold exceeded","Within threshold"),IF(J164&gt;K164,"Breach - threshold exceeded","Within threshold"))))</f>
        <v/>
      </c>
      <c r="Q164" s="54" t="str">
        <f aca="false">IF(A164="","",IF(OR(O164="Completed",O164="Cancelled"),"Closed",IF(AND(ISNUMBER(E164),E164&lt;AsOf),"Overdue - late review (no finding implied)","Scheduled")))</f>
        <v/>
      </c>
      <c r="R164" s="61" t="str">
        <f aca="false">IF(AND(O164="Completed",ISNUMBER(F164),E164=_xlfn.MAXIFS(MON_REVDATE,MON_SUP,B164,MON_STATUS,"Completed")),B164&amp;"|Latest","")</f>
        <v/>
      </c>
      <c r="S164" s="54" t="str">
        <f aca="false">IF(A164="","",IF(COUNTIF(MON_ID,A164)&gt;1,"CHECK: duplicate ID",IF(B164="","CHECK: Supplier ID missing",IF(COUNTIF(INV_ID,B164)=0,"CHECK: Supplier ID not in inventory","OK"))))</f>
        <v/>
      </c>
    </row>
    <row r="165" customFormat="false" ht="15" hidden="false" customHeight="false" outlineLevel="0" collapsed="false">
      <c r="A165" s="50"/>
      <c r="B165" s="50"/>
      <c r="C165" s="59" t="str">
        <f aca="false">IF(B165="","",IFERROR(INDEX(INV_NAME,MATCH(B165,INV_ID,0)),"CHECK: Supplier ID not found"))</f>
        <v/>
      </c>
      <c r="D165" s="34"/>
      <c r="E165" s="51"/>
      <c r="F165" s="51"/>
      <c r="G165" s="34"/>
      <c r="H165" s="34"/>
      <c r="I165" s="34"/>
      <c r="J165" s="50"/>
      <c r="K165" s="50"/>
      <c r="L165" s="34"/>
      <c r="M165" s="50"/>
      <c r="N165" s="34"/>
      <c r="O165" s="50"/>
      <c r="P165" s="54" t="str">
        <f aca="false">IF(A165="","",IF(OR(I165="",NOT(ISNUMBER(J165)),NOT(ISNUMBER(K165))),"No KRI measured",IF(L165="Lower is worse",IF(J165&lt;K165,"Breach - threshold exceeded","Within threshold"),IF(J165&gt;K165,"Breach - threshold exceeded","Within threshold"))))</f>
        <v/>
      </c>
      <c r="Q165" s="54" t="str">
        <f aca="false">IF(A165="","",IF(OR(O165="Completed",O165="Cancelled"),"Closed",IF(AND(ISNUMBER(E165),E165&lt;AsOf),"Overdue - late review (no finding implied)","Scheduled")))</f>
        <v/>
      </c>
      <c r="R165" s="61" t="str">
        <f aca="false">IF(AND(O165="Completed",ISNUMBER(F165),E165=_xlfn.MAXIFS(MON_REVDATE,MON_SUP,B165,MON_STATUS,"Completed")),B165&amp;"|Latest","")</f>
        <v/>
      </c>
      <c r="S165" s="54" t="str">
        <f aca="false">IF(A165="","",IF(COUNTIF(MON_ID,A165)&gt;1,"CHECK: duplicate ID",IF(B165="","CHECK: Supplier ID missing",IF(COUNTIF(INV_ID,B165)=0,"CHECK: Supplier ID not in inventory","OK"))))</f>
        <v/>
      </c>
    </row>
    <row r="166" customFormat="false" ht="15" hidden="false" customHeight="false" outlineLevel="0" collapsed="false">
      <c r="A166" s="50"/>
      <c r="B166" s="50"/>
      <c r="C166" s="59" t="str">
        <f aca="false">IF(B166="","",IFERROR(INDEX(INV_NAME,MATCH(B166,INV_ID,0)),"CHECK: Supplier ID not found"))</f>
        <v/>
      </c>
      <c r="D166" s="34"/>
      <c r="E166" s="51"/>
      <c r="F166" s="51"/>
      <c r="G166" s="34"/>
      <c r="H166" s="34"/>
      <c r="I166" s="34"/>
      <c r="J166" s="50"/>
      <c r="K166" s="50"/>
      <c r="L166" s="34"/>
      <c r="M166" s="50"/>
      <c r="N166" s="34"/>
      <c r="O166" s="50"/>
      <c r="P166" s="54" t="str">
        <f aca="false">IF(A166="","",IF(OR(I166="",NOT(ISNUMBER(J166)),NOT(ISNUMBER(K166))),"No KRI measured",IF(L166="Lower is worse",IF(J166&lt;K166,"Breach - threshold exceeded","Within threshold"),IF(J166&gt;K166,"Breach - threshold exceeded","Within threshold"))))</f>
        <v/>
      </c>
      <c r="Q166" s="54" t="str">
        <f aca="false">IF(A166="","",IF(OR(O166="Completed",O166="Cancelled"),"Closed",IF(AND(ISNUMBER(E166),E166&lt;AsOf),"Overdue - late review (no finding implied)","Scheduled")))</f>
        <v/>
      </c>
      <c r="R166" s="61" t="str">
        <f aca="false">IF(AND(O166="Completed",ISNUMBER(F166),E166=_xlfn.MAXIFS(MON_REVDATE,MON_SUP,B166,MON_STATUS,"Completed")),B166&amp;"|Latest","")</f>
        <v/>
      </c>
      <c r="S166" s="54" t="str">
        <f aca="false">IF(A166="","",IF(COUNTIF(MON_ID,A166)&gt;1,"CHECK: duplicate ID",IF(B166="","CHECK: Supplier ID missing",IF(COUNTIF(INV_ID,B166)=0,"CHECK: Supplier ID not in inventory","OK"))))</f>
        <v/>
      </c>
    </row>
    <row r="167" customFormat="false" ht="15" hidden="false" customHeight="false" outlineLevel="0" collapsed="false">
      <c r="A167" s="50"/>
      <c r="B167" s="50"/>
      <c r="C167" s="59" t="str">
        <f aca="false">IF(B167="","",IFERROR(INDEX(INV_NAME,MATCH(B167,INV_ID,0)),"CHECK: Supplier ID not found"))</f>
        <v/>
      </c>
      <c r="D167" s="34"/>
      <c r="E167" s="51"/>
      <c r="F167" s="51"/>
      <c r="G167" s="34"/>
      <c r="H167" s="34"/>
      <c r="I167" s="34"/>
      <c r="J167" s="50"/>
      <c r="K167" s="50"/>
      <c r="L167" s="34"/>
      <c r="M167" s="50"/>
      <c r="N167" s="34"/>
      <c r="O167" s="50"/>
      <c r="P167" s="54" t="str">
        <f aca="false">IF(A167="","",IF(OR(I167="",NOT(ISNUMBER(J167)),NOT(ISNUMBER(K167))),"No KRI measured",IF(L167="Lower is worse",IF(J167&lt;K167,"Breach - threshold exceeded","Within threshold"),IF(J167&gt;K167,"Breach - threshold exceeded","Within threshold"))))</f>
        <v/>
      </c>
      <c r="Q167" s="54" t="str">
        <f aca="false">IF(A167="","",IF(OR(O167="Completed",O167="Cancelled"),"Closed",IF(AND(ISNUMBER(E167),E167&lt;AsOf),"Overdue - late review (no finding implied)","Scheduled")))</f>
        <v/>
      </c>
      <c r="R167" s="61" t="str">
        <f aca="false">IF(AND(O167="Completed",ISNUMBER(F167),E167=_xlfn.MAXIFS(MON_REVDATE,MON_SUP,B167,MON_STATUS,"Completed")),B167&amp;"|Latest","")</f>
        <v/>
      </c>
      <c r="S167" s="54" t="str">
        <f aca="false">IF(A167="","",IF(COUNTIF(MON_ID,A167)&gt;1,"CHECK: duplicate ID",IF(B167="","CHECK: Supplier ID missing",IF(COUNTIF(INV_ID,B167)=0,"CHECK: Supplier ID not in inventory","OK"))))</f>
        <v/>
      </c>
    </row>
    <row r="168" customFormat="false" ht="15" hidden="false" customHeight="false" outlineLevel="0" collapsed="false">
      <c r="A168" s="50"/>
      <c r="B168" s="50"/>
      <c r="C168" s="59" t="str">
        <f aca="false">IF(B168="","",IFERROR(INDEX(INV_NAME,MATCH(B168,INV_ID,0)),"CHECK: Supplier ID not found"))</f>
        <v/>
      </c>
      <c r="D168" s="34"/>
      <c r="E168" s="51"/>
      <c r="F168" s="51"/>
      <c r="G168" s="34"/>
      <c r="H168" s="34"/>
      <c r="I168" s="34"/>
      <c r="J168" s="50"/>
      <c r="K168" s="50"/>
      <c r="L168" s="34"/>
      <c r="M168" s="50"/>
      <c r="N168" s="34"/>
      <c r="O168" s="50"/>
      <c r="P168" s="54" t="str">
        <f aca="false">IF(A168="","",IF(OR(I168="",NOT(ISNUMBER(J168)),NOT(ISNUMBER(K168))),"No KRI measured",IF(L168="Lower is worse",IF(J168&lt;K168,"Breach - threshold exceeded","Within threshold"),IF(J168&gt;K168,"Breach - threshold exceeded","Within threshold"))))</f>
        <v/>
      </c>
      <c r="Q168" s="54" t="str">
        <f aca="false">IF(A168="","",IF(OR(O168="Completed",O168="Cancelled"),"Closed",IF(AND(ISNUMBER(E168),E168&lt;AsOf),"Overdue - late review (no finding implied)","Scheduled")))</f>
        <v/>
      </c>
      <c r="R168" s="61" t="str">
        <f aca="false">IF(AND(O168="Completed",ISNUMBER(F168),E168=_xlfn.MAXIFS(MON_REVDATE,MON_SUP,B168,MON_STATUS,"Completed")),B168&amp;"|Latest","")</f>
        <v/>
      </c>
      <c r="S168" s="54" t="str">
        <f aca="false">IF(A168="","",IF(COUNTIF(MON_ID,A168)&gt;1,"CHECK: duplicate ID",IF(B168="","CHECK: Supplier ID missing",IF(COUNTIF(INV_ID,B168)=0,"CHECK: Supplier ID not in inventory","OK"))))</f>
        <v/>
      </c>
    </row>
    <row r="169" customFormat="false" ht="15" hidden="false" customHeight="false" outlineLevel="0" collapsed="false">
      <c r="A169" s="50"/>
      <c r="B169" s="50"/>
      <c r="C169" s="59" t="str">
        <f aca="false">IF(B169="","",IFERROR(INDEX(INV_NAME,MATCH(B169,INV_ID,0)),"CHECK: Supplier ID not found"))</f>
        <v/>
      </c>
      <c r="D169" s="34"/>
      <c r="E169" s="51"/>
      <c r="F169" s="51"/>
      <c r="G169" s="34"/>
      <c r="H169" s="34"/>
      <c r="I169" s="34"/>
      <c r="J169" s="50"/>
      <c r="K169" s="50"/>
      <c r="L169" s="34"/>
      <c r="M169" s="50"/>
      <c r="N169" s="34"/>
      <c r="O169" s="50"/>
      <c r="P169" s="54" t="str">
        <f aca="false">IF(A169="","",IF(OR(I169="",NOT(ISNUMBER(J169)),NOT(ISNUMBER(K169))),"No KRI measured",IF(L169="Lower is worse",IF(J169&lt;K169,"Breach - threshold exceeded","Within threshold"),IF(J169&gt;K169,"Breach - threshold exceeded","Within threshold"))))</f>
        <v/>
      </c>
      <c r="Q169" s="54" t="str">
        <f aca="false">IF(A169="","",IF(OR(O169="Completed",O169="Cancelled"),"Closed",IF(AND(ISNUMBER(E169),E169&lt;AsOf),"Overdue - late review (no finding implied)","Scheduled")))</f>
        <v/>
      </c>
      <c r="R169" s="61" t="str">
        <f aca="false">IF(AND(O169="Completed",ISNUMBER(F169),E169=_xlfn.MAXIFS(MON_REVDATE,MON_SUP,B169,MON_STATUS,"Completed")),B169&amp;"|Latest","")</f>
        <v/>
      </c>
      <c r="S169" s="54" t="str">
        <f aca="false">IF(A169="","",IF(COUNTIF(MON_ID,A169)&gt;1,"CHECK: duplicate ID",IF(B169="","CHECK: Supplier ID missing",IF(COUNTIF(INV_ID,B169)=0,"CHECK: Supplier ID not in inventory","OK"))))</f>
        <v/>
      </c>
    </row>
    <row r="170" customFormat="false" ht="15" hidden="false" customHeight="false" outlineLevel="0" collapsed="false">
      <c r="A170" s="50"/>
      <c r="B170" s="50"/>
      <c r="C170" s="59" t="str">
        <f aca="false">IF(B170="","",IFERROR(INDEX(INV_NAME,MATCH(B170,INV_ID,0)),"CHECK: Supplier ID not found"))</f>
        <v/>
      </c>
      <c r="D170" s="34"/>
      <c r="E170" s="51"/>
      <c r="F170" s="51"/>
      <c r="G170" s="34"/>
      <c r="H170" s="34"/>
      <c r="I170" s="34"/>
      <c r="J170" s="50"/>
      <c r="K170" s="50"/>
      <c r="L170" s="34"/>
      <c r="M170" s="50"/>
      <c r="N170" s="34"/>
      <c r="O170" s="50"/>
      <c r="P170" s="54" t="str">
        <f aca="false">IF(A170="","",IF(OR(I170="",NOT(ISNUMBER(J170)),NOT(ISNUMBER(K170))),"No KRI measured",IF(L170="Lower is worse",IF(J170&lt;K170,"Breach - threshold exceeded","Within threshold"),IF(J170&gt;K170,"Breach - threshold exceeded","Within threshold"))))</f>
        <v/>
      </c>
      <c r="Q170" s="54" t="str">
        <f aca="false">IF(A170="","",IF(OR(O170="Completed",O170="Cancelled"),"Closed",IF(AND(ISNUMBER(E170),E170&lt;AsOf),"Overdue - late review (no finding implied)","Scheduled")))</f>
        <v/>
      </c>
      <c r="R170" s="61" t="str">
        <f aca="false">IF(AND(O170="Completed",ISNUMBER(F170),E170=_xlfn.MAXIFS(MON_REVDATE,MON_SUP,B170,MON_STATUS,"Completed")),B170&amp;"|Latest","")</f>
        <v/>
      </c>
      <c r="S170" s="54" t="str">
        <f aca="false">IF(A170="","",IF(COUNTIF(MON_ID,A170)&gt;1,"CHECK: duplicate ID",IF(B170="","CHECK: Supplier ID missing",IF(COUNTIF(INV_ID,B170)=0,"CHECK: Supplier ID not in inventory","OK"))))</f>
        <v/>
      </c>
    </row>
    <row r="171" customFormat="false" ht="15" hidden="false" customHeight="false" outlineLevel="0" collapsed="false">
      <c r="A171" s="50"/>
      <c r="B171" s="50"/>
      <c r="C171" s="59" t="str">
        <f aca="false">IF(B171="","",IFERROR(INDEX(INV_NAME,MATCH(B171,INV_ID,0)),"CHECK: Supplier ID not found"))</f>
        <v/>
      </c>
      <c r="D171" s="34"/>
      <c r="E171" s="51"/>
      <c r="F171" s="51"/>
      <c r="G171" s="34"/>
      <c r="H171" s="34"/>
      <c r="I171" s="34"/>
      <c r="J171" s="50"/>
      <c r="K171" s="50"/>
      <c r="L171" s="34"/>
      <c r="M171" s="50"/>
      <c r="N171" s="34"/>
      <c r="O171" s="50"/>
      <c r="P171" s="54" t="str">
        <f aca="false">IF(A171="","",IF(OR(I171="",NOT(ISNUMBER(J171)),NOT(ISNUMBER(K171))),"No KRI measured",IF(L171="Lower is worse",IF(J171&lt;K171,"Breach - threshold exceeded","Within threshold"),IF(J171&gt;K171,"Breach - threshold exceeded","Within threshold"))))</f>
        <v/>
      </c>
      <c r="Q171" s="54" t="str">
        <f aca="false">IF(A171="","",IF(OR(O171="Completed",O171="Cancelled"),"Closed",IF(AND(ISNUMBER(E171),E171&lt;AsOf),"Overdue - late review (no finding implied)","Scheduled")))</f>
        <v/>
      </c>
      <c r="R171" s="61" t="str">
        <f aca="false">IF(AND(O171="Completed",ISNUMBER(F171),E171=_xlfn.MAXIFS(MON_REVDATE,MON_SUP,B171,MON_STATUS,"Completed")),B171&amp;"|Latest","")</f>
        <v/>
      </c>
      <c r="S171" s="54" t="str">
        <f aca="false">IF(A171="","",IF(COUNTIF(MON_ID,A171)&gt;1,"CHECK: duplicate ID",IF(B171="","CHECK: Supplier ID missing",IF(COUNTIF(INV_ID,B171)=0,"CHECK: Supplier ID not in inventory","OK"))))</f>
        <v/>
      </c>
    </row>
    <row r="172" customFormat="false" ht="15" hidden="false" customHeight="false" outlineLevel="0" collapsed="false">
      <c r="A172" s="50"/>
      <c r="B172" s="50"/>
      <c r="C172" s="59" t="str">
        <f aca="false">IF(B172="","",IFERROR(INDEX(INV_NAME,MATCH(B172,INV_ID,0)),"CHECK: Supplier ID not found"))</f>
        <v/>
      </c>
      <c r="D172" s="34"/>
      <c r="E172" s="51"/>
      <c r="F172" s="51"/>
      <c r="G172" s="34"/>
      <c r="H172" s="34"/>
      <c r="I172" s="34"/>
      <c r="J172" s="50"/>
      <c r="K172" s="50"/>
      <c r="L172" s="34"/>
      <c r="M172" s="50"/>
      <c r="N172" s="34"/>
      <c r="O172" s="50"/>
      <c r="P172" s="54" t="str">
        <f aca="false">IF(A172="","",IF(OR(I172="",NOT(ISNUMBER(J172)),NOT(ISNUMBER(K172))),"No KRI measured",IF(L172="Lower is worse",IF(J172&lt;K172,"Breach - threshold exceeded","Within threshold"),IF(J172&gt;K172,"Breach - threshold exceeded","Within threshold"))))</f>
        <v/>
      </c>
      <c r="Q172" s="54" t="str">
        <f aca="false">IF(A172="","",IF(OR(O172="Completed",O172="Cancelled"),"Closed",IF(AND(ISNUMBER(E172),E172&lt;AsOf),"Overdue - late review (no finding implied)","Scheduled")))</f>
        <v/>
      </c>
      <c r="R172" s="61" t="str">
        <f aca="false">IF(AND(O172="Completed",ISNUMBER(F172),E172=_xlfn.MAXIFS(MON_REVDATE,MON_SUP,B172,MON_STATUS,"Completed")),B172&amp;"|Latest","")</f>
        <v/>
      </c>
      <c r="S172" s="54" t="str">
        <f aca="false">IF(A172="","",IF(COUNTIF(MON_ID,A172)&gt;1,"CHECK: duplicate ID",IF(B172="","CHECK: Supplier ID missing",IF(COUNTIF(INV_ID,B172)=0,"CHECK: Supplier ID not in inventory","OK"))))</f>
        <v/>
      </c>
    </row>
    <row r="173" customFormat="false" ht="15" hidden="false" customHeight="false" outlineLevel="0" collapsed="false">
      <c r="A173" s="50"/>
      <c r="B173" s="50"/>
      <c r="C173" s="59" t="str">
        <f aca="false">IF(B173="","",IFERROR(INDEX(INV_NAME,MATCH(B173,INV_ID,0)),"CHECK: Supplier ID not found"))</f>
        <v/>
      </c>
      <c r="D173" s="34"/>
      <c r="E173" s="51"/>
      <c r="F173" s="51"/>
      <c r="G173" s="34"/>
      <c r="H173" s="34"/>
      <c r="I173" s="34"/>
      <c r="J173" s="50"/>
      <c r="K173" s="50"/>
      <c r="L173" s="34"/>
      <c r="M173" s="50"/>
      <c r="N173" s="34"/>
      <c r="O173" s="50"/>
      <c r="P173" s="54" t="str">
        <f aca="false">IF(A173="","",IF(OR(I173="",NOT(ISNUMBER(J173)),NOT(ISNUMBER(K173))),"No KRI measured",IF(L173="Lower is worse",IF(J173&lt;K173,"Breach - threshold exceeded","Within threshold"),IF(J173&gt;K173,"Breach - threshold exceeded","Within threshold"))))</f>
        <v/>
      </c>
      <c r="Q173" s="54" t="str">
        <f aca="false">IF(A173="","",IF(OR(O173="Completed",O173="Cancelled"),"Closed",IF(AND(ISNUMBER(E173),E173&lt;AsOf),"Overdue - late review (no finding implied)","Scheduled")))</f>
        <v/>
      </c>
      <c r="R173" s="61" t="str">
        <f aca="false">IF(AND(O173="Completed",ISNUMBER(F173),E173=_xlfn.MAXIFS(MON_REVDATE,MON_SUP,B173,MON_STATUS,"Completed")),B173&amp;"|Latest","")</f>
        <v/>
      </c>
      <c r="S173" s="54" t="str">
        <f aca="false">IF(A173="","",IF(COUNTIF(MON_ID,A173)&gt;1,"CHECK: duplicate ID",IF(B173="","CHECK: Supplier ID missing",IF(COUNTIF(INV_ID,B173)=0,"CHECK: Supplier ID not in inventory","OK"))))</f>
        <v/>
      </c>
    </row>
    <row r="174" customFormat="false" ht="15" hidden="false" customHeight="false" outlineLevel="0" collapsed="false">
      <c r="A174" s="50"/>
      <c r="B174" s="50"/>
      <c r="C174" s="59" t="str">
        <f aca="false">IF(B174="","",IFERROR(INDEX(INV_NAME,MATCH(B174,INV_ID,0)),"CHECK: Supplier ID not found"))</f>
        <v/>
      </c>
      <c r="D174" s="34"/>
      <c r="E174" s="51"/>
      <c r="F174" s="51"/>
      <c r="G174" s="34"/>
      <c r="H174" s="34"/>
      <c r="I174" s="34"/>
      <c r="J174" s="50"/>
      <c r="K174" s="50"/>
      <c r="L174" s="34"/>
      <c r="M174" s="50"/>
      <c r="N174" s="34"/>
      <c r="O174" s="50"/>
      <c r="P174" s="54" t="str">
        <f aca="false">IF(A174="","",IF(OR(I174="",NOT(ISNUMBER(J174)),NOT(ISNUMBER(K174))),"No KRI measured",IF(L174="Lower is worse",IF(J174&lt;K174,"Breach - threshold exceeded","Within threshold"),IF(J174&gt;K174,"Breach - threshold exceeded","Within threshold"))))</f>
        <v/>
      </c>
      <c r="Q174" s="54" t="str">
        <f aca="false">IF(A174="","",IF(OR(O174="Completed",O174="Cancelled"),"Closed",IF(AND(ISNUMBER(E174),E174&lt;AsOf),"Overdue - late review (no finding implied)","Scheduled")))</f>
        <v/>
      </c>
      <c r="R174" s="61" t="str">
        <f aca="false">IF(AND(O174="Completed",ISNUMBER(F174),E174=_xlfn.MAXIFS(MON_REVDATE,MON_SUP,B174,MON_STATUS,"Completed")),B174&amp;"|Latest","")</f>
        <v/>
      </c>
      <c r="S174" s="54" t="str">
        <f aca="false">IF(A174="","",IF(COUNTIF(MON_ID,A174)&gt;1,"CHECK: duplicate ID",IF(B174="","CHECK: Supplier ID missing",IF(COUNTIF(INV_ID,B174)=0,"CHECK: Supplier ID not in inventory","OK"))))</f>
        <v/>
      </c>
    </row>
    <row r="175" customFormat="false" ht="15" hidden="false" customHeight="false" outlineLevel="0" collapsed="false">
      <c r="A175" s="50"/>
      <c r="B175" s="50"/>
      <c r="C175" s="59" t="str">
        <f aca="false">IF(B175="","",IFERROR(INDEX(INV_NAME,MATCH(B175,INV_ID,0)),"CHECK: Supplier ID not found"))</f>
        <v/>
      </c>
      <c r="D175" s="34"/>
      <c r="E175" s="51"/>
      <c r="F175" s="51"/>
      <c r="G175" s="34"/>
      <c r="H175" s="34"/>
      <c r="I175" s="34"/>
      <c r="J175" s="50"/>
      <c r="K175" s="50"/>
      <c r="L175" s="34"/>
      <c r="M175" s="50"/>
      <c r="N175" s="34"/>
      <c r="O175" s="50"/>
      <c r="P175" s="54" t="str">
        <f aca="false">IF(A175="","",IF(OR(I175="",NOT(ISNUMBER(J175)),NOT(ISNUMBER(K175))),"No KRI measured",IF(L175="Lower is worse",IF(J175&lt;K175,"Breach - threshold exceeded","Within threshold"),IF(J175&gt;K175,"Breach - threshold exceeded","Within threshold"))))</f>
        <v/>
      </c>
      <c r="Q175" s="54" t="str">
        <f aca="false">IF(A175="","",IF(OR(O175="Completed",O175="Cancelled"),"Closed",IF(AND(ISNUMBER(E175),E175&lt;AsOf),"Overdue - late review (no finding implied)","Scheduled")))</f>
        <v/>
      </c>
      <c r="R175" s="61" t="str">
        <f aca="false">IF(AND(O175="Completed",ISNUMBER(F175),E175=_xlfn.MAXIFS(MON_REVDATE,MON_SUP,B175,MON_STATUS,"Completed")),B175&amp;"|Latest","")</f>
        <v/>
      </c>
      <c r="S175" s="54" t="str">
        <f aca="false">IF(A175="","",IF(COUNTIF(MON_ID,A175)&gt;1,"CHECK: duplicate ID",IF(B175="","CHECK: Supplier ID missing",IF(COUNTIF(INV_ID,B175)=0,"CHECK: Supplier ID not in inventory","OK"))))</f>
        <v/>
      </c>
    </row>
    <row r="176" customFormat="false" ht="15" hidden="false" customHeight="false" outlineLevel="0" collapsed="false">
      <c r="A176" s="50"/>
      <c r="B176" s="50"/>
      <c r="C176" s="59" t="str">
        <f aca="false">IF(B176="","",IFERROR(INDEX(INV_NAME,MATCH(B176,INV_ID,0)),"CHECK: Supplier ID not found"))</f>
        <v/>
      </c>
      <c r="D176" s="34"/>
      <c r="E176" s="51"/>
      <c r="F176" s="51"/>
      <c r="G176" s="34"/>
      <c r="H176" s="34"/>
      <c r="I176" s="34"/>
      <c r="J176" s="50"/>
      <c r="K176" s="50"/>
      <c r="L176" s="34"/>
      <c r="M176" s="50"/>
      <c r="N176" s="34"/>
      <c r="O176" s="50"/>
      <c r="P176" s="54" t="str">
        <f aca="false">IF(A176="","",IF(OR(I176="",NOT(ISNUMBER(J176)),NOT(ISNUMBER(K176))),"No KRI measured",IF(L176="Lower is worse",IF(J176&lt;K176,"Breach - threshold exceeded","Within threshold"),IF(J176&gt;K176,"Breach - threshold exceeded","Within threshold"))))</f>
        <v/>
      </c>
      <c r="Q176" s="54" t="str">
        <f aca="false">IF(A176="","",IF(OR(O176="Completed",O176="Cancelled"),"Closed",IF(AND(ISNUMBER(E176),E176&lt;AsOf),"Overdue - late review (no finding implied)","Scheduled")))</f>
        <v/>
      </c>
      <c r="R176" s="61" t="str">
        <f aca="false">IF(AND(O176="Completed",ISNUMBER(F176),E176=_xlfn.MAXIFS(MON_REVDATE,MON_SUP,B176,MON_STATUS,"Completed")),B176&amp;"|Latest","")</f>
        <v/>
      </c>
      <c r="S176" s="54" t="str">
        <f aca="false">IF(A176="","",IF(COUNTIF(MON_ID,A176)&gt;1,"CHECK: duplicate ID",IF(B176="","CHECK: Supplier ID missing",IF(COUNTIF(INV_ID,B176)=0,"CHECK: Supplier ID not in inventory","OK"))))</f>
        <v/>
      </c>
    </row>
    <row r="177" customFormat="false" ht="15" hidden="false" customHeight="false" outlineLevel="0" collapsed="false">
      <c r="A177" s="50"/>
      <c r="B177" s="50"/>
      <c r="C177" s="59" t="str">
        <f aca="false">IF(B177="","",IFERROR(INDEX(INV_NAME,MATCH(B177,INV_ID,0)),"CHECK: Supplier ID not found"))</f>
        <v/>
      </c>
      <c r="D177" s="34"/>
      <c r="E177" s="51"/>
      <c r="F177" s="51"/>
      <c r="G177" s="34"/>
      <c r="H177" s="34"/>
      <c r="I177" s="34"/>
      <c r="J177" s="50"/>
      <c r="K177" s="50"/>
      <c r="L177" s="34"/>
      <c r="M177" s="50"/>
      <c r="N177" s="34"/>
      <c r="O177" s="50"/>
      <c r="P177" s="54" t="str">
        <f aca="false">IF(A177="","",IF(OR(I177="",NOT(ISNUMBER(J177)),NOT(ISNUMBER(K177))),"No KRI measured",IF(L177="Lower is worse",IF(J177&lt;K177,"Breach - threshold exceeded","Within threshold"),IF(J177&gt;K177,"Breach - threshold exceeded","Within threshold"))))</f>
        <v/>
      </c>
      <c r="Q177" s="54" t="str">
        <f aca="false">IF(A177="","",IF(OR(O177="Completed",O177="Cancelled"),"Closed",IF(AND(ISNUMBER(E177),E177&lt;AsOf),"Overdue - late review (no finding implied)","Scheduled")))</f>
        <v/>
      </c>
      <c r="R177" s="61" t="str">
        <f aca="false">IF(AND(O177="Completed",ISNUMBER(F177),E177=_xlfn.MAXIFS(MON_REVDATE,MON_SUP,B177,MON_STATUS,"Completed")),B177&amp;"|Latest","")</f>
        <v/>
      </c>
      <c r="S177" s="54" t="str">
        <f aca="false">IF(A177="","",IF(COUNTIF(MON_ID,A177)&gt;1,"CHECK: duplicate ID",IF(B177="","CHECK: Supplier ID missing",IF(COUNTIF(INV_ID,B177)=0,"CHECK: Supplier ID not in inventory","OK"))))</f>
        <v/>
      </c>
    </row>
    <row r="178" customFormat="false" ht="15" hidden="false" customHeight="false" outlineLevel="0" collapsed="false">
      <c r="A178" s="50"/>
      <c r="B178" s="50"/>
      <c r="C178" s="59" t="str">
        <f aca="false">IF(B178="","",IFERROR(INDEX(INV_NAME,MATCH(B178,INV_ID,0)),"CHECK: Supplier ID not found"))</f>
        <v/>
      </c>
      <c r="D178" s="34"/>
      <c r="E178" s="51"/>
      <c r="F178" s="51"/>
      <c r="G178" s="34"/>
      <c r="H178" s="34"/>
      <c r="I178" s="34"/>
      <c r="J178" s="50"/>
      <c r="K178" s="50"/>
      <c r="L178" s="34"/>
      <c r="M178" s="50"/>
      <c r="N178" s="34"/>
      <c r="O178" s="50"/>
      <c r="P178" s="54" t="str">
        <f aca="false">IF(A178="","",IF(OR(I178="",NOT(ISNUMBER(J178)),NOT(ISNUMBER(K178))),"No KRI measured",IF(L178="Lower is worse",IF(J178&lt;K178,"Breach - threshold exceeded","Within threshold"),IF(J178&gt;K178,"Breach - threshold exceeded","Within threshold"))))</f>
        <v/>
      </c>
      <c r="Q178" s="54" t="str">
        <f aca="false">IF(A178="","",IF(OR(O178="Completed",O178="Cancelled"),"Closed",IF(AND(ISNUMBER(E178),E178&lt;AsOf),"Overdue - late review (no finding implied)","Scheduled")))</f>
        <v/>
      </c>
      <c r="R178" s="61" t="str">
        <f aca="false">IF(AND(O178="Completed",ISNUMBER(F178),E178=_xlfn.MAXIFS(MON_REVDATE,MON_SUP,B178,MON_STATUS,"Completed")),B178&amp;"|Latest","")</f>
        <v/>
      </c>
      <c r="S178" s="54" t="str">
        <f aca="false">IF(A178="","",IF(COUNTIF(MON_ID,A178)&gt;1,"CHECK: duplicate ID",IF(B178="","CHECK: Supplier ID missing",IF(COUNTIF(INV_ID,B178)=0,"CHECK: Supplier ID not in inventory","OK"))))</f>
        <v/>
      </c>
    </row>
    <row r="179" customFormat="false" ht="15" hidden="false" customHeight="false" outlineLevel="0" collapsed="false">
      <c r="A179" s="50"/>
      <c r="B179" s="50"/>
      <c r="C179" s="59" t="str">
        <f aca="false">IF(B179="","",IFERROR(INDEX(INV_NAME,MATCH(B179,INV_ID,0)),"CHECK: Supplier ID not found"))</f>
        <v/>
      </c>
      <c r="D179" s="34"/>
      <c r="E179" s="51"/>
      <c r="F179" s="51"/>
      <c r="G179" s="34"/>
      <c r="H179" s="34"/>
      <c r="I179" s="34"/>
      <c r="J179" s="50"/>
      <c r="K179" s="50"/>
      <c r="L179" s="34"/>
      <c r="M179" s="50"/>
      <c r="N179" s="34"/>
      <c r="O179" s="50"/>
      <c r="P179" s="54" t="str">
        <f aca="false">IF(A179="","",IF(OR(I179="",NOT(ISNUMBER(J179)),NOT(ISNUMBER(K179))),"No KRI measured",IF(L179="Lower is worse",IF(J179&lt;K179,"Breach - threshold exceeded","Within threshold"),IF(J179&gt;K179,"Breach - threshold exceeded","Within threshold"))))</f>
        <v/>
      </c>
      <c r="Q179" s="54" t="str">
        <f aca="false">IF(A179="","",IF(OR(O179="Completed",O179="Cancelled"),"Closed",IF(AND(ISNUMBER(E179),E179&lt;AsOf),"Overdue - late review (no finding implied)","Scheduled")))</f>
        <v/>
      </c>
      <c r="R179" s="61" t="str">
        <f aca="false">IF(AND(O179="Completed",ISNUMBER(F179),E179=_xlfn.MAXIFS(MON_REVDATE,MON_SUP,B179,MON_STATUS,"Completed")),B179&amp;"|Latest","")</f>
        <v/>
      </c>
      <c r="S179" s="54" t="str">
        <f aca="false">IF(A179="","",IF(COUNTIF(MON_ID,A179)&gt;1,"CHECK: duplicate ID",IF(B179="","CHECK: Supplier ID missing",IF(COUNTIF(INV_ID,B179)=0,"CHECK: Supplier ID not in inventory","OK"))))</f>
        <v/>
      </c>
    </row>
    <row r="180" customFormat="false" ht="15" hidden="false" customHeight="false" outlineLevel="0" collapsed="false">
      <c r="A180" s="50"/>
      <c r="B180" s="50"/>
      <c r="C180" s="59" t="str">
        <f aca="false">IF(B180="","",IFERROR(INDEX(INV_NAME,MATCH(B180,INV_ID,0)),"CHECK: Supplier ID not found"))</f>
        <v/>
      </c>
      <c r="D180" s="34"/>
      <c r="E180" s="51"/>
      <c r="F180" s="51"/>
      <c r="G180" s="34"/>
      <c r="H180" s="34"/>
      <c r="I180" s="34"/>
      <c r="J180" s="50"/>
      <c r="K180" s="50"/>
      <c r="L180" s="34"/>
      <c r="M180" s="50"/>
      <c r="N180" s="34"/>
      <c r="O180" s="50"/>
      <c r="P180" s="54" t="str">
        <f aca="false">IF(A180="","",IF(OR(I180="",NOT(ISNUMBER(J180)),NOT(ISNUMBER(K180))),"No KRI measured",IF(L180="Lower is worse",IF(J180&lt;K180,"Breach - threshold exceeded","Within threshold"),IF(J180&gt;K180,"Breach - threshold exceeded","Within threshold"))))</f>
        <v/>
      </c>
      <c r="Q180" s="54" t="str">
        <f aca="false">IF(A180="","",IF(OR(O180="Completed",O180="Cancelled"),"Closed",IF(AND(ISNUMBER(E180),E180&lt;AsOf),"Overdue - late review (no finding implied)","Scheduled")))</f>
        <v/>
      </c>
      <c r="R180" s="61" t="str">
        <f aca="false">IF(AND(O180="Completed",ISNUMBER(F180),E180=_xlfn.MAXIFS(MON_REVDATE,MON_SUP,B180,MON_STATUS,"Completed")),B180&amp;"|Latest","")</f>
        <v/>
      </c>
      <c r="S180" s="54" t="str">
        <f aca="false">IF(A180="","",IF(COUNTIF(MON_ID,A180)&gt;1,"CHECK: duplicate ID",IF(B180="","CHECK: Supplier ID missing",IF(COUNTIF(INV_ID,B180)=0,"CHECK: Supplier ID not in inventory","OK"))))</f>
        <v/>
      </c>
    </row>
    <row r="181" customFormat="false" ht="15" hidden="false" customHeight="false" outlineLevel="0" collapsed="false">
      <c r="A181" s="50"/>
      <c r="B181" s="50"/>
      <c r="C181" s="59" t="str">
        <f aca="false">IF(B181="","",IFERROR(INDEX(INV_NAME,MATCH(B181,INV_ID,0)),"CHECK: Supplier ID not found"))</f>
        <v/>
      </c>
      <c r="D181" s="34"/>
      <c r="E181" s="51"/>
      <c r="F181" s="51"/>
      <c r="G181" s="34"/>
      <c r="H181" s="34"/>
      <c r="I181" s="34"/>
      <c r="J181" s="50"/>
      <c r="K181" s="50"/>
      <c r="L181" s="34"/>
      <c r="M181" s="50"/>
      <c r="N181" s="34"/>
      <c r="O181" s="50"/>
      <c r="P181" s="54" t="str">
        <f aca="false">IF(A181="","",IF(OR(I181="",NOT(ISNUMBER(J181)),NOT(ISNUMBER(K181))),"No KRI measured",IF(L181="Lower is worse",IF(J181&lt;K181,"Breach - threshold exceeded","Within threshold"),IF(J181&gt;K181,"Breach - threshold exceeded","Within threshold"))))</f>
        <v/>
      </c>
      <c r="Q181" s="54" t="str">
        <f aca="false">IF(A181="","",IF(OR(O181="Completed",O181="Cancelled"),"Closed",IF(AND(ISNUMBER(E181),E181&lt;AsOf),"Overdue - late review (no finding implied)","Scheduled")))</f>
        <v/>
      </c>
      <c r="R181" s="61" t="str">
        <f aca="false">IF(AND(O181="Completed",ISNUMBER(F181),E181=_xlfn.MAXIFS(MON_REVDATE,MON_SUP,B181,MON_STATUS,"Completed")),B181&amp;"|Latest","")</f>
        <v/>
      </c>
      <c r="S181" s="54" t="str">
        <f aca="false">IF(A181="","",IF(COUNTIF(MON_ID,A181)&gt;1,"CHECK: duplicate ID",IF(B181="","CHECK: Supplier ID missing",IF(COUNTIF(INV_ID,B181)=0,"CHECK: Supplier ID not in inventory","OK"))))</f>
        <v/>
      </c>
    </row>
    <row r="182" customFormat="false" ht="15" hidden="false" customHeight="false" outlineLevel="0" collapsed="false">
      <c r="A182" s="50"/>
      <c r="B182" s="50"/>
      <c r="C182" s="59" t="str">
        <f aca="false">IF(B182="","",IFERROR(INDEX(INV_NAME,MATCH(B182,INV_ID,0)),"CHECK: Supplier ID not found"))</f>
        <v/>
      </c>
      <c r="D182" s="34"/>
      <c r="E182" s="51"/>
      <c r="F182" s="51"/>
      <c r="G182" s="34"/>
      <c r="H182" s="34"/>
      <c r="I182" s="34"/>
      <c r="J182" s="50"/>
      <c r="K182" s="50"/>
      <c r="L182" s="34"/>
      <c r="M182" s="50"/>
      <c r="N182" s="34"/>
      <c r="O182" s="50"/>
      <c r="P182" s="54" t="str">
        <f aca="false">IF(A182="","",IF(OR(I182="",NOT(ISNUMBER(J182)),NOT(ISNUMBER(K182))),"No KRI measured",IF(L182="Lower is worse",IF(J182&lt;K182,"Breach - threshold exceeded","Within threshold"),IF(J182&gt;K182,"Breach - threshold exceeded","Within threshold"))))</f>
        <v/>
      </c>
      <c r="Q182" s="54" t="str">
        <f aca="false">IF(A182="","",IF(OR(O182="Completed",O182="Cancelled"),"Closed",IF(AND(ISNUMBER(E182),E182&lt;AsOf),"Overdue - late review (no finding implied)","Scheduled")))</f>
        <v/>
      </c>
      <c r="R182" s="61" t="str">
        <f aca="false">IF(AND(O182="Completed",ISNUMBER(F182),E182=_xlfn.MAXIFS(MON_REVDATE,MON_SUP,B182,MON_STATUS,"Completed")),B182&amp;"|Latest","")</f>
        <v/>
      </c>
      <c r="S182" s="54" t="str">
        <f aca="false">IF(A182="","",IF(COUNTIF(MON_ID,A182)&gt;1,"CHECK: duplicate ID",IF(B182="","CHECK: Supplier ID missing",IF(COUNTIF(INV_ID,B182)=0,"CHECK: Supplier ID not in inventory","OK"))))</f>
        <v/>
      </c>
    </row>
    <row r="183" customFormat="false" ht="15" hidden="false" customHeight="false" outlineLevel="0" collapsed="false">
      <c r="A183" s="50"/>
      <c r="B183" s="50"/>
      <c r="C183" s="59" t="str">
        <f aca="false">IF(B183="","",IFERROR(INDEX(INV_NAME,MATCH(B183,INV_ID,0)),"CHECK: Supplier ID not found"))</f>
        <v/>
      </c>
      <c r="D183" s="34"/>
      <c r="E183" s="51"/>
      <c r="F183" s="51"/>
      <c r="G183" s="34"/>
      <c r="H183" s="34"/>
      <c r="I183" s="34"/>
      <c r="J183" s="50"/>
      <c r="K183" s="50"/>
      <c r="L183" s="34"/>
      <c r="M183" s="50"/>
      <c r="N183" s="34"/>
      <c r="O183" s="50"/>
      <c r="P183" s="54" t="str">
        <f aca="false">IF(A183="","",IF(OR(I183="",NOT(ISNUMBER(J183)),NOT(ISNUMBER(K183))),"No KRI measured",IF(L183="Lower is worse",IF(J183&lt;K183,"Breach - threshold exceeded","Within threshold"),IF(J183&gt;K183,"Breach - threshold exceeded","Within threshold"))))</f>
        <v/>
      </c>
      <c r="Q183" s="54" t="str">
        <f aca="false">IF(A183="","",IF(OR(O183="Completed",O183="Cancelled"),"Closed",IF(AND(ISNUMBER(E183),E183&lt;AsOf),"Overdue - late review (no finding implied)","Scheduled")))</f>
        <v/>
      </c>
      <c r="R183" s="61" t="str">
        <f aca="false">IF(AND(O183="Completed",ISNUMBER(F183),E183=_xlfn.MAXIFS(MON_REVDATE,MON_SUP,B183,MON_STATUS,"Completed")),B183&amp;"|Latest","")</f>
        <v/>
      </c>
      <c r="S183" s="54" t="str">
        <f aca="false">IF(A183="","",IF(COUNTIF(MON_ID,A183)&gt;1,"CHECK: duplicate ID",IF(B183="","CHECK: Supplier ID missing",IF(COUNTIF(INV_ID,B183)=0,"CHECK: Supplier ID not in inventory","OK"))))</f>
        <v/>
      </c>
    </row>
    <row r="184" customFormat="false" ht="15" hidden="false" customHeight="false" outlineLevel="0" collapsed="false">
      <c r="A184" s="50"/>
      <c r="B184" s="50"/>
      <c r="C184" s="59" t="str">
        <f aca="false">IF(B184="","",IFERROR(INDEX(INV_NAME,MATCH(B184,INV_ID,0)),"CHECK: Supplier ID not found"))</f>
        <v/>
      </c>
      <c r="D184" s="34"/>
      <c r="E184" s="51"/>
      <c r="F184" s="51"/>
      <c r="G184" s="34"/>
      <c r="H184" s="34"/>
      <c r="I184" s="34"/>
      <c r="J184" s="50"/>
      <c r="K184" s="50"/>
      <c r="L184" s="34"/>
      <c r="M184" s="50"/>
      <c r="N184" s="34"/>
      <c r="O184" s="50"/>
      <c r="P184" s="54" t="str">
        <f aca="false">IF(A184="","",IF(OR(I184="",NOT(ISNUMBER(J184)),NOT(ISNUMBER(K184))),"No KRI measured",IF(L184="Lower is worse",IF(J184&lt;K184,"Breach - threshold exceeded","Within threshold"),IF(J184&gt;K184,"Breach - threshold exceeded","Within threshold"))))</f>
        <v/>
      </c>
      <c r="Q184" s="54" t="str">
        <f aca="false">IF(A184="","",IF(OR(O184="Completed",O184="Cancelled"),"Closed",IF(AND(ISNUMBER(E184),E184&lt;AsOf),"Overdue - late review (no finding implied)","Scheduled")))</f>
        <v/>
      </c>
      <c r="R184" s="61" t="str">
        <f aca="false">IF(AND(O184="Completed",ISNUMBER(F184),E184=_xlfn.MAXIFS(MON_REVDATE,MON_SUP,B184,MON_STATUS,"Completed")),B184&amp;"|Latest","")</f>
        <v/>
      </c>
      <c r="S184" s="54" t="str">
        <f aca="false">IF(A184="","",IF(COUNTIF(MON_ID,A184)&gt;1,"CHECK: duplicate ID",IF(B184="","CHECK: Supplier ID missing",IF(COUNTIF(INV_ID,B184)=0,"CHECK: Supplier ID not in inventory","OK"))))</f>
        <v/>
      </c>
    </row>
    <row r="185" customFormat="false" ht="15" hidden="false" customHeight="false" outlineLevel="0" collapsed="false">
      <c r="A185" s="50"/>
      <c r="B185" s="50"/>
      <c r="C185" s="59" t="str">
        <f aca="false">IF(B185="","",IFERROR(INDEX(INV_NAME,MATCH(B185,INV_ID,0)),"CHECK: Supplier ID not found"))</f>
        <v/>
      </c>
      <c r="D185" s="34"/>
      <c r="E185" s="51"/>
      <c r="F185" s="51"/>
      <c r="G185" s="34"/>
      <c r="H185" s="34"/>
      <c r="I185" s="34"/>
      <c r="J185" s="50"/>
      <c r="K185" s="50"/>
      <c r="L185" s="34"/>
      <c r="M185" s="50"/>
      <c r="N185" s="34"/>
      <c r="O185" s="50"/>
      <c r="P185" s="54" t="str">
        <f aca="false">IF(A185="","",IF(OR(I185="",NOT(ISNUMBER(J185)),NOT(ISNUMBER(K185))),"No KRI measured",IF(L185="Lower is worse",IF(J185&lt;K185,"Breach - threshold exceeded","Within threshold"),IF(J185&gt;K185,"Breach - threshold exceeded","Within threshold"))))</f>
        <v/>
      </c>
      <c r="Q185" s="54" t="str">
        <f aca="false">IF(A185="","",IF(OR(O185="Completed",O185="Cancelled"),"Closed",IF(AND(ISNUMBER(E185),E185&lt;AsOf),"Overdue - late review (no finding implied)","Scheduled")))</f>
        <v/>
      </c>
      <c r="R185" s="61" t="str">
        <f aca="false">IF(AND(O185="Completed",ISNUMBER(F185),E185=_xlfn.MAXIFS(MON_REVDATE,MON_SUP,B185,MON_STATUS,"Completed")),B185&amp;"|Latest","")</f>
        <v/>
      </c>
      <c r="S185" s="54" t="str">
        <f aca="false">IF(A185="","",IF(COUNTIF(MON_ID,A185)&gt;1,"CHECK: duplicate ID",IF(B185="","CHECK: Supplier ID missing",IF(COUNTIF(INV_ID,B185)=0,"CHECK: Supplier ID not in inventory","OK"))))</f>
        <v/>
      </c>
    </row>
    <row r="186" customFormat="false" ht="15" hidden="false" customHeight="false" outlineLevel="0" collapsed="false">
      <c r="A186" s="50"/>
      <c r="B186" s="50"/>
      <c r="C186" s="59" t="str">
        <f aca="false">IF(B186="","",IFERROR(INDEX(INV_NAME,MATCH(B186,INV_ID,0)),"CHECK: Supplier ID not found"))</f>
        <v/>
      </c>
      <c r="D186" s="34"/>
      <c r="E186" s="51"/>
      <c r="F186" s="51"/>
      <c r="G186" s="34"/>
      <c r="H186" s="34"/>
      <c r="I186" s="34"/>
      <c r="J186" s="50"/>
      <c r="K186" s="50"/>
      <c r="L186" s="34"/>
      <c r="M186" s="50"/>
      <c r="N186" s="34"/>
      <c r="O186" s="50"/>
      <c r="P186" s="54" t="str">
        <f aca="false">IF(A186="","",IF(OR(I186="",NOT(ISNUMBER(J186)),NOT(ISNUMBER(K186))),"No KRI measured",IF(L186="Lower is worse",IF(J186&lt;K186,"Breach - threshold exceeded","Within threshold"),IF(J186&gt;K186,"Breach - threshold exceeded","Within threshold"))))</f>
        <v/>
      </c>
      <c r="Q186" s="54" t="str">
        <f aca="false">IF(A186="","",IF(OR(O186="Completed",O186="Cancelled"),"Closed",IF(AND(ISNUMBER(E186),E186&lt;AsOf),"Overdue - late review (no finding implied)","Scheduled")))</f>
        <v/>
      </c>
      <c r="R186" s="61" t="str">
        <f aca="false">IF(AND(O186="Completed",ISNUMBER(F186),E186=_xlfn.MAXIFS(MON_REVDATE,MON_SUP,B186,MON_STATUS,"Completed")),B186&amp;"|Latest","")</f>
        <v/>
      </c>
      <c r="S186" s="54" t="str">
        <f aca="false">IF(A186="","",IF(COUNTIF(MON_ID,A186)&gt;1,"CHECK: duplicate ID",IF(B186="","CHECK: Supplier ID missing",IF(COUNTIF(INV_ID,B186)=0,"CHECK: Supplier ID not in inventory","OK"))))</f>
        <v/>
      </c>
    </row>
    <row r="187" customFormat="false" ht="15" hidden="false" customHeight="false" outlineLevel="0" collapsed="false">
      <c r="A187" s="50"/>
      <c r="B187" s="50"/>
      <c r="C187" s="59" t="str">
        <f aca="false">IF(B187="","",IFERROR(INDEX(INV_NAME,MATCH(B187,INV_ID,0)),"CHECK: Supplier ID not found"))</f>
        <v/>
      </c>
      <c r="D187" s="34"/>
      <c r="E187" s="51"/>
      <c r="F187" s="51"/>
      <c r="G187" s="34"/>
      <c r="H187" s="34"/>
      <c r="I187" s="34"/>
      <c r="J187" s="50"/>
      <c r="K187" s="50"/>
      <c r="L187" s="34"/>
      <c r="M187" s="50"/>
      <c r="N187" s="34"/>
      <c r="O187" s="50"/>
      <c r="P187" s="54" t="str">
        <f aca="false">IF(A187="","",IF(OR(I187="",NOT(ISNUMBER(J187)),NOT(ISNUMBER(K187))),"No KRI measured",IF(L187="Lower is worse",IF(J187&lt;K187,"Breach - threshold exceeded","Within threshold"),IF(J187&gt;K187,"Breach - threshold exceeded","Within threshold"))))</f>
        <v/>
      </c>
      <c r="Q187" s="54" t="str">
        <f aca="false">IF(A187="","",IF(OR(O187="Completed",O187="Cancelled"),"Closed",IF(AND(ISNUMBER(E187),E187&lt;AsOf),"Overdue - late review (no finding implied)","Scheduled")))</f>
        <v/>
      </c>
      <c r="R187" s="61" t="str">
        <f aca="false">IF(AND(O187="Completed",ISNUMBER(F187),E187=_xlfn.MAXIFS(MON_REVDATE,MON_SUP,B187,MON_STATUS,"Completed")),B187&amp;"|Latest","")</f>
        <v/>
      </c>
      <c r="S187" s="54" t="str">
        <f aca="false">IF(A187="","",IF(COUNTIF(MON_ID,A187)&gt;1,"CHECK: duplicate ID",IF(B187="","CHECK: Supplier ID missing",IF(COUNTIF(INV_ID,B187)=0,"CHECK: Supplier ID not in inventory","OK"))))</f>
        <v/>
      </c>
    </row>
    <row r="188" customFormat="false" ht="15" hidden="false" customHeight="false" outlineLevel="0" collapsed="false">
      <c r="A188" s="50"/>
      <c r="B188" s="50"/>
      <c r="C188" s="59" t="str">
        <f aca="false">IF(B188="","",IFERROR(INDEX(INV_NAME,MATCH(B188,INV_ID,0)),"CHECK: Supplier ID not found"))</f>
        <v/>
      </c>
      <c r="D188" s="34"/>
      <c r="E188" s="51"/>
      <c r="F188" s="51"/>
      <c r="G188" s="34"/>
      <c r="H188" s="34"/>
      <c r="I188" s="34"/>
      <c r="J188" s="50"/>
      <c r="K188" s="50"/>
      <c r="L188" s="34"/>
      <c r="M188" s="50"/>
      <c r="N188" s="34"/>
      <c r="O188" s="50"/>
      <c r="P188" s="54" t="str">
        <f aca="false">IF(A188="","",IF(OR(I188="",NOT(ISNUMBER(J188)),NOT(ISNUMBER(K188))),"No KRI measured",IF(L188="Lower is worse",IF(J188&lt;K188,"Breach - threshold exceeded","Within threshold"),IF(J188&gt;K188,"Breach - threshold exceeded","Within threshold"))))</f>
        <v/>
      </c>
      <c r="Q188" s="54" t="str">
        <f aca="false">IF(A188="","",IF(OR(O188="Completed",O188="Cancelled"),"Closed",IF(AND(ISNUMBER(E188),E188&lt;AsOf),"Overdue - late review (no finding implied)","Scheduled")))</f>
        <v/>
      </c>
      <c r="R188" s="61" t="str">
        <f aca="false">IF(AND(O188="Completed",ISNUMBER(F188),E188=_xlfn.MAXIFS(MON_REVDATE,MON_SUP,B188,MON_STATUS,"Completed")),B188&amp;"|Latest","")</f>
        <v/>
      </c>
      <c r="S188" s="54" t="str">
        <f aca="false">IF(A188="","",IF(COUNTIF(MON_ID,A188)&gt;1,"CHECK: duplicate ID",IF(B188="","CHECK: Supplier ID missing",IF(COUNTIF(INV_ID,B188)=0,"CHECK: Supplier ID not in inventory","OK"))))</f>
        <v/>
      </c>
    </row>
    <row r="189" customFormat="false" ht="15" hidden="false" customHeight="false" outlineLevel="0" collapsed="false">
      <c r="A189" s="50"/>
      <c r="B189" s="50"/>
      <c r="C189" s="59" t="str">
        <f aca="false">IF(B189="","",IFERROR(INDEX(INV_NAME,MATCH(B189,INV_ID,0)),"CHECK: Supplier ID not found"))</f>
        <v/>
      </c>
      <c r="D189" s="34"/>
      <c r="E189" s="51"/>
      <c r="F189" s="51"/>
      <c r="G189" s="34"/>
      <c r="H189" s="34"/>
      <c r="I189" s="34"/>
      <c r="J189" s="50"/>
      <c r="K189" s="50"/>
      <c r="L189" s="34"/>
      <c r="M189" s="50"/>
      <c r="N189" s="34"/>
      <c r="O189" s="50"/>
      <c r="P189" s="54" t="str">
        <f aca="false">IF(A189="","",IF(OR(I189="",NOT(ISNUMBER(J189)),NOT(ISNUMBER(K189))),"No KRI measured",IF(L189="Lower is worse",IF(J189&lt;K189,"Breach - threshold exceeded","Within threshold"),IF(J189&gt;K189,"Breach - threshold exceeded","Within threshold"))))</f>
        <v/>
      </c>
      <c r="Q189" s="54" t="str">
        <f aca="false">IF(A189="","",IF(OR(O189="Completed",O189="Cancelled"),"Closed",IF(AND(ISNUMBER(E189),E189&lt;AsOf),"Overdue - late review (no finding implied)","Scheduled")))</f>
        <v/>
      </c>
      <c r="R189" s="61" t="str">
        <f aca="false">IF(AND(O189="Completed",ISNUMBER(F189),E189=_xlfn.MAXIFS(MON_REVDATE,MON_SUP,B189,MON_STATUS,"Completed")),B189&amp;"|Latest","")</f>
        <v/>
      </c>
      <c r="S189" s="54" t="str">
        <f aca="false">IF(A189="","",IF(COUNTIF(MON_ID,A189)&gt;1,"CHECK: duplicate ID",IF(B189="","CHECK: Supplier ID missing",IF(COUNTIF(INV_ID,B189)=0,"CHECK: Supplier ID not in inventory","OK"))))</f>
        <v/>
      </c>
    </row>
    <row r="190" customFormat="false" ht="15" hidden="false" customHeight="false" outlineLevel="0" collapsed="false">
      <c r="A190" s="50"/>
      <c r="B190" s="50"/>
      <c r="C190" s="59" t="str">
        <f aca="false">IF(B190="","",IFERROR(INDEX(INV_NAME,MATCH(B190,INV_ID,0)),"CHECK: Supplier ID not found"))</f>
        <v/>
      </c>
      <c r="D190" s="34"/>
      <c r="E190" s="51"/>
      <c r="F190" s="51"/>
      <c r="G190" s="34"/>
      <c r="H190" s="34"/>
      <c r="I190" s="34"/>
      <c r="J190" s="50"/>
      <c r="K190" s="50"/>
      <c r="L190" s="34"/>
      <c r="M190" s="50"/>
      <c r="N190" s="34"/>
      <c r="O190" s="50"/>
      <c r="P190" s="54" t="str">
        <f aca="false">IF(A190="","",IF(OR(I190="",NOT(ISNUMBER(J190)),NOT(ISNUMBER(K190))),"No KRI measured",IF(L190="Lower is worse",IF(J190&lt;K190,"Breach - threshold exceeded","Within threshold"),IF(J190&gt;K190,"Breach - threshold exceeded","Within threshold"))))</f>
        <v/>
      </c>
      <c r="Q190" s="54" t="str">
        <f aca="false">IF(A190="","",IF(OR(O190="Completed",O190="Cancelled"),"Closed",IF(AND(ISNUMBER(E190),E190&lt;AsOf),"Overdue - late review (no finding implied)","Scheduled")))</f>
        <v/>
      </c>
      <c r="R190" s="61" t="str">
        <f aca="false">IF(AND(O190="Completed",ISNUMBER(F190),E190=_xlfn.MAXIFS(MON_REVDATE,MON_SUP,B190,MON_STATUS,"Completed")),B190&amp;"|Latest","")</f>
        <v/>
      </c>
      <c r="S190" s="54" t="str">
        <f aca="false">IF(A190="","",IF(COUNTIF(MON_ID,A190)&gt;1,"CHECK: duplicate ID",IF(B190="","CHECK: Supplier ID missing",IF(COUNTIF(INV_ID,B190)=0,"CHECK: Supplier ID not in inventory","OK"))))</f>
        <v/>
      </c>
    </row>
    <row r="191" customFormat="false" ht="15" hidden="false" customHeight="false" outlineLevel="0" collapsed="false">
      <c r="A191" s="50"/>
      <c r="B191" s="50"/>
      <c r="C191" s="59" t="str">
        <f aca="false">IF(B191="","",IFERROR(INDEX(INV_NAME,MATCH(B191,INV_ID,0)),"CHECK: Supplier ID not found"))</f>
        <v/>
      </c>
      <c r="D191" s="34"/>
      <c r="E191" s="51"/>
      <c r="F191" s="51"/>
      <c r="G191" s="34"/>
      <c r="H191" s="34"/>
      <c r="I191" s="34"/>
      <c r="J191" s="50"/>
      <c r="K191" s="50"/>
      <c r="L191" s="34"/>
      <c r="M191" s="50"/>
      <c r="N191" s="34"/>
      <c r="O191" s="50"/>
      <c r="P191" s="54" t="str">
        <f aca="false">IF(A191="","",IF(OR(I191="",NOT(ISNUMBER(J191)),NOT(ISNUMBER(K191))),"No KRI measured",IF(L191="Lower is worse",IF(J191&lt;K191,"Breach - threshold exceeded","Within threshold"),IF(J191&gt;K191,"Breach - threshold exceeded","Within threshold"))))</f>
        <v/>
      </c>
      <c r="Q191" s="54" t="str">
        <f aca="false">IF(A191="","",IF(OR(O191="Completed",O191="Cancelled"),"Closed",IF(AND(ISNUMBER(E191),E191&lt;AsOf),"Overdue - late review (no finding implied)","Scheduled")))</f>
        <v/>
      </c>
      <c r="R191" s="61" t="str">
        <f aca="false">IF(AND(O191="Completed",ISNUMBER(F191),E191=_xlfn.MAXIFS(MON_REVDATE,MON_SUP,B191,MON_STATUS,"Completed")),B191&amp;"|Latest","")</f>
        <v/>
      </c>
      <c r="S191" s="54" t="str">
        <f aca="false">IF(A191="","",IF(COUNTIF(MON_ID,A191)&gt;1,"CHECK: duplicate ID",IF(B191="","CHECK: Supplier ID missing",IF(COUNTIF(INV_ID,B191)=0,"CHECK: Supplier ID not in inventory","OK"))))</f>
        <v/>
      </c>
    </row>
    <row r="192" customFormat="false" ht="15" hidden="false" customHeight="false" outlineLevel="0" collapsed="false">
      <c r="A192" s="50"/>
      <c r="B192" s="50"/>
      <c r="C192" s="59" t="str">
        <f aca="false">IF(B192="","",IFERROR(INDEX(INV_NAME,MATCH(B192,INV_ID,0)),"CHECK: Supplier ID not found"))</f>
        <v/>
      </c>
      <c r="D192" s="34"/>
      <c r="E192" s="51"/>
      <c r="F192" s="51"/>
      <c r="G192" s="34"/>
      <c r="H192" s="34"/>
      <c r="I192" s="34"/>
      <c r="J192" s="50"/>
      <c r="K192" s="50"/>
      <c r="L192" s="34"/>
      <c r="M192" s="50"/>
      <c r="N192" s="34"/>
      <c r="O192" s="50"/>
      <c r="P192" s="54" t="str">
        <f aca="false">IF(A192="","",IF(OR(I192="",NOT(ISNUMBER(J192)),NOT(ISNUMBER(K192))),"No KRI measured",IF(L192="Lower is worse",IF(J192&lt;K192,"Breach - threshold exceeded","Within threshold"),IF(J192&gt;K192,"Breach - threshold exceeded","Within threshold"))))</f>
        <v/>
      </c>
      <c r="Q192" s="54" t="str">
        <f aca="false">IF(A192="","",IF(OR(O192="Completed",O192="Cancelled"),"Closed",IF(AND(ISNUMBER(E192),E192&lt;AsOf),"Overdue - late review (no finding implied)","Scheduled")))</f>
        <v/>
      </c>
      <c r="R192" s="61" t="str">
        <f aca="false">IF(AND(O192="Completed",ISNUMBER(F192),E192=_xlfn.MAXIFS(MON_REVDATE,MON_SUP,B192,MON_STATUS,"Completed")),B192&amp;"|Latest","")</f>
        <v/>
      </c>
      <c r="S192" s="54" t="str">
        <f aca="false">IF(A192="","",IF(COUNTIF(MON_ID,A192)&gt;1,"CHECK: duplicate ID",IF(B192="","CHECK: Supplier ID missing",IF(COUNTIF(INV_ID,B192)=0,"CHECK: Supplier ID not in inventory","OK"))))</f>
        <v/>
      </c>
    </row>
    <row r="193" customFormat="false" ht="15" hidden="false" customHeight="false" outlineLevel="0" collapsed="false">
      <c r="A193" s="50"/>
      <c r="B193" s="50"/>
      <c r="C193" s="59" t="str">
        <f aca="false">IF(B193="","",IFERROR(INDEX(INV_NAME,MATCH(B193,INV_ID,0)),"CHECK: Supplier ID not found"))</f>
        <v/>
      </c>
      <c r="D193" s="34"/>
      <c r="E193" s="51"/>
      <c r="F193" s="51"/>
      <c r="G193" s="34"/>
      <c r="H193" s="34"/>
      <c r="I193" s="34"/>
      <c r="J193" s="50"/>
      <c r="K193" s="50"/>
      <c r="L193" s="34"/>
      <c r="M193" s="50"/>
      <c r="N193" s="34"/>
      <c r="O193" s="50"/>
      <c r="P193" s="54" t="str">
        <f aca="false">IF(A193="","",IF(OR(I193="",NOT(ISNUMBER(J193)),NOT(ISNUMBER(K193))),"No KRI measured",IF(L193="Lower is worse",IF(J193&lt;K193,"Breach - threshold exceeded","Within threshold"),IF(J193&gt;K193,"Breach - threshold exceeded","Within threshold"))))</f>
        <v/>
      </c>
      <c r="Q193" s="54" t="str">
        <f aca="false">IF(A193="","",IF(OR(O193="Completed",O193="Cancelled"),"Closed",IF(AND(ISNUMBER(E193),E193&lt;AsOf),"Overdue - late review (no finding implied)","Scheduled")))</f>
        <v/>
      </c>
      <c r="R193" s="61" t="str">
        <f aca="false">IF(AND(O193="Completed",ISNUMBER(F193),E193=_xlfn.MAXIFS(MON_REVDATE,MON_SUP,B193,MON_STATUS,"Completed")),B193&amp;"|Latest","")</f>
        <v/>
      </c>
      <c r="S193" s="54" t="str">
        <f aca="false">IF(A193="","",IF(COUNTIF(MON_ID,A193)&gt;1,"CHECK: duplicate ID",IF(B193="","CHECK: Supplier ID missing",IF(COUNTIF(INV_ID,B193)=0,"CHECK: Supplier ID not in inventory","OK"))))</f>
        <v/>
      </c>
    </row>
    <row r="194" customFormat="false" ht="15" hidden="false" customHeight="false" outlineLevel="0" collapsed="false">
      <c r="A194" s="50"/>
      <c r="B194" s="50"/>
      <c r="C194" s="59" t="str">
        <f aca="false">IF(B194="","",IFERROR(INDEX(INV_NAME,MATCH(B194,INV_ID,0)),"CHECK: Supplier ID not found"))</f>
        <v/>
      </c>
      <c r="D194" s="34"/>
      <c r="E194" s="51"/>
      <c r="F194" s="51"/>
      <c r="G194" s="34"/>
      <c r="H194" s="34"/>
      <c r="I194" s="34"/>
      <c r="J194" s="50"/>
      <c r="K194" s="50"/>
      <c r="L194" s="34"/>
      <c r="M194" s="50"/>
      <c r="N194" s="34"/>
      <c r="O194" s="50"/>
      <c r="P194" s="54" t="str">
        <f aca="false">IF(A194="","",IF(OR(I194="",NOT(ISNUMBER(J194)),NOT(ISNUMBER(K194))),"No KRI measured",IF(L194="Lower is worse",IF(J194&lt;K194,"Breach - threshold exceeded","Within threshold"),IF(J194&gt;K194,"Breach - threshold exceeded","Within threshold"))))</f>
        <v/>
      </c>
      <c r="Q194" s="54" t="str">
        <f aca="false">IF(A194="","",IF(OR(O194="Completed",O194="Cancelled"),"Closed",IF(AND(ISNUMBER(E194),E194&lt;AsOf),"Overdue - late review (no finding implied)","Scheduled")))</f>
        <v/>
      </c>
      <c r="R194" s="61" t="str">
        <f aca="false">IF(AND(O194="Completed",ISNUMBER(F194),E194=_xlfn.MAXIFS(MON_REVDATE,MON_SUP,B194,MON_STATUS,"Completed")),B194&amp;"|Latest","")</f>
        <v/>
      </c>
      <c r="S194" s="54" t="str">
        <f aca="false">IF(A194="","",IF(COUNTIF(MON_ID,A194)&gt;1,"CHECK: duplicate ID",IF(B194="","CHECK: Supplier ID missing",IF(COUNTIF(INV_ID,B194)=0,"CHECK: Supplier ID not in inventory","OK"))))</f>
        <v/>
      </c>
    </row>
    <row r="195" customFormat="false" ht="15" hidden="false" customHeight="false" outlineLevel="0" collapsed="false">
      <c r="A195" s="50"/>
      <c r="B195" s="50"/>
      <c r="C195" s="59" t="str">
        <f aca="false">IF(B195="","",IFERROR(INDEX(INV_NAME,MATCH(B195,INV_ID,0)),"CHECK: Supplier ID not found"))</f>
        <v/>
      </c>
      <c r="D195" s="34"/>
      <c r="E195" s="51"/>
      <c r="F195" s="51"/>
      <c r="G195" s="34"/>
      <c r="H195" s="34"/>
      <c r="I195" s="34"/>
      <c r="J195" s="50"/>
      <c r="K195" s="50"/>
      <c r="L195" s="34"/>
      <c r="M195" s="50"/>
      <c r="N195" s="34"/>
      <c r="O195" s="50"/>
      <c r="P195" s="54" t="str">
        <f aca="false">IF(A195="","",IF(OR(I195="",NOT(ISNUMBER(J195)),NOT(ISNUMBER(K195))),"No KRI measured",IF(L195="Lower is worse",IF(J195&lt;K195,"Breach - threshold exceeded","Within threshold"),IF(J195&gt;K195,"Breach - threshold exceeded","Within threshold"))))</f>
        <v/>
      </c>
      <c r="Q195" s="54" t="str">
        <f aca="false">IF(A195="","",IF(OR(O195="Completed",O195="Cancelled"),"Closed",IF(AND(ISNUMBER(E195),E195&lt;AsOf),"Overdue - late review (no finding implied)","Scheduled")))</f>
        <v/>
      </c>
      <c r="R195" s="61" t="str">
        <f aca="false">IF(AND(O195="Completed",ISNUMBER(F195),E195=_xlfn.MAXIFS(MON_REVDATE,MON_SUP,B195,MON_STATUS,"Completed")),B195&amp;"|Latest","")</f>
        <v/>
      </c>
      <c r="S195" s="54" t="str">
        <f aca="false">IF(A195="","",IF(COUNTIF(MON_ID,A195)&gt;1,"CHECK: duplicate ID",IF(B195="","CHECK: Supplier ID missing",IF(COUNTIF(INV_ID,B195)=0,"CHECK: Supplier ID not in inventory","OK"))))</f>
        <v/>
      </c>
    </row>
    <row r="196" customFormat="false" ht="15" hidden="false" customHeight="false" outlineLevel="0" collapsed="false">
      <c r="A196" s="50"/>
      <c r="B196" s="50"/>
      <c r="C196" s="59" t="str">
        <f aca="false">IF(B196="","",IFERROR(INDEX(INV_NAME,MATCH(B196,INV_ID,0)),"CHECK: Supplier ID not found"))</f>
        <v/>
      </c>
      <c r="D196" s="34"/>
      <c r="E196" s="51"/>
      <c r="F196" s="51"/>
      <c r="G196" s="34"/>
      <c r="H196" s="34"/>
      <c r="I196" s="34"/>
      <c r="J196" s="50"/>
      <c r="K196" s="50"/>
      <c r="L196" s="34"/>
      <c r="M196" s="50"/>
      <c r="N196" s="34"/>
      <c r="O196" s="50"/>
      <c r="P196" s="54" t="str">
        <f aca="false">IF(A196="","",IF(OR(I196="",NOT(ISNUMBER(J196)),NOT(ISNUMBER(K196))),"No KRI measured",IF(L196="Lower is worse",IF(J196&lt;K196,"Breach - threshold exceeded","Within threshold"),IF(J196&gt;K196,"Breach - threshold exceeded","Within threshold"))))</f>
        <v/>
      </c>
      <c r="Q196" s="54" t="str">
        <f aca="false">IF(A196="","",IF(OR(O196="Completed",O196="Cancelled"),"Closed",IF(AND(ISNUMBER(E196),E196&lt;AsOf),"Overdue - late review (no finding implied)","Scheduled")))</f>
        <v/>
      </c>
      <c r="R196" s="61" t="str">
        <f aca="false">IF(AND(O196="Completed",ISNUMBER(F196),E196=_xlfn.MAXIFS(MON_REVDATE,MON_SUP,B196,MON_STATUS,"Completed")),B196&amp;"|Latest","")</f>
        <v/>
      </c>
      <c r="S196" s="54" t="str">
        <f aca="false">IF(A196="","",IF(COUNTIF(MON_ID,A196)&gt;1,"CHECK: duplicate ID",IF(B196="","CHECK: Supplier ID missing",IF(COUNTIF(INV_ID,B196)=0,"CHECK: Supplier ID not in inventory","OK"))))</f>
        <v/>
      </c>
    </row>
    <row r="197" customFormat="false" ht="15" hidden="false" customHeight="false" outlineLevel="0" collapsed="false">
      <c r="A197" s="50"/>
      <c r="B197" s="50"/>
      <c r="C197" s="59" t="str">
        <f aca="false">IF(B197="","",IFERROR(INDEX(INV_NAME,MATCH(B197,INV_ID,0)),"CHECK: Supplier ID not found"))</f>
        <v/>
      </c>
      <c r="D197" s="34"/>
      <c r="E197" s="51"/>
      <c r="F197" s="51"/>
      <c r="G197" s="34"/>
      <c r="H197" s="34"/>
      <c r="I197" s="34"/>
      <c r="J197" s="50"/>
      <c r="K197" s="50"/>
      <c r="L197" s="34"/>
      <c r="M197" s="50"/>
      <c r="N197" s="34"/>
      <c r="O197" s="50"/>
      <c r="P197" s="54" t="str">
        <f aca="false">IF(A197="","",IF(OR(I197="",NOT(ISNUMBER(J197)),NOT(ISNUMBER(K197))),"No KRI measured",IF(L197="Lower is worse",IF(J197&lt;K197,"Breach - threshold exceeded","Within threshold"),IF(J197&gt;K197,"Breach - threshold exceeded","Within threshold"))))</f>
        <v/>
      </c>
      <c r="Q197" s="54" t="str">
        <f aca="false">IF(A197="","",IF(OR(O197="Completed",O197="Cancelled"),"Closed",IF(AND(ISNUMBER(E197),E197&lt;AsOf),"Overdue - late review (no finding implied)","Scheduled")))</f>
        <v/>
      </c>
      <c r="R197" s="61" t="str">
        <f aca="false">IF(AND(O197="Completed",ISNUMBER(F197),E197=_xlfn.MAXIFS(MON_REVDATE,MON_SUP,B197,MON_STATUS,"Completed")),B197&amp;"|Latest","")</f>
        <v/>
      </c>
      <c r="S197" s="54" t="str">
        <f aca="false">IF(A197="","",IF(COUNTIF(MON_ID,A197)&gt;1,"CHECK: duplicate ID",IF(B197="","CHECK: Supplier ID missing",IF(COUNTIF(INV_ID,B197)=0,"CHECK: Supplier ID not in inventory","OK"))))</f>
        <v/>
      </c>
    </row>
    <row r="198" customFormat="false" ht="15" hidden="false" customHeight="false" outlineLevel="0" collapsed="false">
      <c r="A198" s="50"/>
      <c r="B198" s="50"/>
      <c r="C198" s="59" t="str">
        <f aca="false">IF(B198="","",IFERROR(INDEX(INV_NAME,MATCH(B198,INV_ID,0)),"CHECK: Supplier ID not found"))</f>
        <v/>
      </c>
      <c r="D198" s="34"/>
      <c r="E198" s="51"/>
      <c r="F198" s="51"/>
      <c r="G198" s="34"/>
      <c r="H198" s="34"/>
      <c r="I198" s="34"/>
      <c r="J198" s="50"/>
      <c r="K198" s="50"/>
      <c r="L198" s="34"/>
      <c r="M198" s="50"/>
      <c r="N198" s="34"/>
      <c r="O198" s="50"/>
      <c r="P198" s="54" t="str">
        <f aca="false">IF(A198="","",IF(OR(I198="",NOT(ISNUMBER(J198)),NOT(ISNUMBER(K198))),"No KRI measured",IF(L198="Lower is worse",IF(J198&lt;K198,"Breach - threshold exceeded","Within threshold"),IF(J198&gt;K198,"Breach - threshold exceeded","Within threshold"))))</f>
        <v/>
      </c>
      <c r="Q198" s="54" t="str">
        <f aca="false">IF(A198="","",IF(OR(O198="Completed",O198="Cancelled"),"Closed",IF(AND(ISNUMBER(E198),E198&lt;AsOf),"Overdue - late review (no finding implied)","Scheduled")))</f>
        <v/>
      </c>
      <c r="R198" s="61" t="str">
        <f aca="false">IF(AND(O198="Completed",ISNUMBER(F198),E198=_xlfn.MAXIFS(MON_REVDATE,MON_SUP,B198,MON_STATUS,"Completed")),B198&amp;"|Latest","")</f>
        <v/>
      </c>
      <c r="S198" s="54" t="str">
        <f aca="false">IF(A198="","",IF(COUNTIF(MON_ID,A198)&gt;1,"CHECK: duplicate ID",IF(B198="","CHECK: Supplier ID missing",IF(COUNTIF(INV_ID,B198)=0,"CHECK: Supplier ID not in inventory","OK"))))</f>
        <v/>
      </c>
    </row>
    <row r="199" customFormat="false" ht="15" hidden="false" customHeight="false" outlineLevel="0" collapsed="false">
      <c r="A199" s="50"/>
      <c r="B199" s="50"/>
      <c r="C199" s="59" t="str">
        <f aca="false">IF(B199="","",IFERROR(INDEX(INV_NAME,MATCH(B199,INV_ID,0)),"CHECK: Supplier ID not found"))</f>
        <v/>
      </c>
      <c r="D199" s="34"/>
      <c r="E199" s="51"/>
      <c r="F199" s="51"/>
      <c r="G199" s="34"/>
      <c r="H199" s="34"/>
      <c r="I199" s="34"/>
      <c r="J199" s="50"/>
      <c r="K199" s="50"/>
      <c r="L199" s="34"/>
      <c r="M199" s="50"/>
      <c r="N199" s="34"/>
      <c r="O199" s="50"/>
      <c r="P199" s="54" t="str">
        <f aca="false">IF(A199="","",IF(OR(I199="",NOT(ISNUMBER(J199)),NOT(ISNUMBER(K199))),"No KRI measured",IF(L199="Lower is worse",IF(J199&lt;K199,"Breach - threshold exceeded","Within threshold"),IF(J199&gt;K199,"Breach - threshold exceeded","Within threshold"))))</f>
        <v/>
      </c>
      <c r="Q199" s="54" t="str">
        <f aca="false">IF(A199="","",IF(OR(O199="Completed",O199="Cancelled"),"Closed",IF(AND(ISNUMBER(E199),E199&lt;AsOf),"Overdue - late review (no finding implied)","Scheduled")))</f>
        <v/>
      </c>
      <c r="R199" s="61" t="str">
        <f aca="false">IF(AND(O199="Completed",ISNUMBER(F199),E199=_xlfn.MAXIFS(MON_REVDATE,MON_SUP,B199,MON_STATUS,"Completed")),B199&amp;"|Latest","")</f>
        <v/>
      </c>
      <c r="S199" s="54" t="str">
        <f aca="false">IF(A199="","",IF(COUNTIF(MON_ID,A199)&gt;1,"CHECK: duplicate ID",IF(B199="","CHECK: Supplier ID missing",IF(COUNTIF(INV_ID,B199)=0,"CHECK: Supplier ID not in inventory","OK"))))</f>
        <v/>
      </c>
    </row>
    <row r="200" customFormat="false" ht="15" hidden="false" customHeight="false" outlineLevel="0" collapsed="false">
      <c r="A200" s="50"/>
      <c r="B200" s="50"/>
      <c r="C200" s="59" t="str">
        <f aca="false">IF(B200="","",IFERROR(INDEX(INV_NAME,MATCH(B200,INV_ID,0)),"CHECK: Supplier ID not found"))</f>
        <v/>
      </c>
      <c r="D200" s="34"/>
      <c r="E200" s="51"/>
      <c r="F200" s="51"/>
      <c r="G200" s="34"/>
      <c r="H200" s="34"/>
      <c r="I200" s="34"/>
      <c r="J200" s="50"/>
      <c r="K200" s="50"/>
      <c r="L200" s="34"/>
      <c r="M200" s="50"/>
      <c r="N200" s="34"/>
      <c r="O200" s="50"/>
      <c r="P200" s="54" t="str">
        <f aca="false">IF(A200="","",IF(OR(I200="",NOT(ISNUMBER(J200)),NOT(ISNUMBER(K200))),"No KRI measured",IF(L200="Lower is worse",IF(J200&lt;K200,"Breach - threshold exceeded","Within threshold"),IF(J200&gt;K200,"Breach - threshold exceeded","Within threshold"))))</f>
        <v/>
      </c>
      <c r="Q200" s="54" t="str">
        <f aca="false">IF(A200="","",IF(OR(O200="Completed",O200="Cancelled"),"Closed",IF(AND(ISNUMBER(E200),E200&lt;AsOf),"Overdue - late review (no finding implied)","Scheduled")))</f>
        <v/>
      </c>
      <c r="R200" s="61" t="str">
        <f aca="false">IF(AND(O200="Completed",ISNUMBER(F200),E200=_xlfn.MAXIFS(MON_REVDATE,MON_SUP,B200,MON_STATUS,"Completed")),B200&amp;"|Latest","")</f>
        <v/>
      </c>
      <c r="S200" s="54" t="str">
        <f aca="false">IF(A200="","",IF(COUNTIF(MON_ID,A200)&gt;1,"CHECK: duplicate ID",IF(B200="","CHECK: Supplier ID missing",IF(COUNTIF(INV_ID,B200)=0,"CHECK: Supplier ID not in inventory","OK"))))</f>
        <v/>
      </c>
    </row>
    <row r="201" customFormat="false" ht="15" hidden="false" customHeight="false" outlineLevel="0" collapsed="false">
      <c r="A201" s="50"/>
      <c r="B201" s="50"/>
      <c r="C201" s="59" t="str">
        <f aca="false">IF(B201="","",IFERROR(INDEX(INV_NAME,MATCH(B201,INV_ID,0)),"CHECK: Supplier ID not found"))</f>
        <v/>
      </c>
      <c r="D201" s="34"/>
      <c r="E201" s="51"/>
      <c r="F201" s="51"/>
      <c r="G201" s="34"/>
      <c r="H201" s="34"/>
      <c r="I201" s="34"/>
      <c r="J201" s="50"/>
      <c r="K201" s="50"/>
      <c r="L201" s="34"/>
      <c r="M201" s="50"/>
      <c r="N201" s="34"/>
      <c r="O201" s="50"/>
      <c r="P201" s="54" t="str">
        <f aca="false">IF(A201="","",IF(OR(I201="",NOT(ISNUMBER(J201)),NOT(ISNUMBER(K201))),"No KRI measured",IF(L201="Lower is worse",IF(J201&lt;K201,"Breach - threshold exceeded","Within threshold"),IF(J201&gt;K201,"Breach - threshold exceeded","Within threshold"))))</f>
        <v/>
      </c>
      <c r="Q201" s="54" t="str">
        <f aca="false">IF(A201="","",IF(OR(O201="Completed",O201="Cancelled"),"Closed",IF(AND(ISNUMBER(E201),E201&lt;AsOf),"Overdue - late review (no finding implied)","Scheduled")))</f>
        <v/>
      </c>
      <c r="R201" s="61" t="str">
        <f aca="false">IF(AND(O201="Completed",ISNUMBER(F201),E201=_xlfn.MAXIFS(MON_REVDATE,MON_SUP,B201,MON_STATUS,"Completed")),B201&amp;"|Latest","")</f>
        <v/>
      </c>
      <c r="S201" s="54" t="str">
        <f aca="false">IF(A201="","",IF(COUNTIF(MON_ID,A201)&gt;1,"CHECK: duplicate ID",IF(B201="","CHECK: Supplier ID missing",IF(COUNTIF(INV_ID,B201)=0,"CHECK: Supplier ID not in inventory","OK"))))</f>
        <v/>
      </c>
    </row>
    <row r="202" customFormat="false" ht="15" hidden="false" customHeight="false" outlineLevel="0" collapsed="false">
      <c r="A202" s="50"/>
      <c r="B202" s="50"/>
      <c r="C202" s="59" t="str">
        <f aca="false">IF(B202="","",IFERROR(INDEX(INV_NAME,MATCH(B202,INV_ID,0)),"CHECK: Supplier ID not found"))</f>
        <v/>
      </c>
      <c r="D202" s="34"/>
      <c r="E202" s="51"/>
      <c r="F202" s="51"/>
      <c r="G202" s="34"/>
      <c r="H202" s="34"/>
      <c r="I202" s="34"/>
      <c r="J202" s="50"/>
      <c r="K202" s="50"/>
      <c r="L202" s="34"/>
      <c r="M202" s="50"/>
      <c r="N202" s="34"/>
      <c r="O202" s="50"/>
      <c r="P202" s="54" t="str">
        <f aca="false">IF(A202="","",IF(OR(I202="",NOT(ISNUMBER(J202)),NOT(ISNUMBER(K202))),"No KRI measured",IF(L202="Lower is worse",IF(J202&lt;K202,"Breach - threshold exceeded","Within threshold"),IF(J202&gt;K202,"Breach - threshold exceeded","Within threshold"))))</f>
        <v/>
      </c>
      <c r="Q202" s="54" t="str">
        <f aca="false">IF(A202="","",IF(OR(O202="Completed",O202="Cancelled"),"Closed",IF(AND(ISNUMBER(E202),E202&lt;AsOf),"Overdue - late review (no finding implied)","Scheduled")))</f>
        <v/>
      </c>
      <c r="R202" s="61" t="str">
        <f aca="false">IF(AND(O202="Completed",ISNUMBER(F202),E202=_xlfn.MAXIFS(MON_REVDATE,MON_SUP,B202,MON_STATUS,"Completed")),B202&amp;"|Latest","")</f>
        <v/>
      </c>
      <c r="S202" s="54" t="str">
        <f aca="false">IF(A202="","",IF(COUNTIF(MON_ID,A202)&gt;1,"CHECK: duplicate ID",IF(B202="","CHECK: Supplier ID missing",IF(COUNTIF(INV_ID,B202)=0,"CHECK: Supplier ID not in inventory","OK"))))</f>
        <v/>
      </c>
    </row>
    <row r="203" customFormat="false" ht="15" hidden="false" customHeight="false" outlineLevel="0" collapsed="false">
      <c r="A203" s="50"/>
      <c r="B203" s="50"/>
      <c r="C203" s="59" t="str">
        <f aca="false">IF(B203="","",IFERROR(INDEX(INV_NAME,MATCH(B203,INV_ID,0)),"CHECK: Supplier ID not found"))</f>
        <v/>
      </c>
      <c r="D203" s="34"/>
      <c r="E203" s="51"/>
      <c r="F203" s="51"/>
      <c r="G203" s="34"/>
      <c r="H203" s="34"/>
      <c r="I203" s="34"/>
      <c r="J203" s="50"/>
      <c r="K203" s="50"/>
      <c r="L203" s="34"/>
      <c r="M203" s="50"/>
      <c r="N203" s="34"/>
      <c r="O203" s="50"/>
      <c r="P203" s="54" t="str">
        <f aca="false">IF(A203="","",IF(OR(I203="",NOT(ISNUMBER(J203)),NOT(ISNUMBER(K203))),"No KRI measured",IF(L203="Lower is worse",IF(J203&lt;K203,"Breach - threshold exceeded","Within threshold"),IF(J203&gt;K203,"Breach - threshold exceeded","Within threshold"))))</f>
        <v/>
      </c>
      <c r="Q203" s="54" t="str">
        <f aca="false">IF(A203="","",IF(OR(O203="Completed",O203="Cancelled"),"Closed",IF(AND(ISNUMBER(E203),E203&lt;AsOf),"Overdue - late review (no finding implied)","Scheduled")))</f>
        <v/>
      </c>
      <c r="R203" s="61" t="str">
        <f aca="false">IF(AND(O203="Completed",ISNUMBER(F203),E203=_xlfn.MAXIFS(MON_REVDATE,MON_SUP,B203,MON_STATUS,"Completed")),B203&amp;"|Latest","")</f>
        <v/>
      </c>
      <c r="S203" s="54" t="str">
        <f aca="false">IF(A203="","",IF(COUNTIF(MON_ID,A203)&gt;1,"CHECK: duplicate ID",IF(B203="","CHECK: Supplier ID missing",IF(COUNTIF(INV_ID,B203)=0,"CHECK: Supplier ID not in inventory","OK"))))</f>
        <v/>
      </c>
    </row>
    <row r="204" customFormat="false" ht="15" hidden="false" customHeight="false" outlineLevel="0" collapsed="false">
      <c r="A204" s="50"/>
      <c r="B204" s="50"/>
      <c r="C204" s="59" t="str">
        <f aca="false">IF(B204="","",IFERROR(INDEX(INV_NAME,MATCH(B204,INV_ID,0)),"CHECK: Supplier ID not found"))</f>
        <v/>
      </c>
      <c r="D204" s="34"/>
      <c r="E204" s="51"/>
      <c r="F204" s="51"/>
      <c r="G204" s="34"/>
      <c r="H204" s="34"/>
      <c r="I204" s="34"/>
      <c r="J204" s="50"/>
      <c r="K204" s="50"/>
      <c r="L204" s="34"/>
      <c r="M204" s="50"/>
      <c r="N204" s="34"/>
      <c r="O204" s="50"/>
      <c r="P204" s="54" t="str">
        <f aca="false">IF(A204="","",IF(OR(I204="",NOT(ISNUMBER(J204)),NOT(ISNUMBER(K204))),"No KRI measured",IF(L204="Lower is worse",IF(J204&lt;K204,"Breach - threshold exceeded","Within threshold"),IF(J204&gt;K204,"Breach - threshold exceeded","Within threshold"))))</f>
        <v/>
      </c>
      <c r="Q204" s="54" t="str">
        <f aca="false">IF(A204="","",IF(OR(O204="Completed",O204="Cancelled"),"Closed",IF(AND(ISNUMBER(E204),E204&lt;AsOf),"Overdue - late review (no finding implied)","Scheduled")))</f>
        <v/>
      </c>
      <c r="R204" s="61" t="str">
        <f aca="false">IF(AND(O204="Completed",ISNUMBER(F204),E204=_xlfn.MAXIFS(MON_REVDATE,MON_SUP,B204,MON_STATUS,"Completed")),B204&amp;"|Latest","")</f>
        <v/>
      </c>
      <c r="S204" s="54" t="str">
        <f aca="false">IF(A204="","",IF(COUNTIF(MON_ID,A204)&gt;1,"CHECK: duplicate ID",IF(B204="","CHECK: Supplier ID missing",IF(COUNTIF(INV_ID,B204)=0,"CHECK: Supplier ID not in inventory","OK"))))</f>
        <v/>
      </c>
    </row>
    <row r="205" customFormat="false" ht="15" hidden="false" customHeight="false" outlineLevel="0" collapsed="false">
      <c r="A205" s="50"/>
      <c r="B205" s="50"/>
      <c r="C205" s="59" t="str">
        <f aca="false">IF(B205="","",IFERROR(INDEX(INV_NAME,MATCH(B205,INV_ID,0)),"CHECK: Supplier ID not found"))</f>
        <v/>
      </c>
      <c r="D205" s="34"/>
      <c r="E205" s="51"/>
      <c r="F205" s="51"/>
      <c r="G205" s="34"/>
      <c r="H205" s="34"/>
      <c r="I205" s="34"/>
      <c r="J205" s="50"/>
      <c r="K205" s="50"/>
      <c r="L205" s="34"/>
      <c r="M205" s="50"/>
      <c r="N205" s="34"/>
      <c r="O205" s="50"/>
      <c r="P205" s="54" t="str">
        <f aca="false">IF(A205="","",IF(OR(I205="",NOT(ISNUMBER(J205)),NOT(ISNUMBER(K205))),"No KRI measured",IF(L205="Lower is worse",IF(J205&lt;K205,"Breach - threshold exceeded","Within threshold"),IF(J205&gt;K205,"Breach - threshold exceeded","Within threshold"))))</f>
        <v/>
      </c>
      <c r="Q205" s="54" t="str">
        <f aca="false">IF(A205="","",IF(OR(O205="Completed",O205="Cancelled"),"Closed",IF(AND(ISNUMBER(E205),E205&lt;AsOf),"Overdue - late review (no finding implied)","Scheduled")))</f>
        <v/>
      </c>
      <c r="R205" s="61" t="str">
        <f aca="false">IF(AND(O205="Completed",ISNUMBER(F205),E205=_xlfn.MAXIFS(MON_REVDATE,MON_SUP,B205,MON_STATUS,"Completed")),B205&amp;"|Latest","")</f>
        <v/>
      </c>
      <c r="S205" s="54" t="str">
        <f aca="false">IF(A205="","",IF(COUNTIF(MON_ID,A205)&gt;1,"CHECK: duplicate ID",IF(B205="","CHECK: Supplier ID missing",IF(COUNTIF(INV_ID,B205)=0,"CHECK: Supplier ID not in inventory","OK"))))</f>
        <v/>
      </c>
    </row>
    <row r="206" customFormat="false" ht="15" hidden="false" customHeight="false" outlineLevel="0" collapsed="false">
      <c r="A206" s="50"/>
      <c r="B206" s="50"/>
      <c r="C206" s="59" t="str">
        <f aca="false">IF(B206="","",IFERROR(INDEX(INV_NAME,MATCH(B206,INV_ID,0)),"CHECK: Supplier ID not found"))</f>
        <v/>
      </c>
      <c r="D206" s="34"/>
      <c r="E206" s="51"/>
      <c r="F206" s="51"/>
      <c r="G206" s="34"/>
      <c r="H206" s="34"/>
      <c r="I206" s="34"/>
      <c r="J206" s="50"/>
      <c r="K206" s="50"/>
      <c r="L206" s="34"/>
      <c r="M206" s="50"/>
      <c r="N206" s="34"/>
      <c r="O206" s="50"/>
      <c r="P206" s="54" t="str">
        <f aca="false">IF(A206="","",IF(OR(I206="",NOT(ISNUMBER(J206)),NOT(ISNUMBER(K206))),"No KRI measured",IF(L206="Lower is worse",IF(J206&lt;K206,"Breach - threshold exceeded","Within threshold"),IF(J206&gt;K206,"Breach - threshold exceeded","Within threshold"))))</f>
        <v/>
      </c>
      <c r="Q206" s="54" t="str">
        <f aca="false">IF(A206="","",IF(OR(O206="Completed",O206="Cancelled"),"Closed",IF(AND(ISNUMBER(E206),E206&lt;AsOf),"Overdue - late review (no finding implied)","Scheduled")))</f>
        <v/>
      </c>
      <c r="R206" s="61" t="str">
        <f aca="false">IF(AND(O206="Completed",ISNUMBER(F206),E206=_xlfn.MAXIFS(MON_REVDATE,MON_SUP,B206,MON_STATUS,"Completed")),B206&amp;"|Latest","")</f>
        <v/>
      </c>
      <c r="S206" s="54" t="str">
        <f aca="false">IF(A206="","",IF(COUNTIF(MON_ID,A206)&gt;1,"CHECK: duplicate ID",IF(B206="","CHECK: Supplier ID missing",IF(COUNTIF(INV_ID,B206)=0,"CHECK: Supplier ID not in inventory","OK"))))</f>
        <v/>
      </c>
    </row>
  </sheetData>
  <sheetProtection sheet="true" formatColumns="false" formatRows="false" sort="false" autoFilter="false"/>
  <conditionalFormatting sqref="P7:P206">
    <cfRule type="expression" priority="2" aboveAverage="0" equalAverage="0" bottom="0" percent="0" rank="0" text="" dxfId="0">
      <formula>OR(ISNUMBER(SEARCH("Above appetite",P7)),ISNUMBER(SEARCH("Overdue",P7)),ISNUMBER(SEARCH("Expired",P7)),ISNUMBER(SEARCH("Breach",P7)),ISNUMBER(SEARCH("CHECK",P7)),ISNUMBER(SEARCH("Not ready",P7)),ISNUMBER(SEARCH("REMAINS",P7)),ISNUMBER(SEARCH("Failed",P7)),ISNUMBER(SEARCH("Cannot assess",P7)))</formula>
    </cfRule>
    <cfRule type="expression" priority="3" aboveAverage="0" equalAverage="0" bottom="0" percent="0" rank="0" text="" dxfId="21">
      <formula>OR(ISNUMBER(SEARCH("Incomplete",P7)),ISNUMBER(SEARCH("Pending",P7)),ISNUMBER(SEARCH("Approaching",P7)),ISNUMBER(SEARCH("insufficient",P7)),ISNUMBER(SEARCH("Awaiting",P7)),ISNUMBER(SEARCH("Review due",P7)),ISNUMBER(SEARCH("Not configured",P7)),ISNUMBER(SEARCH("Not classified",P7)),ISNUMBER(SEARCH("Proposed",P7)),ISNUMBER(SEARCH("Verification",P7)),ISNUMBER(SEARCH("Scope limitation",P7)),ISNUMBER(SEARCH("Follow-up",P7)),ISNUMBER(SEARCH("Open gap",P7)),ISNUMBER(SEARCH("Delivered - verification",P7)),ISNUMBER(SEARCH("Historical",P7)),ISNUMBER(SEARCH("Not scheduled",P7)),ISNUMBER(SEARCH("Not determined",P7)),ISNUMBER(SEARCH("Decision record",P7)),ISNUMBER(SEARCH("Due soon",P7)),ISNUMBER(SEARCH("Not reviewed",P7)),ISNUMBER(SEARCH("Tier not",P7)),ISNUMBER(SEARCH("No decision",P7)),ISNUMBER(SEARCH("Superseded",P7)),ISNUMBER(SEARCH("Optional",P7)),ISNUMBER(SEARCH("legal review",P7)),ISNUMBER(SEARCH("No treatment",P7)),ISNUMBER(SEARCH("not recorded",P7)),ISNUMBER(SEARCH("consider",P7)),ISNUMBER(SEARCH("Not set",P7)),ISNUMBER(SEARCH("Not started",P7)),ISNUMBER(SEARCH("No expiry",P7)),ISNUMBER(SEARCH("No KRI",P7)),ISNUMBER(SEARCH("no reassessment",P7)),ISNUMBER(SEARCH("Applicability",P7)),ISNUMBER(SEARCH("Not current",P7)),ISNUMBER(SEARCH("assess relevance",P7)))</formula>
    </cfRule>
    <cfRule type="expression" priority="4" aboveAverage="0" equalAverage="0" bottom="0" percent="0" rank="0" text="" dxfId="22">
      <formula>OR(LEFT(P7,2)="OK",LEFT(P7,8)="Complete",LEFT(P7,7)="Current",LEFT(P7,10)="Authorised",LEFT(P7,6)="Within",LEFT(P7,11)="On schedule",LEFT(P7,17)="Ready for closure",LEFT(P7,17)="Evidence reviewed",LEFT(P7,19)="Decision referenced",LEFT(P7,27)="Reassessment event recorded",LEFT(P7,14)="Period current",LEFT(P7,17)="Gap dispositioned",LEFT(P7,17)="Reviewed - no gap",LEFT(P7,11)="Recommended",LEFT(P7,17)="Closed - verified")</formula>
    </cfRule>
  </conditionalFormatting>
  <conditionalFormatting sqref="Q7:Q206">
    <cfRule type="expression" priority="5" aboveAverage="0" equalAverage="0" bottom="0" percent="0" rank="0" text="" dxfId="0">
      <formula>OR(ISNUMBER(SEARCH("Above appetite",Q7)),ISNUMBER(SEARCH("Overdue",Q7)),ISNUMBER(SEARCH("Expired",Q7)),ISNUMBER(SEARCH("Breach",Q7)),ISNUMBER(SEARCH("CHECK",Q7)),ISNUMBER(SEARCH("Not ready",Q7)),ISNUMBER(SEARCH("REMAINS",Q7)),ISNUMBER(SEARCH("Failed",Q7)),ISNUMBER(SEARCH("Cannot assess",Q7)))</formula>
    </cfRule>
    <cfRule type="expression" priority="6" aboveAverage="0" equalAverage="0" bottom="0" percent="0" rank="0" text="" dxfId="21">
      <formula>OR(ISNUMBER(SEARCH("Incomplete",Q7)),ISNUMBER(SEARCH("Pending",Q7)),ISNUMBER(SEARCH("Approaching",Q7)),ISNUMBER(SEARCH("insufficient",Q7)),ISNUMBER(SEARCH("Awaiting",Q7)),ISNUMBER(SEARCH("Review due",Q7)),ISNUMBER(SEARCH("Not configured",Q7)),ISNUMBER(SEARCH("Not classified",Q7)),ISNUMBER(SEARCH("Proposed",Q7)),ISNUMBER(SEARCH("Verification",Q7)),ISNUMBER(SEARCH("Scope limitation",Q7)),ISNUMBER(SEARCH("Follow-up",Q7)),ISNUMBER(SEARCH("Open gap",Q7)),ISNUMBER(SEARCH("Delivered - verification",Q7)),ISNUMBER(SEARCH("Historical",Q7)),ISNUMBER(SEARCH("Not scheduled",Q7)),ISNUMBER(SEARCH("Not determined",Q7)),ISNUMBER(SEARCH("Decision record",Q7)),ISNUMBER(SEARCH("Due soon",Q7)),ISNUMBER(SEARCH("Not reviewed",Q7)),ISNUMBER(SEARCH("Tier not",Q7)),ISNUMBER(SEARCH("No decision",Q7)),ISNUMBER(SEARCH("Superseded",Q7)),ISNUMBER(SEARCH("Optional",Q7)),ISNUMBER(SEARCH("legal review",Q7)),ISNUMBER(SEARCH("No treatment",Q7)),ISNUMBER(SEARCH("not recorded",Q7)),ISNUMBER(SEARCH("consider",Q7)),ISNUMBER(SEARCH("Not set",Q7)),ISNUMBER(SEARCH("Not started",Q7)),ISNUMBER(SEARCH("No expiry",Q7)),ISNUMBER(SEARCH("No KRI",Q7)),ISNUMBER(SEARCH("no reassessment",Q7)),ISNUMBER(SEARCH("Applicability",Q7)),ISNUMBER(SEARCH("Not current",Q7)),ISNUMBER(SEARCH("assess relevance",Q7)))</formula>
    </cfRule>
    <cfRule type="expression" priority="7" aboveAverage="0" equalAverage="0" bottom="0" percent="0" rank="0" text="" dxfId="22">
      <formula>OR(LEFT(Q7,2)="OK",LEFT(Q7,8)="Complete",LEFT(Q7,7)="Current",LEFT(Q7,10)="Authorised",LEFT(Q7,6)="Within",LEFT(Q7,11)="On schedule",LEFT(Q7,17)="Ready for closure",LEFT(Q7,17)="Evidence reviewed",LEFT(Q7,19)="Decision referenced",LEFT(Q7,27)="Reassessment event recorded",LEFT(Q7,14)="Period current",LEFT(Q7,17)="Gap dispositioned",LEFT(Q7,17)="Reviewed - no gap",LEFT(Q7,11)="Recommended",LEFT(Q7,17)="Closed - verified")</formula>
    </cfRule>
  </conditionalFormatting>
  <conditionalFormatting sqref="R7:R206">
    <cfRule type="expression" priority="8" aboveAverage="0" equalAverage="0" bottom="0" percent="0" rank="0" text="" dxfId="0">
      <formula>OR(ISNUMBER(SEARCH("Above appetite",R7)),ISNUMBER(SEARCH("Overdue",R7)),ISNUMBER(SEARCH("Expired",R7)),ISNUMBER(SEARCH("Breach",R7)),ISNUMBER(SEARCH("CHECK",R7)),ISNUMBER(SEARCH("Not ready",R7)),ISNUMBER(SEARCH("REMAINS",R7)),ISNUMBER(SEARCH("Failed",R7)),ISNUMBER(SEARCH("Cannot assess",R7)))</formula>
    </cfRule>
    <cfRule type="expression" priority="9" aboveAverage="0" equalAverage="0" bottom="0" percent="0" rank="0" text="" dxfId="21">
      <formula>OR(ISNUMBER(SEARCH("Incomplete",R7)),ISNUMBER(SEARCH("Pending",R7)),ISNUMBER(SEARCH("Approaching",R7)),ISNUMBER(SEARCH("insufficient",R7)),ISNUMBER(SEARCH("Awaiting",R7)),ISNUMBER(SEARCH("Review due",R7)),ISNUMBER(SEARCH("Not configured",R7)),ISNUMBER(SEARCH("Not classified",R7)),ISNUMBER(SEARCH("Proposed",R7)),ISNUMBER(SEARCH("Verification",R7)),ISNUMBER(SEARCH("Scope limitation",R7)),ISNUMBER(SEARCH("Follow-up",R7)),ISNUMBER(SEARCH("Open gap",R7)),ISNUMBER(SEARCH("Delivered - verification",R7)),ISNUMBER(SEARCH("Historical",R7)),ISNUMBER(SEARCH("Not scheduled",R7)),ISNUMBER(SEARCH("Not determined",R7)),ISNUMBER(SEARCH("Decision record",R7)),ISNUMBER(SEARCH("Due soon",R7)),ISNUMBER(SEARCH("Not reviewed",R7)),ISNUMBER(SEARCH("Tier not",R7)),ISNUMBER(SEARCH("No decision",R7)),ISNUMBER(SEARCH("Superseded",R7)),ISNUMBER(SEARCH("Optional",R7)),ISNUMBER(SEARCH("legal review",R7)),ISNUMBER(SEARCH("No treatment",R7)),ISNUMBER(SEARCH("not recorded",R7)),ISNUMBER(SEARCH("consider",R7)),ISNUMBER(SEARCH("Not set",R7)),ISNUMBER(SEARCH("Not started",R7)),ISNUMBER(SEARCH("No expiry",R7)),ISNUMBER(SEARCH("No KRI",R7)),ISNUMBER(SEARCH("no reassessment",R7)),ISNUMBER(SEARCH("Applicability",R7)),ISNUMBER(SEARCH("Not current",R7)),ISNUMBER(SEARCH("assess relevance",R7)))</formula>
    </cfRule>
    <cfRule type="expression" priority="10" aboveAverage="0" equalAverage="0" bottom="0" percent="0" rank="0" text="" dxfId="22">
      <formula>OR(LEFT(R7,2)="OK",LEFT(R7,8)="Complete",LEFT(R7,7)="Current",LEFT(R7,10)="Authorised",LEFT(R7,6)="Within",LEFT(R7,11)="On schedule",LEFT(R7,17)="Ready for closure",LEFT(R7,17)="Evidence reviewed",LEFT(R7,19)="Decision referenced",LEFT(R7,27)="Reassessment event recorded",LEFT(R7,14)="Period current",LEFT(R7,17)="Gap dispositioned",LEFT(R7,17)="Reviewed - no gap",LEFT(R7,11)="Recommended",LEFT(R7,17)="Closed - verified")</formula>
    </cfRule>
  </conditionalFormatting>
  <conditionalFormatting sqref="S7:S206">
    <cfRule type="expression" priority="11" aboveAverage="0" equalAverage="0" bottom="0" percent="0" rank="0" text="" dxfId="0">
      <formula>OR(ISNUMBER(SEARCH("Above appetite",S7)),ISNUMBER(SEARCH("Overdue",S7)),ISNUMBER(SEARCH("Expired",S7)),ISNUMBER(SEARCH("Breach",S7)),ISNUMBER(SEARCH("CHECK",S7)),ISNUMBER(SEARCH("Not ready",S7)),ISNUMBER(SEARCH("REMAINS",S7)),ISNUMBER(SEARCH("Failed",S7)),ISNUMBER(SEARCH("Cannot assess",S7)))</formula>
    </cfRule>
    <cfRule type="expression" priority="12" aboveAverage="0" equalAverage="0" bottom="0" percent="0" rank="0" text="" dxfId="21">
      <formula>OR(ISNUMBER(SEARCH("Incomplete",S7)),ISNUMBER(SEARCH("Pending",S7)),ISNUMBER(SEARCH("Approaching",S7)),ISNUMBER(SEARCH("insufficient",S7)),ISNUMBER(SEARCH("Awaiting",S7)),ISNUMBER(SEARCH("Review due",S7)),ISNUMBER(SEARCH("Not configured",S7)),ISNUMBER(SEARCH("Not classified",S7)),ISNUMBER(SEARCH("Proposed",S7)),ISNUMBER(SEARCH("Verification",S7)),ISNUMBER(SEARCH("Scope limitation",S7)),ISNUMBER(SEARCH("Follow-up",S7)),ISNUMBER(SEARCH("Open gap",S7)),ISNUMBER(SEARCH("Delivered - verification",S7)),ISNUMBER(SEARCH("Historical",S7)),ISNUMBER(SEARCH("Not scheduled",S7)),ISNUMBER(SEARCH("Not determined",S7)),ISNUMBER(SEARCH("Decision record",S7)),ISNUMBER(SEARCH("Due soon",S7)),ISNUMBER(SEARCH("Not reviewed",S7)),ISNUMBER(SEARCH("Tier not",S7)),ISNUMBER(SEARCH("No decision",S7)),ISNUMBER(SEARCH("Superseded",S7)),ISNUMBER(SEARCH("Optional",S7)),ISNUMBER(SEARCH("legal review",S7)),ISNUMBER(SEARCH("No treatment",S7)),ISNUMBER(SEARCH("not recorded",S7)),ISNUMBER(SEARCH("consider",S7)),ISNUMBER(SEARCH("Not set",S7)),ISNUMBER(SEARCH("Not started",S7)),ISNUMBER(SEARCH("No expiry",S7)),ISNUMBER(SEARCH("No KRI",S7)),ISNUMBER(SEARCH("no reassessment",S7)),ISNUMBER(SEARCH("Applicability",S7)),ISNUMBER(SEARCH("Not current",S7)),ISNUMBER(SEARCH("assess relevance",S7)))</formula>
    </cfRule>
    <cfRule type="expression" priority="13" aboveAverage="0" equalAverage="0" bottom="0" percent="0" rank="0" text="" dxfId="22">
      <formula>OR(LEFT(S7,2)="OK",LEFT(S7,8)="Complete",LEFT(S7,7)="Current",LEFT(S7,10)="Authorised",LEFT(S7,6)="Within",LEFT(S7,11)="On schedule",LEFT(S7,17)="Ready for closure",LEFT(S7,17)="Evidence reviewed",LEFT(S7,19)="Decision referenced",LEFT(S7,27)="Reassessment event recorded",LEFT(S7,14)="Period current",LEFT(S7,17)="Gap dispositioned",LEFT(S7,17)="Reviewed - no gap",LEFT(S7,11)="Recommended",LEFT(S7,17)="Closed - verified")</formula>
    </cfRule>
  </conditionalFormatting>
  <conditionalFormatting sqref="A7:A206">
    <cfRule type="expression" priority="14" aboveAverage="0" equalAverage="0" bottom="0" percent="0" rank="0" text="" dxfId="0">
      <formula>AND(A7&lt;&gt;"",COUNTIF($A$7:$A$206,A7)&gt;1)</formula>
    </cfRule>
  </conditionalFormatting>
  <dataValidations count="7">
    <dataValidation allowBlank="true" error="Enter a valid date (on or after 1 Jan 2000)." errorStyle="stop" errorTitle="Invalid date" operator="greaterThanOrEqual" showDropDown="false" showErrorMessage="true" showInputMessage="false" sqref="E7:F206" type="date">
      <formula1>36526</formula1>
      <formula2>0</formula2>
    </dataValidation>
    <dataValidation allowBlank="true" error="Choose a value from the list (controlled vocabulary or an existing ID)." errorStyle="stop" errorTitle="Invalid entry" operator="between" showDropDown="false" showErrorMessage="true" showInputMessage="false" sqref="B7:B206" type="list">
      <formula1>INV_ID</formula1>
      <formula2>0</formula2>
    </dataValidation>
    <dataValidation allowBlank="true" error="Choose a value from the list (controlled vocabulary or an existing ID)." errorStyle="stop" errorTitle="Invalid entry" operator="between" showDropDown="false" showErrorMessage="true" showInputMessage="false" sqref="D7:D206" type="list">
      <formula1>L_MonType</formula1>
      <formula2>0</formula2>
    </dataValidation>
    <dataValidation allowBlank="true" error="Enter a number." errorStyle="stop" errorTitle="Invalid number" operator="between" showDropDown="false" showErrorMessage="true" showInputMessage="false" sqref="J7:J206" type="decimal">
      <formula1>-1000000000</formula1>
      <formula2>1000000000</formula2>
    </dataValidation>
    <dataValidation allowBlank="true" error="Enter a number." errorStyle="stop" errorTitle="Invalid number" operator="between" showDropDown="false" showErrorMessage="true" showInputMessage="false" sqref="K7:K206" type="decimal">
      <formula1>-1000000000</formula1>
      <formula2>1000000000</formula2>
    </dataValidation>
    <dataValidation allowBlank="true" error="Choose a value from the list (controlled vocabulary or an existing ID)." errorStyle="stop" errorTitle="Invalid entry" operator="between" showDropDown="false" showErrorMessage="true" showInputMessage="false" sqref="L7:L206" type="list">
      <formula1>L_KRIDir</formula1>
      <formula2>0</formula2>
    </dataValidation>
    <dataValidation allowBlank="true" error="Choose a value from the list (controlled vocabulary or an existing ID)." errorStyle="stop" errorTitle="Invalid entry" operator="between" showDropDown="false" showErrorMessage="true" showInputMessage="false" sqref="O7:O206" type="list">
      <formula1>L_MonStatus</formula1>
      <formula2>0</formula2>
    </dataValidation>
  </dataValidations>
  <hyperlinks>
    <hyperlink ref="H1" r:id="rId1" location="'01%20Start%20Here'!A1" display="&lt;&lt; Back to Start Here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tableParts>
    <tablePart r:id="rId2"/>
  </tableParts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W10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6" topLeftCell="C7" activePane="bottomRight" state="frozen"/>
      <selection pane="topLeft" activeCell="A1" activeCellId="0" sqref="A1"/>
      <selection pane="topRight" activeCell="C1" activeCellId="0" sqref="C1"/>
      <selection pane="bottomLeft" activeCell="A7" activeCellId="0" sqref="A7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10"/>
    <col collapsed="false" customWidth="true" hidden="false" outlineLevel="0" max="2" min="2" style="1" width="12"/>
    <col collapsed="false" customWidth="true" hidden="false" outlineLevel="0" max="3" min="3" style="1" width="22"/>
    <col collapsed="false" customWidth="true" hidden="false" outlineLevel="0" max="4" min="4" style="1" width="17"/>
    <col collapsed="false" customWidth="true" hidden="false" outlineLevel="0" max="5" min="5" style="1" width="34"/>
    <col collapsed="false" customWidth="true" hidden="false" outlineLevel="0" max="6" min="6" style="1" width="22"/>
    <col collapsed="false" customWidth="true" hidden="false" outlineLevel="0" max="7" min="7" style="1" width="32"/>
    <col collapsed="false" customWidth="true" hidden="false" outlineLevel="0" max="9" min="8" style="1" width="28"/>
    <col collapsed="false" customWidth="true" hidden="false" outlineLevel="0" max="10" min="10" style="1" width="26"/>
    <col collapsed="false" customWidth="true" hidden="false" outlineLevel="0" max="11" min="11" style="1" width="14"/>
    <col collapsed="false" customWidth="true" hidden="false" outlineLevel="0" max="12" min="12" style="1" width="16"/>
    <col collapsed="false" customWidth="true" hidden="false" outlineLevel="0" max="13" min="13" style="1" width="18"/>
    <col collapsed="false" customWidth="true" hidden="false" outlineLevel="0" max="14" min="14" style="1" width="22"/>
    <col collapsed="false" customWidth="true" hidden="false" outlineLevel="0" max="15" min="15" style="1" width="16"/>
    <col collapsed="false" customWidth="true" hidden="false" outlineLevel="0" max="16" min="16" style="1" width="28"/>
    <col collapsed="false" customWidth="true" hidden="false" outlineLevel="0" max="17" min="17" style="1" width="16"/>
    <col collapsed="false" customWidth="true" hidden="false" outlineLevel="0" max="18" min="18" style="1" width="18"/>
    <col collapsed="false" customWidth="true" hidden="false" outlineLevel="0" max="19" min="19" style="1" width="24"/>
    <col collapsed="false" customWidth="true" hidden="false" outlineLevel="0" max="20" min="20" style="1" width="11"/>
    <col collapsed="false" customWidth="true" hidden="false" outlineLevel="0" max="21" min="21" style="1" width="13"/>
    <col collapsed="false" customWidth="true" hidden="false" outlineLevel="0" max="22" min="22" style="1" width="34"/>
    <col collapsed="false" customWidth="true" hidden="false" outlineLevel="0" max="23" min="23" style="1" width="26"/>
  </cols>
  <sheetData>
    <row r="1" customFormat="false" ht="17.35" hidden="false" customHeight="false" outlineLevel="0" collapsed="false">
      <c r="A1" s="22" t="s">
        <v>1681</v>
      </c>
      <c r="H1" s="10" t="s">
        <v>100</v>
      </c>
    </row>
    <row r="2" customFormat="false" ht="15" hidden="false" customHeight="false" outlineLevel="0" collapsed="false">
      <c r="A2" s="3" t="s">
        <v>1682</v>
      </c>
    </row>
    <row r="3" customFormat="false" ht="15" hidden="false" customHeight="false" outlineLevel="0" collapsed="false">
      <c r="A3" s="4" t="s">
        <v>1683</v>
      </c>
    </row>
    <row r="4" customFormat="false" ht="24" hidden="false" customHeight="true" outlineLevel="0" collapsed="false">
      <c r="A4" s="45" t="s">
        <v>69</v>
      </c>
      <c r="B4" s="45" t="s">
        <v>69</v>
      </c>
      <c r="C4" s="55" t="s">
        <v>73</v>
      </c>
      <c r="D4" s="45" t="s">
        <v>69</v>
      </c>
      <c r="E4" s="45" t="s">
        <v>69</v>
      </c>
      <c r="F4" s="45" t="s">
        <v>69</v>
      </c>
      <c r="G4" s="45" t="s">
        <v>69</v>
      </c>
      <c r="H4" s="45" t="s">
        <v>69</v>
      </c>
      <c r="I4" s="45" t="s">
        <v>69</v>
      </c>
      <c r="J4" s="45" t="s">
        <v>69</v>
      </c>
      <c r="K4" s="45" t="s">
        <v>69</v>
      </c>
      <c r="L4" s="45" t="s">
        <v>69</v>
      </c>
      <c r="M4" s="45" t="s">
        <v>69</v>
      </c>
      <c r="N4" s="45" t="s">
        <v>69</v>
      </c>
      <c r="O4" s="45" t="s">
        <v>69</v>
      </c>
      <c r="P4" s="45" t="s">
        <v>69</v>
      </c>
      <c r="Q4" s="45" t="s">
        <v>69</v>
      </c>
      <c r="R4" s="45" t="s">
        <v>69</v>
      </c>
      <c r="S4" s="45" t="s">
        <v>69</v>
      </c>
      <c r="T4" s="46" t="s">
        <v>442</v>
      </c>
      <c r="U4" s="46" t="s">
        <v>442</v>
      </c>
      <c r="V4" s="46" t="s">
        <v>442</v>
      </c>
      <c r="W4" s="46" t="s">
        <v>442</v>
      </c>
    </row>
    <row r="5" customFormat="false" ht="30" hidden="false" customHeight="true" outlineLevel="0" collapsed="false">
      <c r="A5" s="47" t="s">
        <v>1684</v>
      </c>
      <c r="B5" s="47" t="s">
        <v>1685</v>
      </c>
      <c r="C5" s="47"/>
      <c r="D5" s="47" t="s">
        <v>1686</v>
      </c>
      <c r="E5" s="47"/>
      <c r="F5" s="47"/>
      <c r="G5" s="47"/>
      <c r="H5" s="47"/>
      <c r="I5" s="47"/>
      <c r="J5" s="47"/>
      <c r="K5" s="47" t="s">
        <v>1687</v>
      </c>
      <c r="L5" s="47"/>
      <c r="M5" s="47"/>
      <c r="N5" s="47"/>
      <c r="O5" s="47" t="s">
        <v>1456</v>
      </c>
      <c r="P5" s="47"/>
      <c r="Q5" s="47" t="s">
        <v>1398</v>
      </c>
      <c r="R5" s="47"/>
      <c r="S5" s="47"/>
      <c r="T5" s="47"/>
      <c r="U5" s="47"/>
      <c r="V5" s="47"/>
      <c r="W5" s="47"/>
    </row>
    <row r="6" customFormat="false" ht="48" hidden="false" customHeight="true" outlineLevel="0" collapsed="false">
      <c r="A6" s="48" t="s">
        <v>1688</v>
      </c>
      <c r="B6" s="48" t="s">
        <v>456</v>
      </c>
      <c r="C6" s="57" t="s">
        <v>538</v>
      </c>
      <c r="D6" s="48" t="s">
        <v>1689</v>
      </c>
      <c r="E6" s="48" t="s">
        <v>1690</v>
      </c>
      <c r="F6" s="48" t="s">
        <v>1691</v>
      </c>
      <c r="G6" s="48" t="s">
        <v>1692</v>
      </c>
      <c r="H6" s="48" t="s">
        <v>1693</v>
      </c>
      <c r="I6" s="48" t="s">
        <v>1694</v>
      </c>
      <c r="J6" s="48" t="s">
        <v>1695</v>
      </c>
      <c r="K6" s="48" t="s">
        <v>1696</v>
      </c>
      <c r="L6" s="48" t="s">
        <v>1697</v>
      </c>
      <c r="M6" s="48" t="s">
        <v>1698</v>
      </c>
      <c r="N6" s="48" t="s">
        <v>1699</v>
      </c>
      <c r="O6" s="48" t="s">
        <v>1700</v>
      </c>
      <c r="P6" s="48" t="s">
        <v>1701</v>
      </c>
      <c r="Q6" s="48" t="s">
        <v>1410</v>
      </c>
      <c r="R6" s="48" t="s">
        <v>1702</v>
      </c>
      <c r="S6" s="48" t="s">
        <v>1703</v>
      </c>
      <c r="T6" s="49" t="s">
        <v>1474</v>
      </c>
      <c r="U6" s="49" t="s">
        <v>1704</v>
      </c>
      <c r="V6" s="49" t="s">
        <v>1705</v>
      </c>
      <c r="W6" s="49" t="s">
        <v>560</v>
      </c>
    </row>
    <row r="7" customFormat="false" ht="35.05" hidden="false" customHeight="false" outlineLevel="0" collapsed="false">
      <c r="A7" s="50" t="s">
        <v>1706</v>
      </c>
      <c r="B7" s="50" t="s">
        <v>489</v>
      </c>
      <c r="C7" s="59" t="str">
        <f aca="false">IF(B7="","",IFERROR(INDEX(INV_NAME,MATCH(B7,INV_ID,0)),"CHECK: Supplier ID not found"))</f>
        <v>SupportLoop Ltd</v>
      </c>
      <c r="D7" s="65" t="n">
        <v>46287.6041666667</v>
      </c>
      <c r="E7" s="34" t="s">
        <v>1707</v>
      </c>
      <c r="F7" s="34" t="s">
        <v>1708</v>
      </c>
      <c r="G7" s="34" t="s">
        <v>1709</v>
      </c>
      <c r="H7" s="34" t="s">
        <v>1710</v>
      </c>
      <c r="I7" s="34" t="s">
        <v>1711</v>
      </c>
      <c r="J7" s="34" t="s">
        <v>1712</v>
      </c>
      <c r="K7" s="50" t="s">
        <v>168</v>
      </c>
      <c r="L7" s="50" t="s">
        <v>1206</v>
      </c>
      <c r="M7" s="34" t="s">
        <v>1713</v>
      </c>
      <c r="N7" s="34" t="s">
        <v>1714</v>
      </c>
      <c r="O7" s="34" t="s">
        <v>297</v>
      </c>
      <c r="P7" s="34" t="s">
        <v>1715</v>
      </c>
      <c r="Q7" s="50" t="s">
        <v>309</v>
      </c>
      <c r="R7" s="34" t="s">
        <v>1716</v>
      </c>
      <c r="S7" s="34"/>
      <c r="T7" s="52" t="str">
        <f aca="false">IF(A7="","",IF(Q7="Closed","Closed","Open"))</f>
        <v>Open</v>
      </c>
      <c r="U7" s="52" t="str">
        <f aca="false">IF(OR(A7="",NOT(ISNUMBER(D7))),"",IF(D7&gt;=AsOf-IncidentWindowDays,"Yes","No"))</f>
        <v>Yes</v>
      </c>
      <c r="V7" s="54" t="str">
        <f aca="false">IF(A7="","",IF(T7="Open",IF(COUNTIFS(MON_SUP,B7,MON_TYPE,"Supplier risk reassessment",MON_REVDATE,"&gt;="&amp;INT(N(D7)))&gt;0,"Open - reassessment event recorded or planned","Open - consider supplier risk reassessment"),IF(COUNTIFS(MON_SUP,B7,MON_TYPE,"Supplier risk reassessment",MON_REVDATE,"&gt;="&amp;INT(N(D7)))&gt;0,"Reassessment event recorded","Closed - no reassessment event recorded")))</f>
        <v>Open - reassessment event recorded or planned</v>
      </c>
      <c r="W7" s="54" t="str">
        <f aca="false">IF(A7="","",IF(COUNTIF(INC_ID,A7)&gt;1,"CHECK: duplicate ID",IF(B7="","CHECK: Supplier ID missing",IF(COUNTIF(INV_ID,B7)=0,"CHECK: Supplier ID not in inventory","OK"))))</f>
        <v>OK</v>
      </c>
    </row>
    <row r="8" customFormat="false" ht="35.05" hidden="false" customHeight="false" outlineLevel="0" collapsed="false">
      <c r="A8" s="50" t="s">
        <v>1717</v>
      </c>
      <c r="B8" s="50" t="s">
        <v>479</v>
      </c>
      <c r="C8" s="59" t="str">
        <f aca="false">IF(B8="","",IFERROR(INDEX(INV_NAME,MATCH(B8,INV_ID,0)),"CHECK: Supplier ID not found"))</f>
        <v>Northwind Cloud Hosting Ltd</v>
      </c>
      <c r="D8" s="65" t="n">
        <v>46244.3854166667</v>
      </c>
      <c r="E8" s="34" t="s">
        <v>1718</v>
      </c>
      <c r="F8" s="34" t="s">
        <v>1719</v>
      </c>
      <c r="G8" s="34" t="s">
        <v>1720</v>
      </c>
      <c r="H8" s="34"/>
      <c r="I8" s="34"/>
      <c r="J8" s="34" t="s">
        <v>1721</v>
      </c>
      <c r="K8" s="50" t="s">
        <v>168</v>
      </c>
      <c r="L8" s="50" t="s">
        <v>1170</v>
      </c>
      <c r="M8" s="34" t="s">
        <v>1722</v>
      </c>
      <c r="N8" s="34" t="s">
        <v>1723</v>
      </c>
      <c r="O8" s="34" t="s">
        <v>271</v>
      </c>
      <c r="P8" s="34" t="s">
        <v>1724</v>
      </c>
      <c r="Q8" s="50" t="s">
        <v>397</v>
      </c>
      <c r="R8" s="34" t="s">
        <v>633</v>
      </c>
      <c r="S8" s="34" t="s">
        <v>1725</v>
      </c>
      <c r="T8" s="52" t="str">
        <f aca="false">IF(A8="","",IF(Q8="Closed","Closed","Open"))</f>
        <v>Closed</v>
      </c>
      <c r="U8" s="52" t="str">
        <f aca="false">IF(OR(A8="",NOT(ISNUMBER(D8))),"",IF(D8&gt;=AsOf-IncidentWindowDays,"Yes","No"))</f>
        <v>Yes</v>
      </c>
      <c r="V8" s="54" t="str">
        <f aca="false">IF(A8="","",IF(T8="Open",IF(COUNTIFS(MON_SUP,B8,MON_TYPE,"Supplier risk reassessment",MON_REVDATE,"&gt;="&amp;INT(N(D8)))&gt;0,"Open - reassessment event recorded or planned","Open - consider supplier risk reassessment"),IF(COUNTIFS(MON_SUP,B8,MON_TYPE,"Supplier risk reassessment",MON_REVDATE,"&gt;="&amp;INT(N(D8)))&gt;0,"Reassessment event recorded","Closed - no reassessment event recorded")))</f>
        <v>Closed - no reassessment event recorded</v>
      </c>
      <c r="W8" s="54" t="str">
        <f aca="false">IF(A8="","",IF(COUNTIF(INC_ID,A8)&gt;1,"CHECK: duplicate ID",IF(B8="","CHECK: Supplier ID missing",IF(COUNTIF(INV_ID,B8)=0,"CHECK: Supplier ID not in inventory","OK"))))</f>
        <v>OK</v>
      </c>
    </row>
    <row r="9" customFormat="false" ht="15" hidden="false" customHeight="false" outlineLevel="0" collapsed="false">
      <c r="A9" s="50"/>
      <c r="B9" s="50"/>
      <c r="C9" s="59" t="str">
        <f aca="false">IF(B9="","",IFERROR(INDEX(INV_NAME,MATCH(B9,INV_ID,0)),"CHECK: Supplier ID not found"))</f>
        <v/>
      </c>
      <c r="D9" s="65"/>
      <c r="E9" s="34"/>
      <c r="F9" s="34"/>
      <c r="G9" s="34"/>
      <c r="H9" s="34"/>
      <c r="I9" s="34"/>
      <c r="J9" s="34"/>
      <c r="K9" s="50"/>
      <c r="L9" s="50"/>
      <c r="M9" s="34"/>
      <c r="N9" s="34"/>
      <c r="O9" s="34"/>
      <c r="P9" s="34"/>
      <c r="Q9" s="50"/>
      <c r="R9" s="34"/>
      <c r="S9" s="34"/>
      <c r="T9" s="52" t="str">
        <f aca="false">IF(A9="","",IF(Q9="Closed","Closed","Open"))</f>
        <v/>
      </c>
      <c r="U9" s="52" t="str">
        <f aca="false">IF(OR(A9="",NOT(ISNUMBER(D9))),"",IF(D9&gt;=AsOf-IncidentWindowDays,"Yes","No"))</f>
        <v/>
      </c>
      <c r="V9" s="54" t="str">
        <f aca="false">IF(A9="","",IF(T9="Open",IF(COUNTIFS(MON_SUP,B9,MON_TYPE,"Supplier risk reassessment",MON_REVDATE,"&gt;="&amp;INT(N(D9)))&gt;0,"Open - reassessment event recorded or planned","Open - consider supplier risk reassessment"),IF(COUNTIFS(MON_SUP,B9,MON_TYPE,"Supplier risk reassessment",MON_REVDATE,"&gt;="&amp;INT(N(D9)))&gt;0,"Reassessment event recorded","Closed - no reassessment event recorded")))</f>
        <v/>
      </c>
      <c r="W9" s="54" t="str">
        <f aca="false">IF(A9="","",IF(COUNTIF(INC_ID,A9)&gt;1,"CHECK: duplicate ID",IF(B9="","CHECK: Supplier ID missing",IF(COUNTIF(INV_ID,B9)=0,"CHECK: Supplier ID not in inventory","OK"))))</f>
        <v/>
      </c>
    </row>
    <row r="10" customFormat="false" ht="15" hidden="false" customHeight="false" outlineLevel="0" collapsed="false">
      <c r="A10" s="50"/>
      <c r="B10" s="50"/>
      <c r="C10" s="59" t="str">
        <f aca="false">IF(B10="","",IFERROR(INDEX(INV_NAME,MATCH(B10,INV_ID,0)),"CHECK: Supplier ID not found"))</f>
        <v/>
      </c>
      <c r="D10" s="65"/>
      <c r="E10" s="34"/>
      <c r="F10" s="34"/>
      <c r="G10" s="34"/>
      <c r="H10" s="34"/>
      <c r="I10" s="34"/>
      <c r="J10" s="34"/>
      <c r="K10" s="50"/>
      <c r="L10" s="50"/>
      <c r="M10" s="34"/>
      <c r="N10" s="34"/>
      <c r="O10" s="34"/>
      <c r="P10" s="34"/>
      <c r="Q10" s="50"/>
      <c r="R10" s="34"/>
      <c r="S10" s="34"/>
      <c r="T10" s="52" t="str">
        <f aca="false">IF(A10="","",IF(Q10="Closed","Closed","Open"))</f>
        <v/>
      </c>
      <c r="U10" s="52" t="str">
        <f aca="false">IF(OR(A10="",NOT(ISNUMBER(D10))),"",IF(D10&gt;=AsOf-IncidentWindowDays,"Yes","No"))</f>
        <v/>
      </c>
      <c r="V10" s="54" t="str">
        <f aca="false">IF(A10="","",IF(T10="Open",IF(COUNTIFS(MON_SUP,B10,MON_TYPE,"Supplier risk reassessment",MON_REVDATE,"&gt;="&amp;INT(N(D10)))&gt;0,"Open - reassessment event recorded or planned","Open - consider supplier risk reassessment"),IF(COUNTIFS(MON_SUP,B10,MON_TYPE,"Supplier risk reassessment",MON_REVDATE,"&gt;="&amp;INT(N(D10)))&gt;0,"Reassessment event recorded","Closed - no reassessment event recorded")))</f>
        <v/>
      </c>
      <c r="W10" s="54" t="str">
        <f aca="false">IF(A10="","",IF(COUNTIF(INC_ID,A10)&gt;1,"CHECK: duplicate ID",IF(B10="","CHECK: Supplier ID missing",IF(COUNTIF(INV_ID,B10)=0,"CHECK: Supplier ID not in inventory","OK"))))</f>
        <v/>
      </c>
    </row>
    <row r="11" customFormat="false" ht="15" hidden="false" customHeight="false" outlineLevel="0" collapsed="false">
      <c r="A11" s="50"/>
      <c r="B11" s="50"/>
      <c r="C11" s="59" t="str">
        <f aca="false">IF(B11="","",IFERROR(INDEX(INV_NAME,MATCH(B11,INV_ID,0)),"CHECK: Supplier ID not found"))</f>
        <v/>
      </c>
      <c r="D11" s="65"/>
      <c r="E11" s="34"/>
      <c r="F11" s="34"/>
      <c r="G11" s="34"/>
      <c r="H11" s="34"/>
      <c r="I11" s="34"/>
      <c r="J11" s="34"/>
      <c r="K11" s="50"/>
      <c r="L11" s="50"/>
      <c r="M11" s="34"/>
      <c r="N11" s="34"/>
      <c r="O11" s="34"/>
      <c r="P11" s="34"/>
      <c r="Q11" s="50"/>
      <c r="R11" s="34"/>
      <c r="S11" s="34"/>
      <c r="T11" s="52" t="str">
        <f aca="false">IF(A11="","",IF(Q11="Closed","Closed","Open"))</f>
        <v/>
      </c>
      <c r="U11" s="52" t="str">
        <f aca="false">IF(OR(A11="",NOT(ISNUMBER(D11))),"",IF(D11&gt;=AsOf-IncidentWindowDays,"Yes","No"))</f>
        <v/>
      </c>
      <c r="V11" s="54" t="str">
        <f aca="false">IF(A11="","",IF(T11="Open",IF(COUNTIFS(MON_SUP,B11,MON_TYPE,"Supplier risk reassessment",MON_REVDATE,"&gt;="&amp;INT(N(D11)))&gt;0,"Open - reassessment event recorded or planned","Open - consider supplier risk reassessment"),IF(COUNTIFS(MON_SUP,B11,MON_TYPE,"Supplier risk reassessment",MON_REVDATE,"&gt;="&amp;INT(N(D11)))&gt;0,"Reassessment event recorded","Closed - no reassessment event recorded")))</f>
        <v/>
      </c>
      <c r="W11" s="54" t="str">
        <f aca="false">IF(A11="","",IF(COUNTIF(INC_ID,A11)&gt;1,"CHECK: duplicate ID",IF(B11="","CHECK: Supplier ID missing",IF(COUNTIF(INV_ID,B11)=0,"CHECK: Supplier ID not in inventory","OK"))))</f>
        <v/>
      </c>
    </row>
    <row r="12" customFormat="false" ht="15" hidden="false" customHeight="false" outlineLevel="0" collapsed="false">
      <c r="A12" s="50"/>
      <c r="B12" s="50"/>
      <c r="C12" s="59" t="str">
        <f aca="false">IF(B12="","",IFERROR(INDEX(INV_NAME,MATCH(B12,INV_ID,0)),"CHECK: Supplier ID not found"))</f>
        <v/>
      </c>
      <c r="D12" s="65"/>
      <c r="E12" s="34"/>
      <c r="F12" s="34"/>
      <c r="G12" s="34"/>
      <c r="H12" s="34"/>
      <c r="I12" s="34"/>
      <c r="J12" s="34"/>
      <c r="K12" s="50"/>
      <c r="L12" s="50"/>
      <c r="M12" s="34"/>
      <c r="N12" s="34"/>
      <c r="O12" s="34"/>
      <c r="P12" s="34"/>
      <c r="Q12" s="50"/>
      <c r="R12" s="34"/>
      <c r="S12" s="34"/>
      <c r="T12" s="52" t="str">
        <f aca="false">IF(A12="","",IF(Q12="Closed","Closed","Open"))</f>
        <v/>
      </c>
      <c r="U12" s="52" t="str">
        <f aca="false">IF(OR(A12="",NOT(ISNUMBER(D12))),"",IF(D12&gt;=AsOf-IncidentWindowDays,"Yes","No"))</f>
        <v/>
      </c>
      <c r="V12" s="54" t="str">
        <f aca="false">IF(A12="","",IF(T12="Open",IF(COUNTIFS(MON_SUP,B12,MON_TYPE,"Supplier risk reassessment",MON_REVDATE,"&gt;="&amp;INT(N(D12)))&gt;0,"Open - reassessment event recorded or planned","Open - consider supplier risk reassessment"),IF(COUNTIFS(MON_SUP,B12,MON_TYPE,"Supplier risk reassessment",MON_REVDATE,"&gt;="&amp;INT(N(D12)))&gt;0,"Reassessment event recorded","Closed - no reassessment event recorded")))</f>
        <v/>
      </c>
      <c r="W12" s="54" t="str">
        <f aca="false">IF(A12="","",IF(COUNTIF(INC_ID,A12)&gt;1,"CHECK: duplicate ID",IF(B12="","CHECK: Supplier ID missing",IF(COUNTIF(INV_ID,B12)=0,"CHECK: Supplier ID not in inventory","OK"))))</f>
        <v/>
      </c>
    </row>
    <row r="13" customFormat="false" ht="15" hidden="false" customHeight="false" outlineLevel="0" collapsed="false">
      <c r="A13" s="50"/>
      <c r="B13" s="50"/>
      <c r="C13" s="59" t="str">
        <f aca="false">IF(B13="","",IFERROR(INDEX(INV_NAME,MATCH(B13,INV_ID,0)),"CHECK: Supplier ID not found"))</f>
        <v/>
      </c>
      <c r="D13" s="65"/>
      <c r="E13" s="34"/>
      <c r="F13" s="34"/>
      <c r="G13" s="34"/>
      <c r="H13" s="34"/>
      <c r="I13" s="34"/>
      <c r="J13" s="34"/>
      <c r="K13" s="50"/>
      <c r="L13" s="50"/>
      <c r="M13" s="34"/>
      <c r="N13" s="34"/>
      <c r="O13" s="34"/>
      <c r="P13" s="34"/>
      <c r="Q13" s="50"/>
      <c r="R13" s="34"/>
      <c r="S13" s="34"/>
      <c r="T13" s="52" t="str">
        <f aca="false">IF(A13="","",IF(Q13="Closed","Closed","Open"))</f>
        <v/>
      </c>
      <c r="U13" s="52" t="str">
        <f aca="false">IF(OR(A13="",NOT(ISNUMBER(D13))),"",IF(D13&gt;=AsOf-IncidentWindowDays,"Yes","No"))</f>
        <v/>
      </c>
      <c r="V13" s="54" t="str">
        <f aca="false">IF(A13="","",IF(T13="Open",IF(COUNTIFS(MON_SUP,B13,MON_TYPE,"Supplier risk reassessment",MON_REVDATE,"&gt;="&amp;INT(N(D13)))&gt;0,"Open - reassessment event recorded or planned","Open - consider supplier risk reassessment"),IF(COUNTIFS(MON_SUP,B13,MON_TYPE,"Supplier risk reassessment",MON_REVDATE,"&gt;="&amp;INT(N(D13)))&gt;0,"Reassessment event recorded","Closed - no reassessment event recorded")))</f>
        <v/>
      </c>
      <c r="W13" s="54" t="str">
        <f aca="false">IF(A13="","",IF(COUNTIF(INC_ID,A13)&gt;1,"CHECK: duplicate ID",IF(B13="","CHECK: Supplier ID missing",IF(COUNTIF(INV_ID,B13)=0,"CHECK: Supplier ID not in inventory","OK"))))</f>
        <v/>
      </c>
    </row>
    <row r="14" customFormat="false" ht="15" hidden="false" customHeight="false" outlineLevel="0" collapsed="false">
      <c r="A14" s="50"/>
      <c r="B14" s="50"/>
      <c r="C14" s="59" t="str">
        <f aca="false">IF(B14="","",IFERROR(INDEX(INV_NAME,MATCH(B14,INV_ID,0)),"CHECK: Supplier ID not found"))</f>
        <v/>
      </c>
      <c r="D14" s="65"/>
      <c r="E14" s="34"/>
      <c r="F14" s="34"/>
      <c r="G14" s="34"/>
      <c r="H14" s="34"/>
      <c r="I14" s="34"/>
      <c r="J14" s="34"/>
      <c r="K14" s="50"/>
      <c r="L14" s="50"/>
      <c r="M14" s="34"/>
      <c r="N14" s="34"/>
      <c r="O14" s="34"/>
      <c r="P14" s="34"/>
      <c r="Q14" s="50"/>
      <c r="R14" s="34"/>
      <c r="S14" s="34"/>
      <c r="T14" s="52" t="str">
        <f aca="false">IF(A14="","",IF(Q14="Closed","Closed","Open"))</f>
        <v/>
      </c>
      <c r="U14" s="52" t="str">
        <f aca="false">IF(OR(A14="",NOT(ISNUMBER(D14))),"",IF(D14&gt;=AsOf-IncidentWindowDays,"Yes","No"))</f>
        <v/>
      </c>
      <c r="V14" s="54" t="str">
        <f aca="false">IF(A14="","",IF(T14="Open",IF(COUNTIFS(MON_SUP,B14,MON_TYPE,"Supplier risk reassessment",MON_REVDATE,"&gt;="&amp;INT(N(D14)))&gt;0,"Open - reassessment event recorded or planned","Open - consider supplier risk reassessment"),IF(COUNTIFS(MON_SUP,B14,MON_TYPE,"Supplier risk reassessment",MON_REVDATE,"&gt;="&amp;INT(N(D14)))&gt;0,"Reassessment event recorded","Closed - no reassessment event recorded")))</f>
        <v/>
      </c>
      <c r="W14" s="54" t="str">
        <f aca="false">IF(A14="","",IF(COUNTIF(INC_ID,A14)&gt;1,"CHECK: duplicate ID",IF(B14="","CHECK: Supplier ID missing",IF(COUNTIF(INV_ID,B14)=0,"CHECK: Supplier ID not in inventory","OK"))))</f>
        <v/>
      </c>
    </row>
    <row r="15" customFormat="false" ht="15" hidden="false" customHeight="false" outlineLevel="0" collapsed="false">
      <c r="A15" s="50"/>
      <c r="B15" s="50"/>
      <c r="C15" s="59" t="str">
        <f aca="false">IF(B15="","",IFERROR(INDEX(INV_NAME,MATCH(B15,INV_ID,0)),"CHECK: Supplier ID not found"))</f>
        <v/>
      </c>
      <c r="D15" s="65"/>
      <c r="E15" s="34"/>
      <c r="F15" s="34"/>
      <c r="G15" s="34"/>
      <c r="H15" s="34"/>
      <c r="I15" s="34"/>
      <c r="J15" s="34"/>
      <c r="K15" s="50"/>
      <c r="L15" s="50"/>
      <c r="M15" s="34"/>
      <c r="N15" s="34"/>
      <c r="O15" s="34"/>
      <c r="P15" s="34"/>
      <c r="Q15" s="50"/>
      <c r="R15" s="34"/>
      <c r="S15" s="34"/>
      <c r="T15" s="52" t="str">
        <f aca="false">IF(A15="","",IF(Q15="Closed","Closed","Open"))</f>
        <v/>
      </c>
      <c r="U15" s="52" t="str">
        <f aca="false">IF(OR(A15="",NOT(ISNUMBER(D15))),"",IF(D15&gt;=AsOf-IncidentWindowDays,"Yes","No"))</f>
        <v/>
      </c>
      <c r="V15" s="54" t="str">
        <f aca="false">IF(A15="","",IF(T15="Open",IF(COUNTIFS(MON_SUP,B15,MON_TYPE,"Supplier risk reassessment",MON_REVDATE,"&gt;="&amp;INT(N(D15)))&gt;0,"Open - reassessment event recorded or planned","Open - consider supplier risk reassessment"),IF(COUNTIFS(MON_SUP,B15,MON_TYPE,"Supplier risk reassessment",MON_REVDATE,"&gt;="&amp;INT(N(D15)))&gt;0,"Reassessment event recorded","Closed - no reassessment event recorded")))</f>
        <v/>
      </c>
      <c r="W15" s="54" t="str">
        <f aca="false">IF(A15="","",IF(COUNTIF(INC_ID,A15)&gt;1,"CHECK: duplicate ID",IF(B15="","CHECK: Supplier ID missing",IF(COUNTIF(INV_ID,B15)=0,"CHECK: Supplier ID not in inventory","OK"))))</f>
        <v/>
      </c>
    </row>
    <row r="16" customFormat="false" ht="15" hidden="false" customHeight="false" outlineLevel="0" collapsed="false">
      <c r="A16" s="50"/>
      <c r="B16" s="50"/>
      <c r="C16" s="59" t="str">
        <f aca="false">IF(B16="","",IFERROR(INDEX(INV_NAME,MATCH(B16,INV_ID,0)),"CHECK: Supplier ID not found"))</f>
        <v/>
      </c>
      <c r="D16" s="65"/>
      <c r="E16" s="34"/>
      <c r="F16" s="34"/>
      <c r="G16" s="34"/>
      <c r="H16" s="34"/>
      <c r="I16" s="34"/>
      <c r="J16" s="34"/>
      <c r="K16" s="50"/>
      <c r="L16" s="50"/>
      <c r="M16" s="34"/>
      <c r="N16" s="34"/>
      <c r="O16" s="34"/>
      <c r="P16" s="34"/>
      <c r="Q16" s="50"/>
      <c r="R16" s="34"/>
      <c r="S16" s="34"/>
      <c r="T16" s="52" t="str">
        <f aca="false">IF(A16="","",IF(Q16="Closed","Closed","Open"))</f>
        <v/>
      </c>
      <c r="U16" s="52" t="str">
        <f aca="false">IF(OR(A16="",NOT(ISNUMBER(D16))),"",IF(D16&gt;=AsOf-IncidentWindowDays,"Yes","No"))</f>
        <v/>
      </c>
      <c r="V16" s="54" t="str">
        <f aca="false">IF(A16="","",IF(T16="Open",IF(COUNTIFS(MON_SUP,B16,MON_TYPE,"Supplier risk reassessment",MON_REVDATE,"&gt;="&amp;INT(N(D16)))&gt;0,"Open - reassessment event recorded or planned","Open - consider supplier risk reassessment"),IF(COUNTIFS(MON_SUP,B16,MON_TYPE,"Supplier risk reassessment",MON_REVDATE,"&gt;="&amp;INT(N(D16)))&gt;0,"Reassessment event recorded","Closed - no reassessment event recorded")))</f>
        <v/>
      </c>
      <c r="W16" s="54" t="str">
        <f aca="false">IF(A16="","",IF(COUNTIF(INC_ID,A16)&gt;1,"CHECK: duplicate ID",IF(B16="","CHECK: Supplier ID missing",IF(COUNTIF(INV_ID,B16)=0,"CHECK: Supplier ID not in inventory","OK"))))</f>
        <v/>
      </c>
    </row>
    <row r="17" customFormat="false" ht="15" hidden="false" customHeight="false" outlineLevel="0" collapsed="false">
      <c r="A17" s="50"/>
      <c r="B17" s="50"/>
      <c r="C17" s="59" t="str">
        <f aca="false">IF(B17="","",IFERROR(INDEX(INV_NAME,MATCH(B17,INV_ID,0)),"CHECK: Supplier ID not found"))</f>
        <v/>
      </c>
      <c r="D17" s="65"/>
      <c r="E17" s="34"/>
      <c r="F17" s="34"/>
      <c r="G17" s="34"/>
      <c r="H17" s="34"/>
      <c r="I17" s="34"/>
      <c r="J17" s="34"/>
      <c r="K17" s="50"/>
      <c r="L17" s="50"/>
      <c r="M17" s="34"/>
      <c r="N17" s="34"/>
      <c r="O17" s="34"/>
      <c r="P17" s="34"/>
      <c r="Q17" s="50"/>
      <c r="R17" s="34"/>
      <c r="S17" s="34"/>
      <c r="T17" s="52" t="str">
        <f aca="false">IF(A17="","",IF(Q17="Closed","Closed","Open"))</f>
        <v/>
      </c>
      <c r="U17" s="52" t="str">
        <f aca="false">IF(OR(A17="",NOT(ISNUMBER(D17))),"",IF(D17&gt;=AsOf-IncidentWindowDays,"Yes","No"))</f>
        <v/>
      </c>
      <c r="V17" s="54" t="str">
        <f aca="false">IF(A17="","",IF(T17="Open",IF(COUNTIFS(MON_SUP,B17,MON_TYPE,"Supplier risk reassessment",MON_REVDATE,"&gt;="&amp;INT(N(D17)))&gt;0,"Open - reassessment event recorded or planned","Open - consider supplier risk reassessment"),IF(COUNTIFS(MON_SUP,B17,MON_TYPE,"Supplier risk reassessment",MON_REVDATE,"&gt;="&amp;INT(N(D17)))&gt;0,"Reassessment event recorded","Closed - no reassessment event recorded")))</f>
        <v/>
      </c>
      <c r="W17" s="54" t="str">
        <f aca="false">IF(A17="","",IF(COUNTIF(INC_ID,A17)&gt;1,"CHECK: duplicate ID",IF(B17="","CHECK: Supplier ID missing",IF(COUNTIF(INV_ID,B17)=0,"CHECK: Supplier ID not in inventory","OK"))))</f>
        <v/>
      </c>
    </row>
    <row r="18" customFormat="false" ht="15" hidden="false" customHeight="false" outlineLevel="0" collapsed="false">
      <c r="A18" s="50"/>
      <c r="B18" s="50"/>
      <c r="C18" s="59" t="str">
        <f aca="false">IF(B18="","",IFERROR(INDEX(INV_NAME,MATCH(B18,INV_ID,0)),"CHECK: Supplier ID not found"))</f>
        <v/>
      </c>
      <c r="D18" s="65"/>
      <c r="E18" s="34"/>
      <c r="F18" s="34"/>
      <c r="G18" s="34"/>
      <c r="H18" s="34"/>
      <c r="I18" s="34"/>
      <c r="J18" s="34"/>
      <c r="K18" s="50"/>
      <c r="L18" s="50"/>
      <c r="M18" s="34"/>
      <c r="N18" s="34"/>
      <c r="O18" s="34"/>
      <c r="P18" s="34"/>
      <c r="Q18" s="50"/>
      <c r="R18" s="34"/>
      <c r="S18" s="34"/>
      <c r="T18" s="52" t="str">
        <f aca="false">IF(A18="","",IF(Q18="Closed","Closed","Open"))</f>
        <v/>
      </c>
      <c r="U18" s="52" t="str">
        <f aca="false">IF(OR(A18="",NOT(ISNUMBER(D18))),"",IF(D18&gt;=AsOf-IncidentWindowDays,"Yes","No"))</f>
        <v/>
      </c>
      <c r="V18" s="54" t="str">
        <f aca="false">IF(A18="","",IF(T18="Open",IF(COUNTIFS(MON_SUP,B18,MON_TYPE,"Supplier risk reassessment",MON_REVDATE,"&gt;="&amp;INT(N(D18)))&gt;0,"Open - reassessment event recorded or planned","Open - consider supplier risk reassessment"),IF(COUNTIFS(MON_SUP,B18,MON_TYPE,"Supplier risk reassessment",MON_REVDATE,"&gt;="&amp;INT(N(D18)))&gt;0,"Reassessment event recorded","Closed - no reassessment event recorded")))</f>
        <v/>
      </c>
      <c r="W18" s="54" t="str">
        <f aca="false">IF(A18="","",IF(COUNTIF(INC_ID,A18)&gt;1,"CHECK: duplicate ID",IF(B18="","CHECK: Supplier ID missing",IF(COUNTIF(INV_ID,B18)=0,"CHECK: Supplier ID not in inventory","OK"))))</f>
        <v/>
      </c>
    </row>
    <row r="19" customFormat="false" ht="15" hidden="false" customHeight="false" outlineLevel="0" collapsed="false">
      <c r="A19" s="50"/>
      <c r="B19" s="50"/>
      <c r="C19" s="59" t="str">
        <f aca="false">IF(B19="","",IFERROR(INDEX(INV_NAME,MATCH(B19,INV_ID,0)),"CHECK: Supplier ID not found"))</f>
        <v/>
      </c>
      <c r="D19" s="65"/>
      <c r="E19" s="34"/>
      <c r="F19" s="34"/>
      <c r="G19" s="34"/>
      <c r="H19" s="34"/>
      <c r="I19" s="34"/>
      <c r="J19" s="34"/>
      <c r="K19" s="50"/>
      <c r="L19" s="50"/>
      <c r="M19" s="34"/>
      <c r="N19" s="34"/>
      <c r="O19" s="34"/>
      <c r="P19" s="34"/>
      <c r="Q19" s="50"/>
      <c r="R19" s="34"/>
      <c r="S19" s="34"/>
      <c r="T19" s="52" t="str">
        <f aca="false">IF(A19="","",IF(Q19="Closed","Closed","Open"))</f>
        <v/>
      </c>
      <c r="U19" s="52" t="str">
        <f aca="false">IF(OR(A19="",NOT(ISNUMBER(D19))),"",IF(D19&gt;=AsOf-IncidentWindowDays,"Yes","No"))</f>
        <v/>
      </c>
      <c r="V19" s="54" t="str">
        <f aca="false">IF(A19="","",IF(T19="Open",IF(COUNTIFS(MON_SUP,B19,MON_TYPE,"Supplier risk reassessment",MON_REVDATE,"&gt;="&amp;INT(N(D19)))&gt;0,"Open - reassessment event recorded or planned","Open - consider supplier risk reassessment"),IF(COUNTIFS(MON_SUP,B19,MON_TYPE,"Supplier risk reassessment",MON_REVDATE,"&gt;="&amp;INT(N(D19)))&gt;0,"Reassessment event recorded","Closed - no reassessment event recorded")))</f>
        <v/>
      </c>
      <c r="W19" s="54" t="str">
        <f aca="false">IF(A19="","",IF(COUNTIF(INC_ID,A19)&gt;1,"CHECK: duplicate ID",IF(B19="","CHECK: Supplier ID missing",IF(COUNTIF(INV_ID,B19)=0,"CHECK: Supplier ID not in inventory","OK"))))</f>
        <v/>
      </c>
    </row>
    <row r="20" customFormat="false" ht="15" hidden="false" customHeight="false" outlineLevel="0" collapsed="false">
      <c r="A20" s="50"/>
      <c r="B20" s="50"/>
      <c r="C20" s="59" t="str">
        <f aca="false">IF(B20="","",IFERROR(INDEX(INV_NAME,MATCH(B20,INV_ID,0)),"CHECK: Supplier ID not found"))</f>
        <v/>
      </c>
      <c r="D20" s="65"/>
      <c r="E20" s="34"/>
      <c r="F20" s="34"/>
      <c r="G20" s="34"/>
      <c r="H20" s="34"/>
      <c r="I20" s="34"/>
      <c r="J20" s="34"/>
      <c r="K20" s="50"/>
      <c r="L20" s="50"/>
      <c r="M20" s="34"/>
      <c r="N20" s="34"/>
      <c r="O20" s="34"/>
      <c r="P20" s="34"/>
      <c r="Q20" s="50"/>
      <c r="R20" s="34"/>
      <c r="S20" s="34"/>
      <c r="T20" s="52" t="str">
        <f aca="false">IF(A20="","",IF(Q20="Closed","Closed","Open"))</f>
        <v/>
      </c>
      <c r="U20" s="52" t="str">
        <f aca="false">IF(OR(A20="",NOT(ISNUMBER(D20))),"",IF(D20&gt;=AsOf-IncidentWindowDays,"Yes","No"))</f>
        <v/>
      </c>
      <c r="V20" s="54" t="str">
        <f aca="false">IF(A20="","",IF(T20="Open",IF(COUNTIFS(MON_SUP,B20,MON_TYPE,"Supplier risk reassessment",MON_REVDATE,"&gt;="&amp;INT(N(D20)))&gt;0,"Open - reassessment event recorded or planned","Open - consider supplier risk reassessment"),IF(COUNTIFS(MON_SUP,B20,MON_TYPE,"Supplier risk reassessment",MON_REVDATE,"&gt;="&amp;INT(N(D20)))&gt;0,"Reassessment event recorded","Closed - no reassessment event recorded")))</f>
        <v/>
      </c>
      <c r="W20" s="54" t="str">
        <f aca="false">IF(A20="","",IF(COUNTIF(INC_ID,A20)&gt;1,"CHECK: duplicate ID",IF(B20="","CHECK: Supplier ID missing",IF(COUNTIF(INV_ID,B20)=0,"CHECK: Supplier ID not in inventory","OK"))))</f>
        <v/>
      </c>
    </row>
    <row r="21" customFormat="false" ht="15" hidden="false" customHeight="false" outlineLevel="0" collapsed="false">
      <c r="A21" s="50"/>
      <c r="B21" s="50"/>
      <c r="C21" s="59" t="str">
        <f aca="false">IF(B21="","",IFERROR(INDEX(INV_NAME,MATCH(B21,INV_ID,0)),"CHECK: Supplier ID not found"))</f>
        <v/>
      </c>
      <c r="D21" s="65"/>
      <c r="E21" s="34"/>
      <c r="F21" s="34"/>
      <c r="G21" s="34"/>
      <c r="H21" s="34"/>
      <c r="I21" s="34"/>
      <c r="J21" s="34"/>
      <c r="K21" s="50"/>
      <c r="L21" s="50"/>
      <c r="M21" s="34"/>
      <c r="N21" s="34"/>
      <c r="O21" s="34"/>
      <c r="P21" s="34"/>
      <c r="Q21" s="50"/>
      <c r="R21" s="34"/>
      <c r="S21" s="34"/>
      <c r="T21" s="52" t="str">
        <f aca="false">IF(A21="","",IF(Q21="Closed","Closed","Open"))</f>
        <v/>
      </c>
      <c r="U21" s="52" t="str">
        <f aca="false">IF(OR(A21="",NOT(ISNUMBER(D21))),"",IF(D21&gt;=AsOf-IncidentWindowDays,"Yes","No"))</f>
        <v/>
      </c>
      <c r="V21" s="54" t="str">
        <f aca="false">IF(A21="","",IF(T21="Open",IF(COUNTIFS(MON_SUP,B21,MON_TYPE,"Supplier risk reassessment",MON_REVDATE,"&gt;="&amp;INT(N(D21)))&gt;0,"Open - reassessment event recorded or planned","Open - consider supplier risk reassessment"),IF(COUNTIFS(MON_SUP,B21,MON_TYPE,"Supplier risk reassessment",MON_REVDATE,"&gt;="&amp;INT(N(D21)))&gt;0,"Reassessment event recorded","Closed - no reassessment event recorded")))</f>
        <v/>
      </c>
      <c r="W21" s="54" t="str">
        <f aca="false">IF(A21="","",IF(COUNTIF(INC_ID,A21)&gt;1,"CHECK: duplicate ID",IF(B21="","CHECK: Supplier ID missing",IF(COUNTIF(INV_ID,B21)=0,"CHECK: Supplier ID not in inventory","OK"))))</f>
        <v/>
      </c>
    </row>
    <row r="22" customFormat="false" ht="15" hidden="false" customHeight="false" outlineLevel="0" collapsed="false">
      <c r="A22" s="50"/>
      <c r="B22" s="50"/>
      <c r="C22" s="59" t="str">
        <f aca="false">IF(B22="","",IFERROR(INDEX(INV_NAME,MATCH(B22,INV_ID,0)),"CHECK: Supplier ID not found"))</f>
        <v/>
      </c>
      <c r="D22" s="65"/>
      <c r="E22" s="34"/>
      <c r="F22" s="34"/>
      <c r="G22" s="34"/>
      <c r="H22" s="34"/>
      <c r="I22" s="34"/>
      <c r="J22" s="34"/>
      <c r="K22" s="50"/>
      <c r="L22" s="50"/>
      <c r="M22" s="34"/>
      <c r="N22" s="34"/>
      <c r="O22" s="34"/>
      <c r="P22" s="34"/>
      <c r="Q22" s="50"/>
      <c r="R22" s="34"/>
      <c r="S22" s="34"/>
      <c r="T22" s="52" t="str">
        <f aca="false">IF(A22="","",IF(Q22="Closed","Closed","Open"))</f>
        <v/>
      </c>
      <c r="U22" s="52" t="str">
        <f aca="false">IF(OR(A22="",NOT(ISNUMBER(D22))),"",IF(D22&gt;=AsOf-IncidentWindowDays,"Yes","No"))</f>
        <v/>
      </c>
      <c r="V22" s="54" t="str">
        <f aca="false">IF(A22="","",IF(T22="Open",IF(COUNTIFS(MON_SUP,B22,MON_TYPE,"Supplier risk reassessment",MON_REVDATE,"&gt;="&amp;INT(N(D22)))&gt;0,"Open - reassessment event recorded or planned","Open - consider supplier risk reassessment"),IF(COUNTIFS(MON_SUP,B22,MON_TYPE,"Supplier risk reassessment",MON_REVDATE,"&gt;="&amp;INT(N(D22)))&gt;0,"Reassessment event recorded","Closed - no reassessment event recorded")))</f>
        <v/>
      </c>
      <c r="W22" s="54" t="str">
        <f aca="false">IF(A22="","",IF(COUNTIF(INC_ID,A22)&gt;1,"CHECK: duplicate ID",IF(B22="","CHECK: Supplier ID missing",IF(COUNTIF(INV_ID,B22)=0,"CHECK: Supplier ID not in inventory","OK"))))</f>
        <v/>
      </c>
    </row>
    <row r="23" customFormat="false" ht="15" hidden="false" customHeight="false" outlineLevel="0" collapsed="false">
      <c r="A23" s="50"/>
      <c r="B23" s="50"/>
      <c r="C23" s="59" t="str">
        <f aca="false">IF(B23="","",IFERROR(INDEX(INV_NAME,MATCH(B23,INV_ID,0)),"CHECK: Supplier ID not found"))</f>
        <v/>
      </c>
      <c r="D23" s="65"/>
      <c r="E23" s="34"/>
      <c r="F23" s="34"/>
      <c r="G23" s="34"/>
      <c r="H23" s="34"/>
      <c r="I23" s="34"/>
      <c r="J23" s="34"/>
      <c r="K23" s="50"/>
      <c r="L23" s="50"/>
      <c r="M23" s="34"/>
      <c r="N23" s="34"/>
      <c r="O23" s="34"/>
      <c r="P23" s="34"/>
      <c r="Q23" s="50"/>
      <c r="R23" s="34"/>
      <c r="S23" s="34"/>
      <c r="T23" s="52" t="str">
        <f aca="false">IF(A23="","",IF(Q23="Closed","Closed","Open"))</f>
        <v/>
      </c>
      <c r="U23" s="52" t="str">
        <f aca="false">IF(OR(A23="",NOT(ISNUMBER(D23))),"",IF(D23&gt;=AsOf-IncidentWindowDays,"Yes","No"))</f>
        <v/>
      </c>
      <c r="V23" s="54" t="str">
        <f aca="false">IF(A23="","",IF(T23="Open",IF(COUNTIFS(MON_SUP,B23,MON_TYPE,"Supplier risk reassessment",MON_REVDATE,"&gt;="&amp;INT(N(D23)))&gt;0,"Open - reassessment event recorded or planned","Open - consider supplier risk reassessment"),IF(COUNTIFS(MON_SUP,B23,MON_TYPE,"Supplier risk reassessment",MON_REVDATE,"&gt;="&amp;INT(N(D23)))&gt;0,"Reassessment event recorded","Closed - no reassessment event recorded")))</f>
        <v/>
      </c>
      <c r="W23" s="54" t="str">
        <f aca="false">IF(A23="","",IF(COUNTIF(INC_ID,A23)&gt;1,"CHECK: duplicate ID",IF(B23="","CHECK: Supplier ID missing",IF(COUNTIF(INV_ID,B23)=0,"CHECK: Supplier ID not in inventory","OK"))))</f>
        <v/>
      </c>
    </row>
    <row r="24" customFormat="false" ht="15" hidden="false" customHeight="false" outlineLevel="0" collapsed="false">
      <c r="A24" s="50"/>
      <c r="B24" s="50"/>
      <c r="C24" s="59" t="str">
        <f aca="false">IF(B24="","",IFERROR(INDEX(INV_NAME,MATCH(B24,INV_ID,0)),"CHECK: Supplier ID not found"))</f>
        <v/>
      </c>
      <c r="D24" s="65"/>
      <c r="E24" s="34"/>
      <c r="F24" s="34"/>
      <c r="G24" s="34"/>
      <c r="H24" s="34"/>
      <c r="I24" s="34"/>
      <c r="J24" s="34"/>
      <c r="K24" s="50"/>
      <c r="L24" s="50"/>
      <c r="M24" s="34"/>
      <c r="N24" s="34"/>
      <c r="O24" s="34"/>
      <c r="P24" s="34"/>
      <c r="Q24" s="50"/>
      <c r="R24" s="34"/>
      <c r="S24" s="34"/>
      <c r="T24" s="52" t="str">
        <f aca="false">IF(A24="","",IF(Q24="Closed","Closed","Open"))</f>
        <v/>
      </c>
      <c r="U24" s="52" t="str">
        <f aca="false">IF(OR(A24="",NOT(ISNUMBER(D24))),"",IF(D24&gt;=AsOf-IncidentWindowDays,"Yes","No"))</f>
        <v/>
      </c>
      <c r="V24" s="54" t="str">
        <f aca="false">IF(A24="","",IF(T24="Open",IF(COUNTIFS(MON_SUP,B24,MON_TYPE,"Supplier risk reassessment",MON_REVDATE,"&gt;="&amp;INT(N(D24)))&gt;0,"Open - reassessment event recorded or planned","Open - consider supplier risk reassessment"),IF(COUNTIFS(MON_SUP,B24,MON_TYPE,"Supplier risk reassessment",MON_REVDATE,"&gt;="&amp;INT(N(D24)))&gt;0,"Reassessment event recorded","Closed - no reassessment event recorded")))</f>
        <v/>
      </c>
      <c r="W24" s="54" t="str">
        <f aca="false">IF(A24="","",IF(COUNTIF(INC_ID,A24)&gt;1,"CHECK: duplicate ID",IF(B24="","CHECK: Supplier ID missing",IF(COUNTIF(INV_ID,B24)=0,"CHECK: Supplier ID not in inventory","OK"))))</f>
        <v/>
      </c>
    </row>
    <row r="25" customFormat="false" ht="15" hidden="false" customHeight="false" outlineLevel="0" collapsed="false">
      <c r="A25" s="50"/>
      <c r="B25" s="50"/>
      <c r="C25" s="59" t="str">
        <f aca="false">IF(B25="","",IFERROR(INDEX(INV_NAME,MATCH(B25,INV_ID,0)),"CHECK: Supplier ID not found"))</f>
        <v/>
      </c>
      <c r="D25" s="65"/>
      <c r="E25" s="34"/>
      <c r="F25" s="34"/>
      <c r="G25" s="34"/>
      <c r="H25" s="34"/>
      <c r="I25" s="34"/>
      <c r="J25" s="34"/>
      <c r="K25" s="50"/>
      <c r="L25" s="50"/>
      <c r="M25" s="34"/>
      <c r="N25" s="34"/>
      <c r="O25" s="34"/>
      <c r="P25" s="34"/>
      <c r="Q25" s="50"/>
      <c r="R25" s="34"/>
      <c r="S25" s="34"/>
      <c r="T25" s="52" t="str">
        <f aca="false">IF(A25="","",IF(Q25="Closed","Closed","Open"))</f>
        <v/>
      </c>
      <c r="U25" s="52" t="str">
        <f aca="false">IF(OR(A25="",NOT(ISNUMBER(D25))),"",IF(D25&gt;=AsOf-IncidentWindowDays,"Yes","No"))</f>
        <v/>
      </c>
      <c r="V25" s="54" t="str">
        <f aca="false">IF(A25="","",IF(T25="Open",IF(COUNTIFS(MON_SUP,B25,MON_TYPE,"Supplier risk reassessment",MON_REVDATE,"&gt;="&amp;INT(N(D25)))&gt;0,"Open - reassessment event recorded or planned","Open - consider supplier risk reassessment"),IF(COUNTIFS(MON_SUP,B25,MON_TYPE,"Supplier risk reassessment",MON_REVDATE,"&gt;="&amp;INT(N(D25)))&gt;0,"Reassessment event recorded","Closed - no reassessment event recorded")))</f>
        <v/>
      </c>
      <c r="W25" s="54" t="str">
        <f aca="false">IF(A25="","",IF(COUNTIF(INC_ID,A25)&gt;1,"CHECK: duplicate ID",IF(B25="","CHECK: Supplier ID missing",IF(COUNTIF(INV_ID,B25)=0,"CHECK: Supplier ID not in inventory","OK"))))</f>
        <v/>
      </c>
    </row>
    <row r="26" customFormat="false" ht="15" hidden="false" customHeight="false" outlineLevel="0" collapsed="false">
      <c r="A26" s="50"/>
      <c r="B26" s="50"/>
      <c r="C26" s="59" t="str">
        <f aca="false">IF(B26="","",IFERROR(INDEX(INV_NAME,MATCH(B26,INV_ID,0)),"CHECK: Supplier ID not found"))</f>
        <v/>
      </c>
      <c r="D26" s="65"/>
      <c r="E26" s="34"/>
      <c r="F26" s="34"/>
      <c r="G26" s="34"/>
      <c r="H26" s="34"/>
      <c r="I26" s="34"/>
      <c r="J26" s="34"/>
      <c r="K26" s="50"/>
      <c r="L26" s="50"/>
      <c r="M26" s="34"/>
      <c r="N26" s="34"/>
      <c r="O26" s="34"/>
      <c r="P26" s="34"/>
      <c r="Q26" s="50"/>
      <c r="R26" s="34"/>
      <c r="S26" s="34"/>
      <c r="T26" s="52" t="str">
        <f aca="false">IF(A26="","",IF(Q26="Closed","Closed","Open"))</f>
        <v/>
      </c>
      <c r="U26" s="52" t="str">
        <f aca="false">IF(OR(A26="",NOT(ISNUMBER(D26))),"",IF(D26&gt;=AsOf-IncidentWindowDays,"Yes","No"))</f>
        <v/>
      </c>
      <c r="V26" s="54" t="str">
        <f aca="false">IF(A26="","",IF(T26="Open",IF(COUNTIFS(MON_SUP,B26,MON_TYPE,"Supplier risk reassessment",MON_REVDATE,"&gt;="&amp;INT(N(D26)))&gt;0,"Open - reassessment event recorded or planned","Open - consider supplier risk reassessment"),IF(COUNTIFS(MON_SUP,B26,MON_TYPE,"Supplier risk reassessment",MON_REVDATE,"&gt;="&amp;INT(N(D26)))&gt;0,"Reassessment event recorded","Closed - no reassessment event recorded")))</f>
        <v/>
      </c>
      <c r="W26" s="54" t="str">
        <f aca="false">IF(A26="","",IF(COUNTIF(INC_ID,A26)&gt;1,"CHECK: duplicate ID",IF(B26="","CHECK: Supplier ID missing",IF(COUNTIF(INV_ID,B26)=0,"CHECK: Supplier ID not in inventory","OK"))))</f>
        <v/>
      </c>
    </row>
    <row r="27" customFormat="false" ht="15" hidden="false" customHeight="false" outlineLevel="0" collapsed="false">
      <c r="A27" s="50"/>
      <c r="B27" s="50"/>
      <c r="C27" s="59" t="str">
        <f aca="false">IF(B27="","",IFERROR(INDEX(INV_NAME,MATCH(B27,INV_ID,0)),"CHECK: Supplier ID not found"))</f>
        <v/>
      </c>
      <c r="D27" s="65"/>
      <c r="E27" s="34"/>
      <c r="F27" s="34"/>
      <c r="G27" s="34"/>
      <c r="H27" s="34"/>
      <c r="I27" s="34"/>
      <c r="J27" s="34"/>
      <c r="K27" s="50"/>
      <c r="L27" s="50"/>
      <c r="M27" s="34"/>
      <c r="N27" s="34"/>
      <c r="O27" s="34"/>
      <c r="P27" s="34"/>
      <c r="Q27" s="50"/>
      <c r="R27" s="34"/>
      <c r="S27" s="34"/>
      <c r="T27" s="52" t="str">
        <f aca="false">IF(A27="","",IF(Q27="Closed","Closed","Open"))</f>
        <v/>
      </c>
      <c r="U27" s="52" t="str">
        <f aca="false">IF(OR(A27="",NOT(ISNUMBER(D27))),"",IF(D27&gt;=AsOf-IncidentWindowDays,"Yes","No"))</f>
        <v/>
      </c>
      <c r="V27" s="54" t="str">
        <f aca="false">IF(A27="","",IF(T27="Open",IF(COUNTIFS(MON_SUP,B27,MON_TYPE,"Supplier risk reassessment",MON_REVDATE,"&gt;="&amp;INT(N(D27)))&gt;0,"Open - reassessment event recorded or planned","Open - consider supplier risk reassessment"),IF(COUNTIFS(MON_SUP,B27,MON_TYPE,"Supplier risk reassessment",MON_REVDATE,"&gt;="&amp;INT(N(D27)))&gt;0,"Reassessment event recorded","Closed - no reassessment event recorded")))</f>
        <v/>
      </c>
      <c r="W27" s="54" t="str">
        <f aca="false">IF(A27="","",IF(COUNTIF(INC_ID,A27)&gt;1,"CHECK: duplicate ID",IF(B27="","CHECK: Supplier ID missing",IF(COUNTIF(INV_ID,B27)=0,"CHECK: Supplier ID not in inventory","OK"))))</f>
        <v/>
      </c>
    </row>
    <row r="28" customFormat="false" ht="15" hidden="false" customHeight="false" outlineLevel="0" collapsed="false">
      <c r="A28" s="50"/>
      <c r="B28" s="50"/>
      <c r="C28" s="59" t="str">
        <f aca="false">IF(B28="","",IFERROR(INDEX(INV_NAME,MATCH(B28,INV_ID,0)),"CHECK: Supplier ID not found"))</f>
        <v/>
      </c>
      <c r="D28" s="65"/>
      <c r="E28" s="34"/>
      <c r="F28" s="34"/>
      <c r="G28" s="34"/>
      <c r="H28" s="34"/>
      <c r="I28" s="34"/>
      <c r="J28" s="34"/>
      <c r="K28" s="50"/>
      <c r="L28" s="50"/>
      <c r="M28" s="34"/>
      <c r="N28" s="34"/>
      <c r="O28" s="34"/>
      <c r="P28" s="34"/>
      <c r="Q28" s="50"/>
      <c r="R28" s="34"/>
      <c r="S28" s="34"/>
      <c r="T28" s="52" t="str">
        <f aca="false">IF(A28="","",IF(Q28="Closed","Closed","Open"))</f>
        <v/>
      </c>
      <c r="U28" s="52" t="str">
        <f aca="false">IF(OR(A28="",NOT(ISNUMBER(D28))),"",IF(D28&gt;=AsOf-IncidentWindowDays,"Yes","No"))</f>
        <v/>
      </c>
      <c r="V28" s="54" t="str">
        <f aca="false">IF(A28="","",IF(T28="Open",IF(COUNTIFS(MON_SUP,B28,MON_TYPE,"Supplier risk reassessment",MON_REVDATE,"&gt;="&amp;INT(N(D28)))&gt;0,"Open - reassessment event recorded or planned","Open - consider supplier risk reassessment"),IF(COUNTIFS(MON_SUP,B28,MON_TYPE,"Supplier risk reassessment",MON_REVDATE,"&gt;="&amp;INT(N(D28)))&gt;0,"Reassessment event recorded","Closed - no reassessment event recorded")))</f>
        <v/>
      </c>
      <c r="W28" s="54" t="str">
        <f aca="false">IF(A28="","",IF(COUNTIF(INC_ID,A28)&gt;1,"CHECK: duplicate ID",IF(B28="","CHECK: Supplier ID missing",IF(COUNTIF(INV_ID,B28)=0,"CHECK: Supplier ID not in inventory","OK"))))</f>
        <v/>
      </c>
    </row>
    <row r="29" customFormat="false" ht="15" hidden="false" customHeight="false" outlineLevel="0" collapsed="false">
      <c r="A29" s="50"/>
      <c r="B29" s="50"/>
      <c r="C29" s="59" t="str">
        <f aca="false">IF(B29="","",IFERROR(INDEX(INV_NAME,MATCH(B29,INV_ID,0)),"CHECK: Supplier ID not found"))</f>
        <v/>
      </c>
      <c r="D29" s="65"/>
      <c r="E29" s="34"/>
      <c r="F29" s="34"/>
      <c r="G29" s="34"/>
      <c r="H29" s="34"/>
      <c r="I29" s="34"/>
      <c r="J29" s="34"/>
      <c r="K29" s="50"/>
      <c r="L29" s="50"/>
      <c r="M29" s="34"/>
      <c r="N29" s="34"/>
      <c r="O29" s="34"/>
      <c r="P29" s="34"/>
      <c r="Q29" s="50"/>
      <c r="R29" s="34"/>
      <c r="S29" s="34"/>
      <c r="T29" s="52" t="str">
        <f aca="false">IF(A29="","",IF(Q29="Closed","Closed","Open"))</f>
        <v/>
      </c>
      <c r="U29" s="52" t="str">
        <f aca="false">IF(OR(A29="",NOT(ISNUMBER(D29))),"",IF(D29&gt;=AsOf-IncidentWindowDays,"Yes","No"))</f>
        <v/>
      </c>
      <c r="V29" s="54" t="str">
        <f aca="false">IF(A29="","",IF(T29="Open",IF(COUNTIFS(MON_SUP,B29,MON_TYPE,"Supplier risk reassessment",MON_REVDATE,"&gt;="&amp;INT(N(D29)))&gt;0,"Open - reassessment event recorded or planned","Open - consider supplier risk reassessment"),IF(COUNTIFS(MON_SUP,B29,MON_TYPE,"Supplier risk reassessment",MON_REVDATE,"&gt;="&amp;INT(N(D29)))&gt;0,"Reassessment event recorded","Closed - no reassessment event recorded")))</f>
        <v/>
      </c>
      <c r="W29" s="54" t="str">
        <f aca="false">IF(A29="","",IF(COUNTIF(INC_ID,A29)&gt;1,"CHECK: duplicate ID",IF(B29="","CHECK: Supplier ID missing",IF(COUNTIF(INV_ID,B29)=0,"CHECK: Supplier ID not in inventory","OK"))))</f>
        <v/>
      </c>
    </row>
    <row r="30" customFormat="false" ht="15" hidden="false" customHeight="false" outlineLevel="0" collapsed="false">
      <c r="A30" s="50"/>
      <c r="B30" s="50"/>
      <c r="C30" s="59" t="str">
        <f aca="false">IF(B30="","",IFERROR(INDEX(INV_NAME,MATCH(B30,INV_ID,0)),"CHECK: Supplier ID not found"))</f>
        <v/>
      </c>
      <c r="D30" s="65"/>
      <c r="E30" s="34"/>
      <c r="F30" s="34"/>
      <c r="G30" s="34"/>
      <c r="H30" s="34"/>
      <c r="I30" s="34"/>
      <c r="J30" s="34"/>
      <c r="K30" s="50"/>
      <c r="L30" s="50"/>
      <c r="M30" s="34"/>
      <c r="N30" s="34"/>
      <c r="O30" s="34"/>
      <c r="P30" s="34"/>
      <c r="Q30" s="50"/>
      <c r="R30" s="34"/>
      <c r="S30" s="34"/>
      <c r="T30" s="52" t="str">
        <f aca="false">IF(A30="","",IF(Q30="Closed","Closed","Open"))</f>
        <v/>
      </c>
      <c r="U30" s="52" t="str">
        <f aca="false">IF(OR(A30="",NOT(ISNUMBER(D30))),"",IF(D30&gt;=AsOf-IncidentWindowDays,"Yes","No"))</f>
        <v/>
      </c>
      <c r="V30" s="54" t="str">
        <f aca="false">IF(A30="","",IF(T30="Open",IF(COUNTIFS(MON_SUP,B30,MON_TYPE,"Supplier risk reassessment",MON_REVDATE,"&gt;="&amp;INT(N(D30)))&gt;0,"Open - reassessment event recorded or planned","Open - consider supplier risk reassessment"),IF(COUNTIFS(MON_SUP,B30,MON_TYPE,"Supplier risk reassessment",MON_REVDATE,"&gt;="&amp;INT(N(D30)))&gt;0,"Reassessment event recorded","Closed - no reassessment event recorded")))</f>
        <v/>
      </c>
      <c r="W30" s="54" t="str">
        <f aca="false">IF(A30="","",IF(COUNTIF(INC_ID,A30)&gt;1,"CHECK: duplicate ID",IF(B30="","CHECK: Supplier ID missing",IF(COUNTIF(INV_ID,B30)=0,"CHECK: Supplier ID not in inventory","OK"))))</f>
        <v/>
      </c>
    </row>
    <row r="31" customFormat="false" ht="15" hidden="false" customHeight="false" outlineLevel="0" collapsed="false">
      <c r="A31" s="50"/>
      <c r="B31" s="50"/>
      <c r="C31" s="59" t="str">
        <f aca="false">IF(B31="","",IFERROR(INDEX(INV_NAME,MATCH(B31,INV_ID,0)),"CHECK: Supplier ID not found"))</f>
        <v/>
      </c>
      <c r="D31" s="65"/>
      <c r="E31" s="34"/>
      <c r="F31" s="34"/>
      <c r="G31" s="34"/>
      <c r="H31" s="34"/>
      <c r="I31" s="34"/>
      <c r="J31" s="34"/>
      <c r="K31" s="50"/>
      <c r="L31" s="50"/>
      <c r="M31" s="34"/>
      <c r="N31" s="34"/>
      <c r="O31" s="34"/>
      <c r="P31" s="34"/>
      <c r="Q31" s="50"/>
      <c r="R31" s="34"/>
      <c r="S31" s="34"/>
      <c r="T31" s="52" t="str">
        <f aca="false">IF(A31="","",IF(Q31="Closed","Closed","Open"))</f>
        <v/>
      </c>
      <c r="U31" s="52" t="str">
        <f aca="false">IF(OR(A31="",NOT(ISNUMBER(D31))),"",IF(D31&gt;=AsOf-IncidentWindowDays,"Yes","No"))</f>
        <v/>
      </c>
      <c r="V31" s="54" t="str">
        <f aca="false">IF(A31="","",IF(T31="Open",IF(COUNTIFS(MON_SUP,B31,MON_TYPE,"Supplier risk reassessment",MON_REVDATE,"&gt;="&amp;INT(N(D31)))&gt;0,"Open - reassessment event recorded or planned","Open - consider supplier risk reassessment"),IF(COUNTIFS(MON_SUP,B31,MON_TYPE,"Supplier risk reassessment",MON_REVDATE,"&gt;="&amp;INT(N(D31)))&gt;0,"Reassessment event recorded","Closed - no reassessment event recorded")))</f>
        <v/>
      </c>
      <c r="W31" s="54" t="str">
        <f aca="false">IF(A31="","",IF(COUNTIF(INC_ID,A31)&gt;1,"CHECK: duplicate ID",IF(B31="","CHECK: Supplier ID missing",IF(COUNTIF(INV_ID,B31)=0,"CHECK: Supplier ID not in inventory","OK"))))</f>
        <v/>
      </c>
    </row>
    <row r="32" customFormat="false" ht="15" hidden="false" customHeight="false" outlineLevel="0" collapsed="false">
      <c r="A32" s="50"/>
      <c r="B32" s="50"/>
      <c r="C32" s="59" t="str">
        <f aca="false">IF(B32="","",IFERROR(INDEX(INV_NAME,MATCH(B32,INV_ID,0)),"CHECK: Supplier ID not found"))</f>
        <v/>
      </c>
      <c r="D32" s="65"/>
      <c r="E32" s="34"/>
      <c r="F32" s="34"/>
      <c r="G32" s="34"/>
      <c r="H32" s="34"/>
      <c r="I32" s="34"/>
      <c r="J32" s="34"/>
      <c r="K32" s="50"/>
      <c r="L32" s="50"/>
      <c r="M32" s="34"/>
      <c r="N32" s="34"/>
      <c r="O32" s="34"/>
      <c r="P32" s="34"/>
      <c r="Q32" s="50"/>
      <c r="R32" s="34"/>
      <c r="S32" s="34"/>
      <c r="T32" s="52" t="str">
        <f aca="false">IF(A32="","",IF(Q32="Closed","Closed","Open"))</f>
        <v/>
      </c>
      <c r="U32" s="52" t="str">
        <f aca="false">IF(OR(A32="",NOT(ISNUMBER(D32))),"",IF(D32&gt;=AsOf-IncidentWindowDays,"Yes","No"))</f>
        <v/>
      </c>
      <c r="V32" s="54" t="str">
        <f aca="false">IF(A32="","",IF(T32="Open",IF(COUNTIFS(MON_SUP,B32,MON_TYPE,"Supplier risk reassessment",MON_REVDATE,"&gt;="&amp;INT(N(D32)))&gt;0,"Open - reassessment event recorded or planned","Open - consider supplier risk reassessment"),IF(COUNTIFS(MON_SUP,B32,MON_TYPE,"Supplier risk reassessment",MON_REVDATE,"&gt;="&amp;INT(N(D32)))&gt;0,"Reassessment event recorded","Closed - no reassessment event recorded")))</f>
        <v/>
      </c>
      <c r="W32" s="54" t="str">
        <f aca="false">IF(A32="","",IF(COUNTIF(INC_ID,A32)&gt;1,"CHECK: duplicate ID",IF(B32="","CHECK: Supplier ID missing",IF(COUNTIF(INV_ID,B32)=0,"CHECK: Supplier ID not in inventory","OK"))))</f>
        <v/>
      </c>
    </row>
    <row r="33" customFormat="false" ht="15" hidden="false" customHeight="false" outlineLevel="0" collapsed="false">
      <c r="A33" s="50"/>
      <c r="B33" s="50"/>
      <c r="C33" s="59" t="str">
        <f aca="false">IF(B33="","",IFERROR(INDEX(INV_NAME,MATCH(B33,INV_ID,0)),"CHECK: Supplier ID not found"))</f>
        <v/>
      </c>
      <c r="D33" s="65"/>
      <c r="E33" s="34"/>
      <c r="F33" s="34"/>
      <c r="G33" s="34"/>
      <c r="H33" s="34"/>
      <c r="I33" s="34"/>
      <c r="J33" s="34"/>
      <c r="K33" s="50"/>
      <c r="L33" s="50"/>
      <c r="M33" s="34"/>
      <c r="N33" s="34"/>
      <c r="O33" s="34"/>
      <c r="P33" s="34"/>
      <c r="Q33" s="50"/>
      <c r="R33" s="34"/>
      <c r="S33" s="34"/>
      <c r="T33" s="52" t="str">
        <f aca="false">IF(A33="","",IF(Q33="Closed","Closed","Open"))</f>
        <v/>
      </c>
      <c r="U33" s="52" t="str">
        <f aca="false">IF(OR(A33="",NOT(ISNUMBER(D33))),"",IF(D33&gt;=AsOf-IncidentWindowDays,"Yes","No"))</f>
        <v/>
      </c>
      <c r="V33" s="54" t="str">
        <f aca="false">IF(A33="","",IF(T33="Open",IF(COUNTIFS(MON_SUP,B33,MON_TYPE,"Supplier risk reassessment",MON_REVDATE,"&gt;="&amp;INT(N(D33)))&gt;0,"Open - reassessment event recorded or planned","Open - consider supplier risk reassessment"),IF(COUNTIFS(MON_SUP,B33,MON_TYPE,"Supplier risk reassessment",MON_REVDATE,"&gt;="&amp;INT(N(D33)))&gt;0,"Reassessment event recorded","Closed - no reassessment event recorded")))</f>
        <v/>
      </c>
      <c r="W33" s="54" t="str">
        <f aca="false">IF(A33="","",IF(COUNTIF(INC_ID,A33)&gt;1,"CHECK: duplicate ID",IF(B33="","CHECK: Supplier ID missing",IF(COUNTIF(INV_ID,B33)=0,"CHECK: Supplier ID not in inventory","OK"))))</f>
        <v/>
      </c>
    </row>
    <row r="34" customFormat="false" ht="15" hidden="false" customHeight="false" outlineLevel="0" collapsed="false">
      <c r="A34" s="50"/>
      <c r="B34" s="50"/>
      <c r="C34" s="59" t="str">
        <f aca="false">IF(B34="","",IFERROR(INDEX(INV_NAME,MATCH(B34,INV_ID,0)),"CHECK: Supplier ID not found"))</f>
        <v/>
      </c>
      <c r="D34" s="65"/>
      <c r="E34" s="34"/>
      <c r="F34" s="34"/>
      <c r="G34" s="34"/>
      <c r="H34" s="34"/>
      <c r="I34" s="34"/>
      <c r="J34" s="34"/>
      <c r="K34" s="50"/>
      <c r="L34" s="50"/>
      <c r="M34" s="34"/>
      <c r="N34" s="34"/>
      <c r="O34" s="34"/>
      <c r="P34" s="34"/>
      <c r="Q34" s="50"/>
      <c r="R34" s="34"/>
      <c r="S34" s="34"/>
      <c r="T34" s="52" t="str">
        <f aca="false">IF(A34="","",IF(Q34="Closed","Closed","Open"))</f>
        <v/>
      </c>
      <c r="U34" s="52" t="str">
        <f aca="false">IF(OR(A34="",NOT(ISNUMBER(D34))),"",IF(D34&gt;=AsOf-IncidentWindowDays,"Yes","No"))</f>
        <v/>
      </c>
      <c r="V34" s="54" t="str">
        <f aca="false">IF(A34="","",IF(T34="Open",IF(COUNTIFS(MON_SUP,B34,MON_TYPE,"Supplier risk reassessment",MON_REVDATE,"&gt;="&amp;INT(N(D34)))&gt;0,"Open - reassessment event recorded or planned","Open - consider supplier risk reassessment"),IF(COUNTIFS(MON_SUP,B34,MON_TYPE,"Supplier risk reassessment",MON_REVDATE,"&gt;="&amp;INT(N(D34)))&gt;0,"Reassessment event recorded","Closed - no reassessment event recorded")))</f>
        <v/>
      </c>
      <c r="W34" s="54" t="str">
        <f aca="false">IF(A34="","",IF(COUNTIF(INC_ID,A34)&gt;1,"CHECK: duplicate ID",IF(B34="","CHECK: Supplier ID missing",IF(COUNTIF(INV_ID,B34)=0,"CHECK: Supplier ID not in inventory","OK"))))</f>
        <v/>
      </c>
    </row>
    <row r="35" customFormat="false" ht="15" hidden="false" customHeight="false" outlineLevel="0" collapsed="false">
      <c r="A35" s="50"/>
      <c r="B35" s="50"/>
      <c r="C35" s="59" t="str">
        <f aca="false">IF(B35="","",IFERROR(INDEX(INV_NAME,MATCH(B35,INV_ID,0)),"CHECK: Supplier ID not found"))</f>
        <v/>
      </c>
      <c r="D35" s="65"/>
      <c r="E35" s="34"/>
      <c r="F35" s="34"/>
      <c r="G35" s="34"/>
      <c r="H35" s="34"/>
      <c r="I35" s="34"/>
      <c r="J35" s="34"/>
      <c r="K35" s="50"/>
      <c r="L35" s="50"/>
      <c r="M35" s="34"/>
      <c r="N35" s="34"/>
      <c r="O35" s="34"/>
      <c r="P35" s="34"/>
      <c r="Q35" s="50"/>
      <c r="R35" s="34"/>
      <c r="S35" s="34"/>
      <c r="T35" s="52" t="str">
        <f aca="false">IF(A35="","",IF(Q35="Closed","Closed","Open"))</f>
        <v/>
      </c>
      <c r="U35" s="52" t="str">
        <f aca="false">IF(OR(A35="",NOT(ISNUMBER(D35))),"",IF(D35&gt;=AsOf-IncidentWindowDays,"Yes","No"))</f>
        <v/>
      </c>
      <c r="V35" s="54" t="str">
        <f aca="false">IF(A35="","",IF(T35="Open",IF(COUNTIFS(MON_SUP,B35,MON_TYPE,"Supplier risk reassessment",MON_REVDATE,"&gt;="&amp;INT(N(D35)))&gt;0,"Open - reassessment event recorded or planned","Open - consider supplier risk reassessment"),IF(COUNTIFS(MON_SUP,B35,MON_TYPE,"Supplier risk reassessment",MON_REVDATE,"&gt;="&amp;INT(N(D35)))&gt;0,"Reassessment event recorded","Closed - no reassessment event recorded")))</f>
        <v/>
      </c>
      <c r="W35" s="54" t="str">
        <f aca="false">IF(A35="","",IF(COUNTIF(INC_ID,A35)&gt;1,"CHECK: duplicate ID",IF(B35="","CHECK: Supplier ID missing",IF(COUNTIF(INV_ID,B35)=0,"CHECK: Supplier ID not in inventory","OK"))))</f>
        <v/>
      </c>
    </row>
    <row r="36" customFormat="false" ht="15" hidden="false" customHeight="false" outlineLevel="0" collapsed="false">
      <c r="A36" s="50"/>
      <c r="B36" s="50"/>
      <c r="C36" s="59" t="str">
        <f aca="false">IF(B36="","",IFERROR(INDEX(INV_NAME,MATCH(B36,INV_ID,0)),"CHECK: Supplier ID not found"))</f>
        <v/>
      </c>
      <c r="D36" s="65"/>
      <c r="E36" s="34"/>
      <c r="F36" s="34"/>
      <c r="G36" s="34"/>
      <c r="H36" s="34"/>
      <c r="I36" s="34"/>
      <c r="J36" s="34"/>
      <c r="K36" s="50"/>
      <c r="L36" s="50"/>
      <c r="M36" s="34"/>
      <c r="N36" s="34"/>
      <c r="O36" s="34"/>
      <c r="P36" s="34"/>
      <c r="Q36" s="50"/>
      <c r="R36" s="34"/>
      <c r="S36" s="34"/>
      <c r="T36" s="52" t="str">
        <f aca="false">IF(A36="","",IF(Q36="Closed","Closed","Open"))</f>
        <v/>
      </c>
      <c r="U36" s="52" t="str">
        <f aca="false">IF(OR(A36="",NOT(ISNUMBER(D36))),"",IF(D36&gt;=AsOf-IncidentWindowDays,"Yes","No"))</f>
        <v/>
      </c>
      <c r="V36" s="54" t="str">
        <f aca="false">IF(A36="","",IF(T36="Open",IF(COUNTIFS(MON_SUP,B36,MON_TYPE,"Supplier risk reassessment",MON_REVDATE,"&gt;="&amp;INT(N(D36)))&gt;0,"Open - reassessment event recorded or planned","Open - consider supplier risk reassessment"),IF(COUNTIFS(MON_SUP,B36,MON_TYPE,"Supplier risk reassessment",MON_REVDATE,"&gt;="&amp;INT(N(D36)))&gt;0,"Reassessment event recorded","Closed - no reassessment event recorded")))</f>
        <v/>
      </c>
      <c r="W36" s="54" t="str">
        <f aca="false">IF(A36="","",IF(COUNTIF(INC_ID,A36)&gt;1,"CHECK: duplicate ID",IF(B36="","CHECK: Supplier ID missing",IF(COUNTIF(INV_ID,B36)=0,"CHECK: Supplier ID not in inventory","OK"))))</f>
        <v/>
      </c>
    </row>
    <row r="37" customFormat="false" ht="15" hidden="false" customHeight="false" outlineLevel="0" collapsed="false">
      <c r="A37" s="50"/>
      <c r="B37" s="50"/>
      <c r="C37" s="59" t="str">
        <f aca="false">IF(B37="","",IFERROR(INDEX(INV_NAME,MATCH(B37,INV_ID,0)),"CHECK: Supplier ID not found"))</f>
        <v/>
      </c>
      <c r="D37" s="65"/>
      <c r="E37" s="34"/>
      <c r="F37" s="34"/>
      <c r="G37" s="34"/>
      <c r="H37" s="34"/>
      <c r="I37" s="34"/>
      <c r="J37" s="34"/>
      <c r="K37" s="50"/>
      <c r="L37" s="50"/>
      <c r="M37" s="34"/>
      <c r="N37" s="34"/>
      <c r="O37" s="34"/>
      <c r="P37" s="34"/>
      <c r="Q37" s="50"/>
      <c r="R37" s="34"/>
      <c r="S37" s="34"/>
      <c r="T37" s="52" t="str">
        <f aca="false">IF(A37="","",IF(Q37="Closed","Closed","Open"))</f>
        <v/>
      </c>
      <c r="U37" s="52" t="str">
        <f aca="false">IF(OR(A37="",NOT(ISNUMBER(D37))),"",IF(D37&gt;=AsOf-IncidentWindowDays,"Yes","No"))</f>
        <v/>
      </c>
      <c r="V37" s="54" t="str">
        <f aca="false">IF(A37="","",IF(T37="Open",IF(COUNTIFS(MON_SUP,B37,MON_TYPE,"Supplier risk reassessment",MON_REVDATE,"&gt;="&amp;INT(N(D37)))&gt;0,"Open - reassessment event recorded or planned","Open - consider supplier risk reassessment"),IF(COUNTIFS(MON_SUP,B37,MON_TYPE,"Supplier risk reassessment",MON_REVDATE,"&gt;="&amp;INT(N(D37)))&gt;0,"Reassessment event recorded","Closed - no reassessment event recorded")))</f>
        <v/>
      </c>
      <c r="W37" s="54" t="str">
        <f aca="false">IF(A37="","",IF(COUNTIF(INC_ID,A37)&gt;1,"CHECK: duplicate ID",IF(B37="","CHECK: Supplier ID missing",IF(COUNTIF(INV_ID,B37)=0,"CHECK: Supplier ID not in inventory","OK"))))</f>
        <v/>
      </c>
    </row>
    <row r="38" customFormat="false" ht="15" hidden="false" customHeight="false" outlineLevel="0" collapsed="false">
      <c r="A38" s="50"/>
      <c r="B38" s="50"/>
      <c r="C38" s="59" t="str">
        <f aca="false">IF(B38="","",IFERROR(INDEX(INV_NAME,MATCH(B38,INV_ID,0)),"CHECK: Supplier ID not found"))</f>
        <v/>
      </c>
      <c r="D38" s="65"/>
      <c r="E38" s="34"/>
      <c r="F38" s="34"/>
      <c r="G38" s="34"/>
      <c r="H38" s="34"/>
      <c r="I38" s="34"/>
      <c r="J38" s="34"/>
      <c r="K38" s="50"/>
      <c r="L38" s="50"/>
      <c r="M38" s="34"/>
      <c r="N38" s="34"/>
      <c r="O38" s="34"/>
      <c r="P38" s="34"/>
      <c r="Q38" s="50"/>
      <c r="R38" s="34"/>
      <c r="S38" s="34"/>
      <c r="T38" s="52" t="str">
        <f aca="false">IF(A38="","",IF(Q38="Closed","Closed","Open"))</f>
        <v/>
      </c>
      <c r="U38" s="52" t="str">
        <f aca="false">IF(OR(A38="",NOT(ISNUMBER(D38))),"",IF(D38&gt;=AsOf-IncidentWindowDays,"Yes","No"))</f>
        <v/>
      </c>
      <c r="V38" s="54" t="str">
        <f aca="false">IF(A38="","",IF(T38="Open",IF(COUNTIFS(MON_SUP,B38,MON_TYPE,"Supplier risk reassessment",MON_REVDATE,"&gt;="&amp;INT(N(D38)))&gt;0,"Open - reassessment event recorded or planned","Open - consider supplier risk reassessment"),IF(COUNTIFS(MON_SUP,B38,MON_TYPE,"Supplier risk reassessment",MON_REVDATE,"&gt;="&amp;INT(N(D38)))&gt;0,"Reassessment event recorded","Closed - no reassessment event recorded")))</f>
        <v/>
      </c>
      <c r="W38" s="54" t="str">
        <f aca="false">IF(A38="","",IF(COUNTIF(INC_ID,A38)&gt;1,"CHECK: duplicate ID",IF(B38="","CHECK: Supplier ID missing",IF(COUNTIF(INV_ID,B38)=0,"CHECK: Supplier ID not in inventory","OK"))))</f>
        <v/>
      </c>
    </row>
    <row r="39" customFormat="false" ht="15" hidden="false" customHeight="false" outlineLevel="0" collapsed="false">
      <c r="A39" s="50"/>
      <c r="B39" s="50"/>
      <c r="C39" s="59" t="str">
        <f aca="false">IF(B39="","",IFERROR(INDEX(INV_NAME,MATCH(B39,INV_ID,0)),"CHECK: Supplier ID not found"))</f>
        <v/>
      </c>
      <c r="D39" s="65"/>
      <c r="E39" s="34"/>
      <c r="F39" s="34"/>
      <c r="G39" s="34"/>
      <c r="H39" s="34"/>
      <c r="I39" s="34"/>
      <c r="J39" s="34"/>
      <c r="K39" s="50"/>
      <c r="L39" s="50"/>
      <c r="M39" s="34"/>
      <c r="N39" s="34"/>
      <c r="O39" s="34"/>
      <c r="P39" s="34"/>
      <c r="Q39" s="50"/>
      <c r="R39" s="34"/>
      <c r="S39" s="34"/>
      <c r="T39" s="52" t="str">
        <f aca="false">IF(A39="","",IF(Q39="Closed","Closed","Open"))</f>
        <v/>
      </c>
      <c r="U39" s="52" t="str">
        <f aca="false">IF(OR(A39="",NOT(ISNUMBER(D39))),"",IF(D39&gt;=AsOf-IncidentWindowDays,"Yes","No"))</f>
        <v/>
      </c>
      <c r="V39" s="54" t="str">
        <f aca="false">IF(A39="","",IF(T39="Open",IF(COUNTIFS(MON_SUP,B39,MON_TYPE,"Supplier risk reassessment",MON_REVDATE,"&gt;="&amp;INT(N(D39)))&gt;0,"Open - reassessment event recorded or planned","Open - consider supplier risk reassessment"),IF(COUNTIFS(MON_SUP,B39,MON_TYPE,"Supplier risk reassessment",MON_REVDATE,"&gt;="&amp;INT(N(D39)))&gt;0,"Reassessment event recorded","Closed - no reassessment event recorded")))</f>
        <v/>
      </c>
      <c r="W39" s="54" t="str">
        <f aca="false">IF(A39="","",IF(COUNTIF(INC_ID,A39)&gt;1,"CHECK: duplicate ID",IF(B39="","CHECK: Supplier ID missing",IF(COUNTIF(INV_ID,B39)=0,"CHECK: Supplier ID not in inventory","OK"))))</f>
        <v/>
      </c>
    </row>
    <row r="40" customFormat="false" ht="15" hidden="false" customHeight="false" outlineLevel="0" collapsed="false">
      <c r="A40" s="50"/>
      <c r="B40" s="50"/>
      <c r="C40" s="59" t="str">
        <f aca="false">IF(B40="","",IFERROR(INDEX(INV_NAME,MATCH(B40,INV_ID,0)),"CHECK: Supplier ID not found"))</f>
        <v/>
      </c>
      <c r="D40" s="65"/>
      <c r="E40" s="34"/>
      <c r="F40" s="34"/>
      <c r="G40" s="34"/>
      <c r="H40" s="34"/>
      <c r="I40" s="34"/>
      <c r="J40" s="34"/>
      <c r="K40" s="50"/>
      <c r="L40" s="50"/>
      <c r="M40" s="34"/>
      <c r="N40" s="34"/>
      <c r="O40" s="34"/>
      <c r="P40" s="34"/>
      <c r="Q40" s="50"/>
      <c r="R40" s="34"/>
      <c r="S40" s="34"/>
      <c r="T40" s="52" t="str">
        <f aca="false">IF(A40="","",IF(Q40="Closed","Closed","Open"))</f>
        <v/>
      </c>
      <c r="U40" s="52" t="str">
        <f aca="false">IF(OR(A40="",NOT(ISNUMBER(D40))),"",IF(D40&gt;=AsOf-IncidentWindowDays,"Yes","No"))</f>
        <v/>
      </c>
      <c r="V40" s="54" t="str">
        <f aca="false">IF(A40="","",IF(T40="Open",IF(COUNTIFS(MON_SUP,B40,MON_TYPE,"Supplier risk reassessment",MON_REVDATE,"&gt;="&amp;INT(N(D40)))&gt;0,"Open - reassessment event recorded or planned","Open - consider supplier risk reassessment"),IF(COUNTIFS(MON_SUP,B40,MON_TYPE,"Supplier risk reassessment",MON_REVDATE,"&gt;="&amp;INT(N(D40)))&gt;0,"Reassessment event recorded","Closed - no reassessment event recorded")))</f>
        <v/>
      </c>
      <c r="W40" s="54" t="str">
        <f aca="false">IF(A40="","",IF(COUNTIF(INC_ID,A40)&gt;1,"CHECK: duplicate ID",IF(B40="","CHECK: Supplier ID missing",IF(COUNTIF(INV_ID,B40)=0,"CHECK: Supplier ID not in inventory","OK"))))</f>
        <v/>
      </c>
    </row>
    <row r="41" customFormat="false" ht="15" hidden="false" customHeight="false" outlineLevel="0" collapsed="false">
      <c r="A41" s="50"/>
      <c r="B41" s="50"/>
      <c r="C41" s="59" t="str">
        <f aca="false">IF(B41="","",IFERROR(INDEX(INV_NAME,MATCH(B41,INV_ID,0)),"CHECK: Supplier ID not found"))</f>
        <v/>
      </c>
      <c r="D41" s="65"/>
      <c r="E41" s="34"/>
      <c r="F41" s="34"/>
      <c r="G41" s="34"/>
      <c r="H41" s="34"/>
      <c r="I41" s="34"/>
      <c r="J41" s="34"/>
      <c r="K41" s="50"/>
      <c r="L41" s="50"/>
      <c r="M41" s="34"/>
      <c r="N41" s="34"/>
      <c r="O41" s="34"/>
      <c r="P41" s="34"/>
      <c r="Q41" s="50"/>
      <c r="R41" s="34"/>
      <c r="S41" s="34"/>
      <c r="T41" s="52" t="str">
        <f aca="false">IF(A41="","",IF(Q41="Closed","Closed","Open"))</f>
        <v/>
      </c>
      <c r="U41" s="52" t="str">
        <f aca="false">IF(OR(A41="",NOT(ISNUMBER(D41))),"",IF(D41&gt;=AsOf-IncidentWindowDays,"Yes","No"))</f>
        <v/>
      </c>
      <c r="V41" s="54" t="str">
        <f aca="false">IF(A41="","",IF(T41="Open",IF(COUNTIFS(MON_SUP,B41,MON_TYPE,"Supplier risk reassessment",MON_REVDATE,"&gt;="&amp;INT(N(D41)))&gt;0,"Open - reassessment event recorded or planned","Open - consider supplier risk reassessment"),IF(COUNTIFS(MON_SUP,B41,MON_TYPE,"Supplier risk reassessment",MON_REVDATE,"&gt;="&amp;INT(N(D41)))&gt;0,"Reassessment event recorded","Closed - no reassessment event recorded")))</f>
        <v/>
      </c>
      <c r="W41" s="54" t="str">
        <f aca="false">IF(A41="","",IF(COUNTIF(INC_ID,A41)&gt;1,"CHECK: duplicate ID",IF(B41="","CHECK: Supplier ID missing",IF(COUNTIF(INV_ID,B41)=0,"CHECK: Supplier ID not in inventory","OK"))))</f>
        <v/>
      </c>
    </row>
    <row r="42" customFormat="false" ht="15" hidden="false" customHeight="false" outlineLevel="0" collapsed="false">
      <c r="A42" s="50"/>
      <c r="B42" s="50"/>
      <c r="C42" s="59" t="str">
        <f aca="false">IF(B42="","",IFERROR(INDEX(INV_NAME,MATCH(B42,INV_ID,0)),"CHECK: Supplier ID not found"))</f>
        <v/>
      </c>
      <c r="D42" s="65"/>
      <c r="E42" s="34"/>
      <c r="F42" s="34"/>
      <c r="G42" s="34"/>
      <c r="H42" s="34"/>
      <c r="I42" s="34"/>
      <c r="J42" s="34"/>
      <c r="K42" s="50"/>
      <c r="L42" s="50"/>
      <c r="M42" s="34"/>
      <c r="N42" s="34"/>
      <c r="O42" s="34"/>
      <c r="P42" s="34"/>
      <c r="Q42" s="50"/>
      <c r="R42" s="34"/>
      <c r="S42" s="34"/>
      <c r="T42" s="52" t="str">
        <f aca="false">IF(A42="","",IF(Q42="Closed","Closed","Open"))</f>
        <v/>
      </c>
      <c r="U42" s="52" t="str">
        <f aca="false">IF(OR(A42="",NOT(ISNUMBER(D42))),"",IF(D42&gt;=AsOf-IncidentWindowDays,"Yes","No"))</f>
        <v/>
      </c>
      <c r="V42" s="54" t="str">
        <f aca="false">IF(A42="","",IF(T42="Open",IF(COUNTIFS(MON_SUP,B42,MON_TYPE,"Supplier risk reassessment",MON_REVDATE,"&gt;="&amp;INT(N(D42)))&gt;0,"Open - reassessment event recorded or planned","Open - consider supplier risk reassessment"),IF(COUNTIFS(MON_SUP,B42,MON_TYPE,"Supplier risk reassessment",MON_REVDATE,"&gt;="&amp;INT(N(D42)))&gt;0,"Reassessment event recorded","Closed - no reassessment event recorded")))</f>
        <v/>
      </c>
      <c r="W42" s="54" t="str">
        <f aca="false">IF(A42="","",IF(COUNTIF(INC_ID,A42)&gt;1,"CHECK: duplicate ID",IF(B42="","CHECK: Supplier ID missing",IF(COUNTIF(INV_ID,B42)=0,"CHECK: Supplier ID not in inventory","OK"))))</f>
        <v/>
      </c>
    </row>
    <row r="43" customFormat="false" ht="15" hidden="false" customHeight="false" outlineLevel="0" collapsed="false">
      <c r="A43" s="50"/>
      <c r="B43" s="50"/>
      <c r="C43" s="59" t="str">
        <f aca="false">IF(B43="","",IFERROR(INDEX(INV_NAME,MATCH(B43,INV_ID,0)),"CHECK: Supplier ID not found"))</f>
        <v/>
      </c>
      <c r="D43" s="65"/>
      <c r="E43" s="34"/>
      <c r="F43" s="34"/>
      <c r="G43" s="34"/>
      <c r="H43" s="34"/>
      <c r="I43" s="34"/>
      <c r="J43" s="34"/>
      <c r="K43" s="50"/>
      <c r="L43" s="50"/>
      <c r="M43" s="34"/>
      <c r="N43" s="34"/>
      <c r="O43" s="34"/>
      <c r="P43" s="34"/>
      <c r="Q43" s="50"/>
      <c r="R43" s="34"/>
      <c r="S43" s="34"/>
      <c r="T43" s="52" t="str">
        <f aca="false">IF(A43="","",IF(Q43="Closed","Closed","Open"))</f>
        <v/>
      </c>
      <c r="U43" s="52" t="str">
        <f aca="false">IF(OR(A43="",NOT(ISNUMBER(D43))),"",IF(D43&gt;=AsOf-IncidentWindowDays,"Yes","No"))</f>
        <v/>
      </c>
      <c r="V43" s="54" t="str">
        <f aca="false">IF(A43="","",IF(T43="Open",IF(COUNTIFS(MON_SUP,B43,MON_TYPE,"Supplier risk reassessment",MON_REVDATE,"&gt;="&amp;INT(N(D43)))&gt;0,"Open - reassessment event recorded or planned","Open - consider supplier risk reassessment"),IF(COUNTIFS(MON_SUP,B43,MON_TYPE,"Supplier risk reassessment",MON_REVDATE,"&gt;="&amp;INT(N(D43)))&gt;0,"Reassessment event recorded","Closed - no reassessment event recorded")))</f>
        <v/>
      </c>
      <c r="W43" s="54" t="str">
        <f aca="false">IF(A43="","",IF(COUNTIF(INC_ID,A43)&gt;1,"CHECK: duplicate ID",IF(B43="","CHECK: Supplier ID missing",IF(COUNTIF(INV_ID,B43)=0,"CHECK: Supplier ID not in inventory","OK"))))</f>
        <v/>
      </c>
    </row>
    <row r="44" customFormat="false" ht="15" hidden="false" customHeight="false" outlineLevel="0" collapsed="false">
      <c r="A44" s="50"/>
      <c r="B44" s="50"/>
      <c r="C44" s="59" t="str">
        <f aca="false">IF(B44="","",IFERROR(INDEX(INV_NAME,MATCH(B44,INV_ID,0)),"CHECK: Supplier ID not found"))</f>
        <v/>
      </c>
      <c r="D44" s="65"/>
      <c r="E44" s="34"/>
      <c r="F44" s="34"/>
      <c r="G44" s="34"/>
      <c r="H44" s="34"/>
      <c r="I44" s="34"/>
      <c r="J44" s="34"/>
      <c r="K44" s="50"/>
      <c r="L44" s="50"/>
      <c r="M44" s="34"/>
      <c r="N44" s="34"/>
      <c r="O44" s="34"/>
      <c r="P44" s="34"/>
      <c r="Q44" s="50"/>
      <c r="R44" s="34"/>
      <c r="S44" s="34"/>
      <c r="T44" s="52" t="str">
        <f aca="false">IF(A44="","",IF(Q44="Closed","Closed","Open"))</f>
        <v/>
      </c>
      <c r="U44" s="52" t="str">
        <f aca="false">IF(OR(A44="",NOT(ISNUMBER(D44))),"",IF(D44&gt;=AsOf-IncidentWindowDays,"Yes","No"))</f>
        <v/>
      </c>
      <c r="V44" s="54" t="str">
        <f aca="false">IF(A44="","",IF(T44="Open",IF(COUNTIFS(MON_SUP,B44,MON_TYPE,"Supplier risk reassessment",MON_REVDATE,"&gt;="&amp;INT(N(D44)))&gt;0,"Open - reassessment event recorded or planned","Open - consider supplier risk reassessment"),IF(COUNTIFS(MON_SUP,B44,MON_TYPE,"Supplier risk reassessment",MON_REVDATE,"&gt;="&amp;INT(N(D44)))&gt;0,"Reassessment event recorded","Closed - no reassessment event recorded")))</f>
        <v/>
      </c>
      <c r="W44" s="54" t="str">
        <f aca="false">IF(A44="","",IF(COUNTIF(INC_ID,A44)&gt;1,"CHECK: duplicate ID",IF(B44="","CHECK: Supplier ID missing",IF(COUNTIF(INV_ID,B44)=0,"CHECK: Supplier ID not in inventory","OK"))))</f>
        <v/>
      </c>
    </row>
    <row r="45" customFormat="false" ht="15" hidden="false" customHeight="false" outlineLevel="0" collapsed="false">
      <c r="A45" s="50"/>
      <c r="B45" s="50"/>
      <c r="C45" s="59" t="str">
        <f aca="false">IF(B45="","",IFERROR(INDEX(INV_NAME,MATCH(B45,INV_ID,0)),"CHECK: Supplier ID not found"))</f>
        <v/>
      </c>
      <c r="D45" s="65"/>
      <c r="E45" s="34"/>
      <c r="F45" s="34"/>
      <c r="G45" s="34"/>
      <c r="H45" s="34"/>
      <c r="I45" s="34"/>
      <c r="J45" s="34"/>
      <c r="K45" s="50"/>
      <c r="L45" s="50"/>
      <c r="M45" s="34"/>
      <c r="N45" s="34"/>
      <c r="O45" s="34"/>
      <c r="P45" s="34"/>
      <c r="Q45" s="50"/>
      <c r="R45" s="34"/>
      <c r="S45" s="34"/>
      <c r="T45" s="52" t="str">
        <f aca="false">IF(A45="","",IF(Q45="Closed","Closed","Open"))</f>
        <v/>
      </c>
      <c r="U45" s="52" t="str">
        <f aca="false">IF(OR(A45="",NOT(ISNUMBER(D45))),"",IF(D45&gt;=AsOf-IncidentWindowDays,"Yes","No"))</f>
        <v/>
      </c>
      <c r="V45" s="54" t="str">
        <f aca="false">IF(A45="","",IF(T45="Open",IF(COUNTIFS(MON_SUP,B45,MON_TYPE,"Supplier risk reassessment",MON_REVDATE,"&gt;="&amp;INT(N(D45)))&gt;0,"Open - reassessment event recorded or planned","Open - consider supplier risk reassessment"),IF(COUNTIFS(MON_SUP,B45,MON_TYPE,"Supplier risk reassessment",MON_REVDATE,"&gt;="&amp;INT(N(D45)))&gt;0,"Reassessment event recorded","Closed - no reassessment event recorded")))</f>
        <v/>
      </c>
      <c r="W45" s="54" t="str">
        <f aca="false">IF(A45="","",IF(COUNTIF(INC_ID,A45)&gt;1,"CHECK: duplicate ID",IF(B45="","CHECK: Supplier ID missing",IF(COUNTIF(INV_ID,B45)=0,"CHECK: Supplier ID not in inventory","OK"))))</f>
        <v/>
      </c>
    </row>
    <row r="46" customFormat="false" ht="15" hidden="false" customHeight="false" outlineLevel="0" collapsed="false">
      <c r="A46" s="50"/>
      <c r="B46" s="50"/>
      <c r="C46" s="59" t="str">
        <f aca="false">IF(B46="","",IFERROR(INDEX(INV_NAME,MATCH(B46,INV_ID,0)),"CHECK: Supplier ID not found"))</f>
        <v/>
      </c>
      <c r="D46" s="65"/>
      <c r="E46" s="34"/>
      <c r="F46" s="34"/>
      <c r="G46" s="34"/>
      <c r="H46" s="34"/>
      <c r="I46" s="34"/>
      <c r="J46" s="34"/>
      <c r="K46" s="50"/>
      <c r="L46" s="50"/>
      <c r="M46" s="34"/>
      <c r="N46" s="34"/>
      <c r="O46" s="34"/>
      <c r="P46" s="34"/>
      <c r="Q46" s="50"/>
      <c r="R46" s="34"/>
      <c r="S46" s="34"/>
      <c r="T46" s="52" t="str">
        <f aca="false">IF(A46="","",IF(Q46="Closed","Closed","Open"))</f>
        <v/>
      </c>
      <c r="U46" s="52" t="str">
        <f aca="false">IF(OR(A46="",NOT(ISNUMBER(D46))),"",IF(D46&gt;=AsOf-IncidentWindowDays,"Yes","No"))</f>
        <v/>
      </c>
      <c r="V46" s="54" t="str">
        <f aca="false">IF(A46="","",IF(T46="Open",IF(COUNTIFS(MON_SUP,B46,MON_TYPE,"Supplier risk reassessment",MON_REVDATE,"&gt;="&amp;INT(N(D46)))&gt;0,"Open - reassessment event recorded or planned","Open - consider supplier risk reassessment"),IF(COUNTIFS(MON_SUP,B46,MON_TYPE,"Supplier risk reassessment",MON_REVDATE,"&gt;="&amp;INT(N(D46)))&gt;0,"Reassessment event recorded","Closed - no reassessment event recorded")))</f>
        <v/>
      </c>
      <c r="W46" s="54" t="str">
        <f aca="false">IF(A46="","",IF(COUNTIF(INC_ID,A46)&gt;1,"CHECK: duplicate ID",IF(B46="","CHECK: Supplier ID missing",IF(COUNTIF(INV_ID,B46)=0,"CHECK: Supplier ID not in inventory","OK"))))</f>
        <v/>
      </c>
    </row>
    <row r="47" customFormat="false" ht="15" hidden="false" customHeight="false" outlineLevel="0" collapsed="false">
      <c r="A47" s="50"/>
      <c r="B47" s="50"/>
      <c r="C47" s="59" t="str">
        <f aca="false">IF(B47="","",IFERROR(INDEX(INV_NAME,MATCH(B47,INV_ID,0)),"CHECK: Supplier ID not found"))</f>
        <v/>
      </c>
      <c r="D47" s="65"/>
      <c r="E47" s="34"/>
      <c r="F47" s="34"/>
      <c r="G47" s="34"/>
      <c r="H47" s="34"/>
      <c r="I47" s="34"/>
      <c r="J47" s="34"/>
      <c r="K47" s="50"/>
      <c r="L47" s="50"/>
      <c r="M47" s="34"/>
      <c r="N47" s="34"/>
      <c r="O47" s="34"/>
      <c r="P47" s="34"/>
      <c r="Q47" s="50"/>
      <c r="R47" s="34"/>
      <c r="S47" s="34"/>
      <c r="T47" s="52" t="str">
        <f aca="false">IF(A47="","",IF(Q47="Closed","Closed","Open"))</f>
        <v/>
      </c>
      <c r="U47" s="52" t="str">
        <f aca="false">IF(OR(A47="",NOT(ISNUMBER(D47))),"",IF(D47&gt;=AsOf-IncidentWindowDays,"Yes","No"))</f>
        <v/>
      </c>
      <c r="V47" s="54" t="str">
        <f aca="false">IF(A47="","",IF(T47="Open",IF(COUNTIFS(MON_SUP,B47,MON_TYPE,"Supplier risk reassessment",MON_REVDATE,"&gt;="&amp;INT(N(D47)))&gt;0,"Open - reassessment event recorded or planned","Open - consider supplier risk reassessment"),IF(COUNTIFS(MON_SUP,B47,MON_TYPE,"Supplier risk reassessment",MON_REVDATE,"&gt;="&amp;INT(N(D47)))&gt;0,"Reassessment event recorded","Closed - no reassessment event recorded")))</f>
        <v/>
      </c>
      <c r="W47" s="54" t="str">
        <f aca="false">IF(A47="","",IF(COUNTIF(INC_ID,A47)&gt;1,"CHECK: duplicate ID",IF(B47="","CHECK: Supplier ID missing",IF(COUNTIF(INV_ID,B47)=0,"CHECK: Supplier ID not in inventory","OK"))))</f>
        <v/>
      </c>
    </row>
    <row r="48" customFormat="false" ht="15" hidden="false" customHeight="false" outlineLevel="0" collapsed="false">
      <c r="A48" s="50"/>
      <c r="B48" s="50"/>
      <c r="C48" s="59" t="str">
        <f aca="false">IF(B48="","",IFERROR(INDEX(INV_NAME,MATCH(B48,INV_ID,0)),"CHECK: Supplier ID not found"))</f>
        <v/>
      </c>
      <c r="D48" s="65"/>
      <c r="E48" s="34"/>
      <c r="F48" s="34"/>
      <c r="G48" s="34"/>
      <c r="H48" s="34"/>
      <c r="I48" s="34"/>
      <c r="J48" s="34"/>
      <c r="K48" s="50"/>
      <c r="L48" s="50"/>
      <c r="M48" s="34"/>
      <c r="N48" s="34"/>
      <c r="O48" s="34"/>
      <c r="P48" s="34"/>
      <c r="Q48" s="50"/>
      <c r="R48" s="34"/>
      <c r="S48" s="34"/>
      <c r="T48" s="52" t="str">
        <f aca="false">IF(A48="","",IF(Q48="Closed","Closed","Open"))</f>
        <v/>
      </c>
      <c r="U48" s="52" t="str">
        <f aca="false">IF(OR(A48="",NOT(ISNUMBER(D48))),"",IF(D48&gt;=AsOf-IncidentWindowDays,"Yes","No"))</f>
        <v/>
      </c>
      <c r="V48" s="54" t="str">
        <f aca="false">IF(A48="","",IF(T48="Open",IF(COUNTIFS(MON_SUP,B48,MON_TYPE,"Supplier risk reassessment",MON_REVDATE,"&gt;="&amp;INT(N(D48)))&gt;0,"Open - reassessment event recorded or planned","Open - consider supplier risk reassessment"),IF(COUNTIFS(MON_SUP,B48,MON_TYPE,"Supplier risk reassessment",MON_REVDATE,"&gt;="&amp;INT(N(D48)))&gt;0,"Reassessment event recorded","Closed - no reassessment event recorded")))</f>
        <v/>
      </c>
      <c r="W48" s="54" t="str">
        <f aca="false">IF(A48="","",IF(COUNTIF(INC_ID,A48)&gt;1,"CHECK: duplicate ID",IF(B48="","CHECK: Supplier ID missing",IF(COUNTIF(INV_ID,B48)=0,"CHECK: Supplier ID not in inventory","OK"))))</f>
        <v/>
      </c>
    </row>
    <row r="49" customFormat="false" ht="15" hidden="false" customHeight="false" outlineLevel="0" collapsed="false">
      <c r="A49" s="50"/>
      <c r="B49" s="50"/>
      <c r="C49" s="59" t="str">
        <f aca="false">IF(B49="","",IFERROR(INDEX(INV_NAME,MATCH(B49,INV_ID,0)),"CHECK: Supplier ID not found"))</f>
        <v/>
      </c>
      <c r="D49" s="65"/>
      <c r="E49" s="34"/>
      <c r="F49" s="34"/>
      <c r="G49" s="34"/>
      <c r="H49" s="34"/>
      <c r="I49" s="34"/>
      <c r="J49" s="34"/>
      <c r="K49" s="50"/>
      <c r="L49" s="50"/>
      <c r="M49" s="34"/>
      <c r="N49" s="34"/>
      <c r="O49" s="34"/>
      <c r="P49" s="34"/>
      <c r="Q49" s="50"/>
      <c r="R49" s="34"/>
      <c r="S49" s="34"/>
      <c r="T49" s="52" t="str">
        <f aca="false">IF(A49="","",IF(Q49="Closed","Closed","Open"))</f>
        <v/>
      </c>
      <c r="U49" s="52" t="str">
        <f aca="false">IF(OR(A49="",NOT(ISNUMBER(D49))),"",IF(D49&gt;=AsOf-IncidentWindowDays,"Yes","No"))</f>
        <v/>
      </c>
      <c r="V49" s="54" t="str">
        <f aca="false">IF(A49="","",IF(T49="Open",IF(COUNTIFS(MON_SUP,B49,MON_TYPE,"Supplier risk reassessment",MON_REVDATE,"&gt;="&amp;INT(N(D49)))&gt;0,"Open - reassessment event recorded or planned","Open - consider supplier risk reassessment"),IF(COUNTIFS(MON_SUP,B49,MON_TYPE,"Supplier risk reassessment",MON_REVDATE,"&gt;="&amp;INT(N(D49)))&gt;0,"Reassessment event recorded","Closed - no reassessment event recorded")))</f>
        <v/>
      </c>
      <c r="W49" s="54" t="str">
        <f aca="false">IF(A49="","",IF(COUNTIF(INC_ID,A49)&gt;1,"CHECK: duplicate ID",IF(B49="","CHECK: Supplier ID missing",IF(COUNTIF(INV_ID,B49)=0,"CHECK: Supplier ID not in inventory","OK"))))</f>
        <v/>
      </c>
    </row>
    <row r="50" customFormat="false" ht="15" hidden="false" customHeight="false" outlineLevel="0" collapsed="false">
      <c r="A50" s="50"/>
      <c r="B50" s="50"/>
      <c r="C50" s="59" t="str">
        <f aca="false">IF(B50="","",IFERROR(INDEX(INV_NAME,MATCH(B50,INV_ID,0)),"CHECK: Supplier ID not found"))</f>
        <v/>
      </c>
      <c r="D50" s="65"/>
      <c r="E50" s="34"/>
      <c r="F50" s="34"/>
      <c r="G50" s="34"/>
      <c r="H50" s="34"/>
      <c r="I50" s="34"/>
      <c r="J50" s="34"/>
      <c r="K50" s="50"/>
      <c r="L50" s="50"/>
      <c r="M50" s="34"/>
      <c r="N50" s="34"/>
      <c r="O50" s="34"/>
      <c r="P50" s="34"/>
      <c r="Q50" s="50"/>
      <c r="R50" s="34"/>
      <c r="S50" s="34"/>
      <c r="T50" s="52" t="str">
        <f aca="false">IF(A50="","",IF(Q50="Closed","Closed","Open"))</f>
        <v/>
      </c>
      <c r="U50" s="52" t="str">
        <f aca="false">IF(OR(A50="",NOT(ISNUMBER(D50))),"",IF(D50&gt;=AsOf-IncidentWindowDays,"Yes","No"))</f>
        <v/>
      </c>
      <c r="V50" s="54" t="str">
        <f aca="false">IF(A50="","",IF(T50="Open",IF(COUNTIFS(MON_SUP,B50,MON_TYPE,"Supplier risk reassessment",MON_REVDATE,"&gt;="&amp;INT(N(D50)))&gt;0,"Open - reassessment event recorded or planned","Open - consider supplier risk reassessment"),IF(COUNTIFS(MON_SUP,B50,MON_TYPE,"Supplier risk reassessment",MON_REVDATE,"&gt;="&amp;INT(N(D50)))&gt;0,"Reassessment event recorded","Closed - no reassessment event recorded")))</f>
        <v/>
      </c>
      <c r="W50" s="54" t="str">
        <f aca="false">IF(A50="","",IF(COUNTIF(INC_ID,A50)&gt;1,"CHECK: duplicate ID",IF(B50="","CHECK: Supplier ID missing",IF(COUNTIF(INV_ID,B50)=0,"CHECK: Supplier ID not in inventory","OK"))))</f>
        <v/>
      </c>
    </row>
    <row r="51" customFormat="false" ht="15" hidden="false" customHeight="false" outlineLevel="0" collapsed="false">
      <c r="A51" s="50"/>
      <c r="B51" s="50"/>
      <c r="C51" s="59" t="str">
        <f aca="false">IF(B51="","",IFERROR(INDEX(INV_NAME,MATCH(B51,INV_ID,0)),"CHECK: Supplier ID not found"))</f>
        <v/>
      </c>
      <c r="D51" s="65"/>
      <c r="E51" s="34"/>
      <c r="F51" s="34"/>
      <c r="G51" s="34"/>
      <c r="H51" s="34"/>
      <c r="I51" s="34"/>
      <c r="J51" s="34"/>
      <c r="K51" s="50"/>
      <c r="L51" s="50"/>
      <c r="M51" s="34"/>
      <c r="N51" s="34"/>
      <c r="O51" s="34"/>
      <c r="P51" s="34"/>
      <c r="Q51" s="50"/>
      <c r="R51" s="34"/>
      <c r="S51" s="34"/>
      <c r="T51" s="52" t="str">
        <f aca="false">IF(A51="","",IF(Q51="Closed","Closed","Open"))</f>
        <v/>
      </c>
      <c r="U51" s="52" t="str">
        <f aca="false">IF(OR(A51="",NOT(ISNUMBER(D51))),"",IF(D51&gt;=AsOf-IncidentWindowDays,"Yes","No"))</f>
        <v/>
      </c>
      <c r="V51" s="54" t="str">
        <f aca="false">IF(A51="","",IF(T51="Open",IF(COUNTIFS(MON_SUP,B51,MON_TYPE,"Supplier risk reassessment",MON_REVDATE,"&gt;="&amp;INT(N(D51)))&gt;0,"Open - reassessment event recorded or planned","Open - consider supplier risk reassessment"),IF(COUNTIFS(MON_SUP,B51,MON_TYPE,"Supplier risk reassessment",MON_REVDATE,"&gt;="&amp;INT(N(D51)))&gt;0,"Reassessment event recorded","Closed - no reassessment event recorded")))</f>
        <v/>
      </c>
      <c r="W51" s="54" t="str">
        <f aca="false">IF(A51="","",IF(COUNTIF(INC_ID,A51)&gt;1,"CHECK: duplicate ID",IF(B51="","CHECK: Supplier ID missing",IF(COUNTIF(INV_ID,B51)=0,"CHECK: Supplier ID not in inventory","OK"))))</f>
        <v/>
      </c>
    </row>
    <row r="52" customFormat="false" ht="15" hidden="false" customHeight="false" outlineLevel="0" collapsed="false">
      <c r="A52" s="50"/>
      <c r="B52" s="50"/>
      <c r="C52" s="59" t="str">
        <f aca="false">IF(B52="","",IFERROR(INDEX(INV_NAME,MATCH(B52,INV_ID,0)),"CHECK: Supplier ID not found"))</f>
        <v/>
      </c>
      <c r="D52" s="65"/>
      <c r="E52" s="34"/>
      <c r="F52" s="34"/>
      <c r="G52" s="34"/>
      <c r="H52" s="34"/>
      <c r="I52" s="34"/>
      <c r="J52" s="34"/>
      <c r="K52" s="50"/>
      <c r="L52" s="50"/>
      <c r="M52" s="34"/>
      <c r="N52" s="34"/>
      <c r="O52" s="34"/>
      <c r="P52" s="34"/>
      <c r="Q52" s="50"/>
      <c r="R52" s="34"/>
      <c r="S52" s="34"/>
      <c r="T52" s="52" t="str">
        <f aca="false">IF(A52="","",IF(Q52="Closed","Closed","Open"))</f>
        <v/>
      </c>
      <c r="U52" s="52" t="str">
        <f aca="false">IF(OR(A52="",NOT(ISNUMBER(D52))),"",IF(D52&gt;=AsOf-IncidentWindowDays,"Yes","No"))</f>
        <v/>
      </c>
      <c r="V52" s="54" t="str">
        <f aca="false">IF(A52="","",IF(T52="Open",IF(COUNTIFS(MON_SUP,B52,MON_TYPE,"Supplier risk reassessment",MON_REVDATE,"&gt;="&amp;INT(N(D52)))&gt;0,"Open - reassessment event recorded or planned","Open - consider supplier risk reassessment"),IF(COUNTIFS(MON_SUP,B52,MON_TYPE,"Supplier risk reassessment",MON_REVDATE,"&gt;="&amp;INT(N(D52)))&gt;0,"Reassessment event recorded","Closed - no reassessment event recorded")))</f>
        <v/>
      </c>
      <c r="W52" s="54" t="str">
        <f aca="false">IF(A52="","",IF(COUNTIF(INC_ID,A52)&gt;1,"CHECK: duplicate ID",IF(B52="","CHECK: Supplier ID missing",IF(COUNTIF(INV_ID,B52)=0,"CHECK: Supplier ID not in inventory","OK"))))</f>
        <v/>
      </c>
    </row>
    <row r="53" customFormat="false" ht="15" hidden="false" customHeight="false" outlineLevel="0" collapsed="false">
      <c r="A53" s="50"/>
      <c r="B53" s="50"/>
      <c r="C53" s="59" t="str">
        <f aca="false">IF(B53="","",IFERROR(INDEX(INV_NAME,MATCH(B53,INV_ID,0)),"CHECK: Supplier ID not found"))</f>
        <v/>
      </c>
      <c r="D53" s="65"/>
      <c r="E53" s="34"/>
      <c r="F53" s="34"/>
      <c r="G53" s="34"/>
      <c r="H53" s="34"/>
      <c r="I53" s="34"/>
      <c r="J53" s="34"/>
      <c r="K53" s="50"/>
      <c r="L53" s="50"/>
      <c r="M53" s="34"/>
      <c r="N53" s="34"/>
      <c r="O53" s="34"/>
      <c r="P53" s="34"/>
      <c r="Q53" s="50"/>
      <c r="R53" s="34"/>
      <c r="S53" s="34"/>
      <c r="T53" s="52" t="str">
        <f aca="false">IF(A53="","",IF(Q53="Closed","Closed","Open"))</f>
        <v/>
      </c>
      <c r="U53" s="52" t="str">
        <f aca="false">IF(OR(A53="",NOT(ISNUMBER(D53))),"",IF(D53&gt;=AsOf-IncidentWindowDays,"Yes","No"))</f>
        <v/>
      </c>
      <c r="V53" s="54" t="str">
        <f aca="false">IF(A53="","",IF(T53="Open",IF(COUNTIFS(MON_SUP,B53,MON_TYPE,"Supplier risk reassessment",MON_REVDATE,"&gt;="&amp;INT(N(D53)))&gt;0,"Open - reassessment event recorded or planned","Open - consider supplier risk reassessment"),IF(COUNTIFS(MON_SUP,B53,MON_TYPE,"Supplier risk reassessment",MON_REVDATE,"&gt;="&amp;INT(N(D53)))&gt;0,"Reassessment event recorded","Closed - no reassessment event recorded")))</f>
        <v/>
      </c>
      <c r="W53" s="54" t="str">
        <f aca="false">IF(A53="","",IF(COUNTIF(INC_ID,A53)&gt;1,"CHECK: duplicate ID",IF(B53="","CHECK: Supplier ID missing",IF(COUNTIF(INV_ID,B53)=0,"CHECK: Supplier ID not in inventory","OK"))))</f>
        <v/>
      </c>
    </row>
    <row r="54" customFormat="false" ht="15" hidden="false" customHeight="false" outlineLevel="0" collapsed="false">
      <c r="A54" s="50"/>
      <c r="B54" s="50"/>
      <c r="C54" s="59" t="str">
        <f aca="false">IF(B54="","",IFERROR(INDEX(INV_NAME,MATCH(B54,INV_ID,0)),"CHECK: Supplier ID not found"))</f>
        <v/>
      </c>
      <c r="D54" s="65"/>
      <c r="E54" s="34"/>
      <c r="F54" s="34"/>
      <c r="G54" s="34"/>
      <c r="H54" s="34"/>
      <c r="I54" s="34"/>
      <c r="J54" s="34"/>
      <c r="K54" s="50"/>
      <c r="L54" s="50"/>
      <c r="M54" s="34"/>
      <c r="N54" s="34"/>
      <c r="O54" s="34"/>
      <c r="P54" s="34"/>
      <c r="Q54" s="50"/>
      <c r="R54" s="34"/>
      <c r="S54" s="34"/>
      <c r="T54" s="52" t="str">
        <f aca="false">IF(A54="","",IF(Q54="Closed","Closed","Open"))</f>
        <v/>
      </c>
      <c r="U54" s="52" t="str">
        <f aca="false">IF(OR(A54="",NOT(ISNUMBER(D54))),"",IF(D54&gt;=AsOf-IncidentWindowDays,"Yes","No"))</f>
        <v/>
      </c>
      <c r="V54" s="54" t="str">
        <f aca="false">IF(A54="","",IF(T54="Open",IF(COUNTIFS(MON_SUP,B54,MON_TYPE,"Supplier risk reassessment",MON_REVDATE,"&gt;="&amp;INT(N(D54)))&gt;0,"Open - reassessment event recorded or planned","Open - consider supplier risk reassessment"),IF(COUNTIFS(MON_SUP,B54,MON_TYPE,"Supplier risk reassessment",MON_REVDATE,"&gt;="&amp;INT(N(D54)))&gt;0,"Reassessment event recorded","Closed - no reassessment event recorded")))</f>
        <v/>
      </c>
      <c r="W54" s="54" t="str">
        <f aca="false">IF(A54="","",IF(COUNTIF(INC_ID,A54)&gt;1,"CHECK: duplicate ID",IF(B54="","CHECK: Supplier ID missing",IF(COUNTIF(INV_ID,B54)=0,"CHECK: Supplier ID not in inventory","OK"))))</f>
        <v/>
      </c>
    </row>
    <row r="55" customFormat="false" ht="15" hidden="false" customHeight="false" outlineLevel="0" collapsed="false">
      <c r="A55" s="50"/>
      <c r="B55" s="50"/>
      <c r="C55" s="59" t="str">
        <f aca="false">IF(B55="","",IFERROR(INDEX(INV_NAME,MATCH(B55,INV_ID,0)),"CHECK: Supplier ID not found"))</f>
        <v/>
      </c>
      <c r="D55" s="65"/>
      <c r="E55" s="34"/>
      <c r="F55" s="34"/>
      <c r="G55" s="34"/>
      <c r="H55" s="34"/>
      <c r="I55" s="34"/>
      <c r="J55" s="34"/>
      <c r="K55" s="50"/>
      <c r="L55" s="50"/>
      <c r="M55" s="34"/>
      <c r="N55" s="34"/>
      <c r="O55" s="34"/>
      <c r="P55" s="34"/>
      <c r="Q55" s="50"/>
      <c r="R55" s="34"/>
      <c r="S55" s="34"/>
      <c r="T55" s="52" t="str">
        <f aca="false">IF(A55="","",IF(Q55="Closed","Closed","Open"))</f>
        <v/>
      </c>
      <c r="U55" s="52" t="str">
        <f aca="false">IF(OR(A55="",NOT(ISNUMBER(D55))),"",IF(D55&gt;=AsOf-IncidentWindowDays,"Yes","No"))</f>
        <v/>
      </c>
      <c r="V55" s="54" t="str">
        <f aca="false">IF(A55="","",IF(T55="Open",IF(COUNTIFS(MON_SUP,B55,MON_TYPE,"Supplier risk reassessment",MON_REVDATE,"&gt;="&amp;INT(N(D55)))&gt;0,"Open - reassessment event recorded or planned","Open - consider supplier risk reassessment"),IF(COUNTIFS(MON_SUP,B55,MON_TYPE,"Supplier risk reassessment",MON_REVDATE,"&gt;="&amp;INT(N(D55)))&gt;0,"Reassessment event recorded","Closed - no reassessment event recorded")))</f>
        <v/>
      </c>
      <c r="W55" s="54" t="str">
        <f aca="false">IF(A55="","",IF(COUNTIF(INC_ID,A55)&gt;1,"CHECK: duplicate ID",IF(B55="","CHECK: Supplier ID missing",IF(COUNTIF(INV_ID,B55)=0,"CHECK: Supplier ID not in inventory","OK"))))</f>
        <v/>
      </c>
    </row>
    <row r="56" customFormat="false" ht="15" hidden="false" customHeight="false" outlineLevel="0" collapsed="false">
      <c r="A56" s="50"/>
      <c r="B56" s="50"/>
      <c r="C56" s="59" t="str">
        <f aca="false">IF(B56="","",IFERROR(INDEX(INV_NAME,MATCH(B56,INV_ID,0)),"CHECK: Supplier ID not found"))</f>
        <v/>
      </c>
      <c r="D56" s="65"/>
      <c r="E56" s="34"/>
      <c r="F56" s="34"/>
      <c r="G56" s="34"/>
      <c r="H56" s="34"/>
      <c r="I56" s="34"/>
      <c r="J56" s="34"/>
      <c r="K56" s="50"/>
      <c r="L56" s="50"/>
      <c r="M56" s="34"/>
      <c r="N56" s="34"/>
      <c r="O56" s="34"/>
      <c r="P56" s="34"/>
      <c r="Q56" s="50"/>
      <c r="R56" s="34"/>
      <c r="S56" s="34"/>
      <c r="T56" s="52" t="str">
        <f aca="false">IF(A56="","",IF(Q56="Closed","Closed","Open"))</f>
        <v/>
      </c>
      <c r="U56" s="52" t="str">
        <f aca="false">IF(OR(A56="",NOT(ISNUMBER(D56))),"",IF(D56&gt;=AsOf-IncidentWindowDays,"Yes","No"))</f>
        <v/>
      </c>
      <c r="V56" s="54" t="str">
        <f aca="false">IF(A56="","",IF(T56="Open",IF(COUNTIFS(MON_SUP,B56,MON_TYPE,"Supplier risk reassessment",MON_REVDATE,"&gt;="&amp;INT(N(D56)))&gt;0,"Open - reassessment event recorded or planned","Open - consider supplier risk reassessment"),IF(COUNTIFS(MON_SUP,B56,MON_TYPE,"Supplier risk reassessment",MON_REVDATE,"&gt;="&amp;INT(N(D56)))&gt;0,"Reassessment event recorded","Closed - no reassessment event recorded")))</f>
        <v/>
      </c>
      <c r="W56" s="54" t="str">
        <f aca="false">IF(A56="","",IF(COUNTIF(INC_ID,A56)&gt;1,"CHECK: duplicate ID",IF(B56="","CHECK: Supplier ID missing",IF(COUNTIF(INV_ID,B56)=0,"CHECK: Supplier ID not in inventory","OK"))))</f>
        <v/>
      </c>
    </row>
    <row r="57" customFormat="false" ht="15" hidden="false" customHeight="false" outlineLevel="0" collapsed="false">
      <c r="A57" s="50"/>
      <c r="B57" s="50"/>
      <c r="C57" s="59" t="str">
        <f aca="false">IF(B57="","",IFERROR(INDEX(INV_NAME,MATCH(B57,INV_ID,0)),"CHECK: Supplier ID not found"))</f>
        <v/>
      </c>
      <c r="D57" s="65"/>
      <c r="E57" s="34"/>
      <c r="F57" s="34"/>
      <c r="G57" s="34"/>
      <c r="H57" s="34"/>
      <c r="I57" s="34"/>
      <c r="J57" s="34"/>
      <c r="K57" s="50"/>
      <c r="L57" s="50"/>
      <c r="M57" s="34"/>
      <c r="N57" s="34"/>
      <c r="O57" s="34"/>
      <c r="P57" s="34"/>
      <c r="Q57" s="50"/>
      <c r="R57" s="34"/>
      <c r="S57" s="34"/>
      <c r="T57" s="52" t="str">
        <f aca="false">IF(A57="","",IF(Q57="Closed","Closed","Open"))</f>
        <v/>
      </c>
      <c r="U57" s="52" t="str">
        <f aca="false">IF(OR(A57="",NOT(ISNUMBER(D57))),"",IF(D57&gt;=AsOf-IncidentWindowDays,"Yes","No"))</f>
        <v/>
      </c>
      <c r="V57" s="54" t="str">
        <f aca="false">IF(A57="","",IF(T57="Open",IF(COUNTIFS(MON_SUP,B57,MON_TYPE,"Supplier risk reassessment",MON_REVDATE,"&gt;="&amp;INT(N(D57)))&gt;0,"Open - reassessment event recorded or planned","Open - consider supplier risk reassessment"),IF(COUNTIFS(MON_SUP,B57,MON_TYPE,"Supplier risk reassessment",MON_REVDATE,"&gt;="&amp;INT(N(D57)))&gt;0,"Reassessment event recorded","Closed - no reassessment event recorded")))</f>
        <v/>
      </c>
      <c r="W57" s="54" t="str">
        <f aca="false">IF(A57="","",IF(COUNTIF(INC_ID,A57)&gt;1,"CHECK: duplicate ID",IF(B57="","CHECK: Supplier ID missing",IF(COUNTIF(INV_ID,B57)=0,"CHECK: Supplier ID not in inventory","OK"))))</f>
        <v/>
      </c>
    </row>
    <row r="58" customFormat="false" ht="15" hidden="false" customHeight="false" outlineLevel="0" collapsed="false">
      <c r="A58" s="50"/>
      <c r="B58" s="50"/>
      <c r="C58" s="59" t="str">
        <f aca="false">IF(B58="","",IFERROR(INDEX(INV_NAME,MATCH(B58,INV_ID,0)),"CHECK: Supplier ID not found"))</f>
        <v/>
      </c>
      <c r="D58" s="65"/>
      <c r="E58" s="34"/>
      <c r="F58" s="34"/>
      <c r="G58" s="34"/>
      <c r="H58" s="34"/>
      <c r="I58" s="34"/>
      <c r="J58" s="34"/>
      <c r="K58" s="50"/>
      <c r="L58" s="50"/>
      <c r="M58" s="34"/>
      <c r="N58" s="34"/>
      <c r="O58" s="34"/>
      <c r="P58" s="34"/>
      <c r="Q58" s="50"/>
      <c r="R58" s="34"/>
      <c r="S58" s="34"/>
      <c r="T58" s="52" t="str">
        <f aca="false">IF(A58="","",IF(Q58="Closed","Closed","Open"))</f>
        <v/>
      </c>
      <c r="U58" s="52" t="str">
        <f aca="false">IF(OR(A58="",NOT(ISNUMBER(D58))),"",IF(D58&gt;=AsOf-IncidentWindowDays,"Yes","No"))</f>
        <v/>
      </c>
      <c r="V58" s="54" t="str">
        <f aca="false">IF(A58="","",IF(T58="Open",IF(COUNTIFS(MON_SUP,B58,MON_TYPE,"Supplier risk reassessment",MON_REVDATE,"&gt;="&amp;INT(N(D58)))&gt;0,"Open - reassessment event recorded or planned","Open - consider supplier risk reassessment"),IF(COUNTIFS(MON_SUP,B58,MON_TYPE,"Supplier risk reassessment",MON_REVDATE,"&gt;="&amp;INT(N(D58)))&gt;0,"Reassessment event recorded","Closed - no reassessment event recorded")))</f>
        <v/>
      </c>
      <c r="W58" s="54" t="str">
        <f aca="false">IF(A58="","",IF(COUNTIF(INC_ID,A58)&gt;1,"CHECK: duplicate ID",IF(B58="","CHECK: Supplier ID missing",IF(COUNTIF(INV_ID,B58)=0,"CHECK: Supplier ID not in inventory","OK"))))</f>
        <v/>
      </c>
    </row>
    <row r="59" customFormat="false" ht="15" hidden="false" customHeight="false" outlineLevel="0" collapsed="false">
      <c r="A59" s="50"/>
      <c r="B59" s="50"/>
      <c r="C59" s="59" t="str">
        <f aca="false">IF(B59="","",IFERROR(INDEX(INV_NAME,MATCH(B59,INV_ID,0)),"CHECK: Supplier ID not found"))</f>
        <v/>
      </c>
      <c r="D59" s="65"/>
      <c r="E59" s="34"/>
      <c r="F59" s="34"/>
      <c r="G59" s="34"/>
      <c r="H59" s="34"/>
      <c r="I59" s="34"/>
      <c r="J59" s="34"/>
      <c r="K59" s="50"/>
      <c r="L59" s="50"/>
      <c r="M59" s="34"/>
      <c r="N59" s="34"/>
      <c r="O59" s="34"/>
      <c r="P59" s="34"/>
      <c r="Q59" s="50"/>
      <c r="R59" s="34"/>
      <c r="S59" s="34"/>
      <c r="T59" s="52" t="str">
        <f aca="false">IF(A59="","",IF(Q59="Closed","Closed","Open"))</f>
        <v/>
      </c>
      <c r="U59" s="52" t="str">
        <f aca="false">IF(OR(A59="",NOT(ISNUMBER(D59))),"",IF(D59&gt;=AsOf-IncidentWindowDays,"Yes","No"))</f>
        <v/>
      </c>
      <c r="V59" s="54" t="str">
        <f aca="false">IF(A59="","",IF(T59="Open",IF(COUNTIFS(MON_SUP,B59,MON_TYPE,"Supplier risk reassessment",MON_REVDATE,"&gt;="&amp;INT(N(D59)))&gt;0,"Open - reassessment event recorded or planned","Open - consider supplier risk reassessment"),IF(COUNTIFS(MON_SUP,B59,MON_TYPE,"Supplier risk reassessment",MON_REVDATE,"&gt;="&amp;INT(N(D59)))&gt;0,"Reassessment event recorded","Closed - no reassessment event recorded")))</f>
        <v/>
      </c>
      <c r="W59" s="54" t="str">
        <f aca="false">IF(A59="","",IF(COUNTIF(INC_ID,A59)&gt;1,"CHECK: duplicate ID",IF(B59="","CHECK: Supplier ID missing",IF(COUNTIF(INV_ID,B59)=0,"CHECK: Supplier ID not in inventory","OK"))))</f>
        <v/>
      </c>
    </row>
    <row r="60" customFormat="false" ht="15" hidden="false" customHeight="false" outlineLevel="0" collapsed="false">
      <c r="A60" s="50"/>
      <c r="B60" s="50"/>
      <c r="C60" s="59" t="str">
        <f aca="false">IF(B60="","",IFERROR(INDEX(INV_NAME,MATCH(B60,INV_ID,0)),"CHECK: Supplier ID not found"))</f>
        <v/>
      </c>
      <c r="D60" s="65"/>
      <c r="E60" s="34"/>
      <c r="F60" s="34"/>
      <c r="G60" s="34"/>
      <c r="H60" s="34"/>
      <c r="I60" s="34"/>
      <c r="J60" s="34"/>
      <c r="K60" s="50"/>
      <c r="L60" s="50"/>
      <c r="M60" s="34"/>
      <c r="N60" s="34"/>
      <c r="O60" s="34"/>
      <c r="P60" s="34"/>
      <c r="Q60" s="50"/>
      <c r="R60" s="34"/>
      <c r="S60" s="34"/>
      <c r="T60" s="52" t="str">
        <f aca="false">IF(A60="","",IF(Q60="Closed","Closed","Open"))</f>
        <v/>
      </c>
      <c r="U60" s="52" t="str">
        <f aca="false">IF(OR(A60="",NOT(ISNUMBER(D60))),"",IF(D60&gt;=AsOf-IncidentWindowDays,"Yes","No"))</f>
        <v/>
      </c>
      <c r="V60" s="54" t="str">
        <f aca="false">IF(A60="","",IF(T60="Open",IF(COUNTIFS(MON_SUP,B60,MON_TYPE,"Supplier risk reassessment",MON_REVDATE,"&gt;="&amp;INT(N(D60)))&gt;0,"Open - reassessment event recorded or planned","Open - consider supplier risk reassessment"),IF(COUNTIFS(MON_SUP,B60,MON_TYPE,"Supplier risk reassessment",MON_REVDATE,"&gt;="&amp;INT(N(D60)))&gt;0,"Reassessment event recorded","Closed - no reassessment event recorded")))</f>
        <v/>
      </c>
      <c r="W60" s="54" t="str">
        <f aca="false">IF(A60="","",IF(COUNTIF(INC_ID,A60)&gt;1,"CHECK: duplicate ID",IF(B60="","CHECK: Supplier ID missing",IF(COUNTIF(INV_ID,B60)=0,"CHECK: Supplier ID not in inventory","OK"))))</f>
        <v/>
      </c>
    </row>
    <row r="61" customFormat="false" ht="15" hidden="false" customHeight="false" outlineLevel="0" collapsed="false">
      <c r="A61" s="50"/>
      <c r="B61" s="50"/>
      <c r="C61" s="59" t="str">
        <f aca="false">IF(B61="","",IFERROR(INDEX(INV_NAME,MATCH(B61,INV_ID,0)),"CHECK: Supplier ID not found"))</f>
        <v/>
      </c>
      <c r="D61" s="65"/>
      <c r="E61" s="34"/>
      <c r="F61" s="34"/>
      <c r="G61" s="34"/>
      <c r="H61" s="34"/>
      <c r="I61" s="34"/>
      <c r="J61" s="34"/>
      <c r="K61" s="50"/>
      <c r="L61" s="50"/>
      <c r="M61" s="34"/>
      <c r="N61" s="34"/>
      <c r="O61" s="34"/>
      <c r="P61" s="34"/>
      <c r="Q61" s="50"/>
      <c r="R61" s="34"/>
      <c r="S61" s="34"/>
      <c r="T61" s="52" t="str">
        <f aca="false">IF(A61="","",IF(Q61="Closed","Closed","Open"))</f>
        <v/>
      </c>
      <c r="U61" s="52" t="str">
        <f aca="false">IF(OR(A61="",NOT(ISNUMBER(D61))),"",IF(D61&gt;=AsOf-IncidentWindowDays,"Yes","No"))</f>
        <v/>
      </c>
      <c r="V61" s="54" t="str">
        <f aca="false">IF(A61="","",IF(T61="Open",IF(COUNTIFS(MON_SUP,B61,MON_TYPE,"Supplier risk reassessment",MON_REVDATE,"&gt;="&amp;INT(N(D61)))&gt;0,"Open - reassessment event recorded or planned","Open - consider supplier risk reassessment"),IF(COUNTIFS(MON_SUP,B61,MON_TYPE,"Supplier risk reassessment",MON_REVDATE,"&gt;="&amp;INT(N(D61)))&gt;0,"Reassessment event recorded","Closed - no reassessment event recorded")))</f>
        <v/>
      </c>
      <c r="W61" s="54" t="str">
        <f aca="false">IF(A61="","",IF(COUNTIF(INC_ID,A61)&gt;1,"CHECK: duplicate ID",IF(B61="","CHECK: Supplier ID missing",IF(COUNTIF(INV_ID,B61)=0,"CHECK: Supplier ID not in inventory","OK"))))</f>
        <v/>
      </c>
    </row>
    <row r="62" customFormat="false" ht="15" hidden="false" customHeight="false" outlineLevel="0" collapsed="false">
      <c r="A62" s="50"/>
      <c r="B62" s="50"/>
      <c r="C62" s="59" t="str">
        <f aca="false">IF(B62="","",IFERROR(INDEX(INV_NAME,MATCH(B62,INV_ID,0)),"CHECK: Supplier ID not found"))</f>
        <v/>
      </c>
      <c r="D62" s="65"/>
      <c r="E62" s="34"/>
      <c r="F62" s="34"/>
      <c r="G62" s="34"/>
      <c r="H62" s="34"/>
      <c r="I62" s="34"/>
      <c r="J62" s="34"/>
      <c r="K62" s="50"/>
      <c r="L62" s="50"/>
      <c r="M62" s="34"/>
      <c r="N62" s="34"/>
      <c r="O62" s="34"/>
      <c r="P62" s="34"/>
      <c r="Q62" s="50"/>
      <c r="R62" s="34"/>
      <c r="S62" s="34"/>
      <c r="T62" s="52" t="str">
        <f aca="false">IF(A62="","",IF(Q62="Closed","Closed","Open"))</f>
        <v/>
      </c>
      <c r="U62" s="52" t="str">
        <f aca="false">IF(OR(A62="",NOT(ISNUMBER(D62))),"",IF(D62&gt;=AsOf-IncidentWindowDays,"Yes","No"))</f>
        <v/>
      </c>
      <c r="V62" s="54" t="str">
        <f aca="false">IF(A62="","",IF(T62="Open",IF(COUNTIFS(MON_SUP,B62,MON_TYPE,"Supplier risk reassessment",MON_REVDATE,"&gt;="&amp;INT(N(D62)))&gt;0,"Open - reassessment event recorded or planned","Open - consider supplier risk reassessment"),IF(COUNTIFS(MON_SUP,B62,MON_TYPE,"Supplier risk reassessment",MON_REVDATE,"&gt;="&amp;INT(N(D62)))&gt;0,"Reassessment event recorded","Closed - no reassessment event recorded")))</f>
        <v/>
      </c>
      <c r="W62" s="54" t="str">
        <f aca="false">IF(A62="","",IF(COUNTIF(INC_ID,A62)&gt;1,"CHECK: duplicate ID",IF(B62="","CHECK: Supplier ID missing",IF(COUNTIF(INV_ID,B62)=0,"CHECK: Supplier ID not in inventory","OK"))))</f>
        <v/>
      </c>
    </row>
    <row r="63" customFormat="false" ht="15" hidden="false" customHeight="false" outlineLevel="0" collapsed="false">
      <c r="A63" s="50"/>
      <c r="B63" s="50"/>
      <c r="C63" s="59" t="str">
        <f aca="false">IF(B63="","",IFERROR(INDEX(INV_NAME,MATCH(B63,INV_ID,0)),"CHECK: Supplier ID not found"))</f>
        <v/>
      </c>
      <c r="D63" s="65"/>
      <c r="E63" s="34"/>
      <c r="F63" s="34"/>
      <c r="G63" s="34"/>
      <c r="H63" s="34"/>
      <c r="I63" s="34"/>
      <c r="J63" s="34"/>
      <c r="K63" s="50"/>
      <c r="L63" s="50"/>
      <c r="M63" s="34"/>
      <c r="N63" s="34"/>
      <c r="O63" s="34"/>
      <c r="P63" s="34"/>
      <c r="Q63" s="50"/>
      <c r="R63" s="34"/>
      <c r="S63" s="34"/>
      <c r="T63" s="52" t="str">
        <f aca="false">IF(A63="","",IF(Q63="Closed","Closed","Open"))</f>
        <v/>
      </c>
      <c r="U63" s="52" t="str">
        <f aca="false">IF(OR(A63="",NOT(ISNUMBER(D63))),"",IF(D63&gt;=AsOf-IncidentWindowDays,"Yes","No"))</f>
        <v/>
      </c>
      <c r="V63" s="54" t="str">
        <f aca="false">IF(A63="","",IF(T63="Open",IF(COUNTIFS(MON_SUP,B63,MON_TYPE,"Supplier risk reassessment",MON_REVDATE,"&gt;="&amp;INT(N(D63)))&gt;0,"Open - reassessment event recorded or planned","Open - consider supplier risk reassessment"),IF(COUNTIFS(MON_SUP,B63,MON_TYPE,"Supplier risk reassessment",MON_REVDATE,"&gt;="&amp;INT(N(D63)))&gt;0,"Reassessment event recorded","Closed - no reassessment event recorded")))</f>
        <v/>
      </c>
      <c r="W63" s="54" t="str">
        <f aca="false">IF(A63="","",IF(COUNTIF(INC_ID,A63)&gt;1,"CHECK: duplicate ID",IF(B63="","CHECK: Supplier ID missing",IF(COUNTIF(INV_ID,B63)=0,"CHECK: Supplier ID not in inventory","OK"))))</f>
        <v/>
      </c>
    </row>
    <row r="64" customFormat="false" ht="15" hidden="false" customHeight="false" outlineLevel="0" collapsed="false">
      <c r="A64" s="50"/>
      <c r="B64" s="50"/>
      <c r="C64" s="59" t="str">
        <f aca="false">IF(B64="","",IFERROR(INDEX(INV_NAME,MATCH(B64,INV_ID,0)),"CHECK: Supplier ID not found"))</f>
        <v/>
      </c>
      <c r="D64" s="65"/>
      <c r="E64" s="34"/>
      <c r="F64" s="34"/>
      <c r="G64" s="34"/>
      <c r="H64" s="34"/>
      <c r="I64" s="34"/>
      <c r="J64" s="34"/>
      <c r="K64" s="50"/>
      <c r="L64" s="50"/>
      <c r="M64" s="34"/>
      <c r="N64" s="34"/>
      <c r="O64" s="34"/>
      <c r="P64" s="34"/>
      <c r="Q64" s="50"/>
      <c r="R64" s="34"/>
      <c r="S64" s="34"/>
      <c r="T64" s="52" t="str">
        <f aca="false">IF(A64="","",IF(Q64="Closed","Closed","Open"))</f>
        <v/>
      </c>
      <c r="U64" s="52" t="str">
        <f aca="false">IF(OR(A64="",NOT(ISNUMBER(D64))),"",IF(D64&gt;=AsOf-IncidentWindowDays,"Yes","No"))</f>
        <v/>
      </c>
      <c r="V64" s="54" t="str">
        <f aca="false">IF(A64="","",IF(T64="Open",IF(COUNTIFS(MON_SUP,B64,MON_TYPE,"Supplier risk reassessment",MON_REVDATE,"&gt;="&amp;INT(N(D64)))&gt;0,"Open - reassessment event recorded or planned","Open - consider supplier risk reassessment"),IF(COUNTIFS(MON_SUP,B64,MON_TYPE,"Supplier risk reassessment",MON_REVDATE,"&gt;="&amp;INT(N(D64)))&gt;0,"Reassessment event recorded","Closed - no reassessment event recorded")))</f>
        <v/>
      </c>
      <c r="W64" s="54" t="str">
        <f aca="false">IF(A64="","",IF(COUNTIF(INC_ID,A64)&gt;1,"CHECK: duplicate ID",IF(B64="","CHECK: Supplier ID missing",IF(COUNTIF(INV_ID,B64)=0,"CHECK: Supplier ID not in inventory","OK"))))</f>
        <v/>
      </c>
    </row>
    <row r="65" customFormat="false" ht="15" hidden="false" customHeight="false" outlineLevel="0" collapsed="false">
      <c r="A65" s="50"/>
      <c r="B65" s="50"/>
      <c r="C65" s="59" t="str">
        <f aca="false">IF(B65="","",IFERROR(INDEX(INV_NAME,MATCH(B65,INV_ID,0)),"CHECK: Supplier ID not found"))</f>
        <v/>
      </c>
      <c r="D65" s="65"/>
      <c r="E65" s="34"/>
      <c r="F65" s="34"/>
      <c r="G65" s="34"/>
      <c r="H65" s="34"/>
      <c r="I65" s="34"/>
      <c r="J65" s="34"/>
      <c r="K65" s="50"/>
      <c r="L65" s="50"/>
      <c r="M65" s="34"/>
      <c r="N65" s="34"/>
      <c r="O65" s="34"/>
      <c r="P65" s="34"/>
      <c r="Q65" s="50"/>
      <c r="R65" s="34"/>
      <c r="S65" s="34"/>
      <c r="T65" s="52" t="str">
        <f aca="false">IF(A65="","",IF(Q65="Closed","Closed","Open"))</f>
        <v/>
      </c>
      <c r="U65" s="52" t="str">
        <f aca="false">IF(OR(A65="",NOT(ISNUMBER(D65))),"",IF(D65&gt;=AsOf-IncidentWindowDays,"Yes","No"))</f>
        <v/>
      </c>
      <c r="V65" s="54" t="str">
        <f aca="false">IF(A65="","",IF(T65="Open",IF(COUNTIFS(MON_SUP,B65,MON_TYPE,"Supplier risk reassessment",MON_REVDATE,"&gt;="&amp;INT(N(D65)))&gt;0,"Open - reassessment event recorded or planned","Open - consider supplier risk reassessment"),IF(COUNTIFS(MON_SUP,B65,MON_TYPE,"Supplier risk reassessment",MON_REVDATE,"&gt;="&amp;INT(N(D65)))&gt;0,"Reassessment event recorded","Closed - no reassessment event recorded")))</f>
        <v/>
      </c>
      <c r="W65" s="54" t="str">
        <f aca="false">IF(A65="","",IF(COUNTIF(INC_ID,A65)&gt;1,"CHECK: duplicate ID",IF(B65="","CHECK: Supplier ID missing",IF(COUNTIF(INV_ID,B65)=0,"CHECK: Supplier ID not in inventory","OK"))))</f>
        <v/>
      </c>
    </row>
    <row r="66" customFormat="false" ht="15" hidden="false" customHeight="false" outlineLevel="0" collapsed="false">
      <c r="A66" s="50"/>
      <c r="B66" s="50"/>
      <c r="C66" s="59" t="str">
        <f aca="false">IF(B66="","",IFERROR(INDEX(INV_NAME,MATCH(B66,INV_ID,0)),"CHECK: Supplier ID not found"))</f>
        <v/>
      </c>
      <c r="D66" s="65"/>
      <c r="E66" s="34"/>
      <c r="F66" s="34"/>
      <c r="G66" s="34"/>
      <c r="H66" s="34"/>
      <c r="I66" s="34"/>
      <c r="J66" s="34"/>
      <c r="K66" s="50"/>
      <c r="L66" s="50"/>
      <c r="M66" s="34"/>
      <c r="N66" s="34"/>
      <c r="O66" s="34"/>
      <c r="P66" s="34"/>
      <c r="Q66" s="50"/>
      <c r="R66" s="34"/>
      <c r="S66" s="34"/>
      <c r="T66" s="52" t="str">
        <f aca="false">IF(A66="","",IF(Q66="Closed","Closed","Open"))</f>
        <v/>
      </c>
      <c r="U66" s="52" t="str">
        <f aca="false">IF(OR(A66="",NOT(ISNUMBER(D66))),"",IF(D66&gt;=AsOf-IncidentWindowDays,"Yes","No"))</f>
        <v/>
      </c>
      <c r="V66" s="54" t="str">
        <f aca="false">IF(A66="","",IF(T66="Open",IF(COUNTIFS(MON_SUP,B66,MON_TYPE,"Supplier risk reassessment",MON_REVDATE,"&gt;="&amp;INT(N(D66)))&gt;0,"Open - reassessment event recorded or planned","Open - consider supplier risk reassessment"),IF(COUNTIFS(MON_SUP,B66,MON_TYPE,"Supplier risk reassessment",MON_REVDATE,"&gt;="&amp;INT(N(D66)))&gt;0,"Reassessment event recorded","Closed - no reassessment event recorded")))</f>
        <v/>
      </c>
      <c r="W66" s="54" t="str">
        <f aca="false">IF(A66="","",IF(COUNTIF(INC_ID,A66)&gt;1,"CHECK: duplicate ID",IF(B66="","CHECK: Supplier ID missing",IF(COUNTIF(INV_ID,B66)=0,"CHECK: Supplier ID not in inventory","OK"))))</f>
        <v/>
      </c>
    </row>
    <row r="67" customFormat="false" ht="15" hidden="false" customHeight="false" outlineLevel="0" collapsed="false">
      <c r="A67" s="50"/>
      <c r="B67" s="50"/>
      <c r="C67" s="59" t="str">
        <f aca="false">IF(B67="","",IFERROR(INDEX(INV_NAME,MATCH(B67,INV_ID,0)),"CHECK: Supplier ID not found"))</f>
        <v/>
      </c>
      <c r="D67" s="65"/>
      <c r="E67" s="34"/>
      <c r="F67" s="34"/>
      <c r="G67" s="34"/>
      <c r="H67" s="34"/>
      <c r="I67" s="34"/>
      <c r="J67" s="34"/>
      <c r="K67" s="50"/>
      <c r="L67" s="50"/>
      <c r="M67" s="34"/>
      <c r="N67" s="34"/>
      <c r="O67" s="34"/>
      <c r="P67" s="34"/>
      <c r="Q67" s="50"/>
      <c r="R67" s="34"/>
      <c r="S67" s="34"/>
      <c r="T67" s="52" t="str">
        <f aca="false">IF(A67="","",IF(Q67="Closed","Closed","Open"))</f>
        <v/>
      </c>
      <c r="U67" s="52" t="str">
        <f aca="false">IF(OR(A67="",NOT(ISNUMBER(D67))),"",IF(D67&gt;=AsOf-IncidentWindowDays,"Yes","No"))</f>
        <v/>
      </c>
      <c r="V67" s="54" t="str">
        <f aca="false">IF(A67="","",IF(T67="Open",IF(COUNTIFS(MON_SUP,B67,MON_TYPE,"Supplier risk reassessment",MON_REVDATE,"&gt;="&amp;INT(N(D67)))&gt;0,"Open - reassessment event recorded or planned","Open - consider supplier risk reassessment"),IF(COUNTIFS(MON_SUP,B67,MON_TYPE,"Supplier risk reassessment",MON_REVDATE,"&gt;="&amp;INT(N(D67)))&gt;0,"Reassessment event recorded","Closed - no reassessment event recorded")))</f>
        <v/>
      </c>
      <c r="W67" s="54" t="str">
        <f aca="false">IF(A67="","",IF(COUNTIF(INC_ID,A67)&gt;1,"CHECK: duplicate ID",IF(B67="","CHECK: Supplier ID missing",IF(COUNTIF(INV_ID,B67)=0,"CHECK: Supplier ID not in inventory","OK"))))</f>
        <v/>
      </c>
    </row>
    <row r="68" customFormat="false" ht="15" hidden="false" customHeight="false" outlineLevel="0" collapsed="false">
      <c r="A68" s="50"/>
      <c r="B68" s="50"/>
      <c r="C68" s="59" t="str">
        <f aca="false">IF(B68="","",IFERROR(INDEX(INV_NAME,MATCH(B68,INV_ID,0)),"CHECK: Supplier ID not found"))</f>
        <v/>
      </c>
      <c r="D68" s="65"/>
      <c r="E68" s="34"/>
      <c r="F68" s="34"/>
      <c r="G68" s="34"/>
      <c r="H68" s="34"/>
      <c r="I68" s="34"/>
      <c r="J68" s="34"/>
      <c r="K68" s="50"/>
      <c r="L68" s="50"/>
      <c r="M68" s="34"/>
      <c r="N68" s="34"/>
      <c r="O68" s="34"/>
      <c r="P68" s="34"/>
      <c r="Q68" s="50"/>
      <c r="R68" s="34"/>
      <c r="S68" s="34"/>
      <c r="T68" s="52" t="str">
        <f aca="false">IF(A68="","",IF(Q68="Closed","Closed","Open"))</f>
        <v/>
      </c>
      <c r="U68" s="52" t="str">
        <f aca="false">IF(OR(A68="",NOT(ISNUMBER(D68))),"",IF(D68&gt;=AsOf-IncidentWindowDays,"Yes","No"))</f>
        <v/>
      </c>
      <c r="V68" s="54" t="str">
        <f aca="false">IF(A68="","",IF(T68="Open",IF(COUNTIFS(MON_SUP,B68,MON_TYPE,"Supplier risk reassessment",MON_REVDATE,"&gt;="&amp;INT(N(D68)))&gt;0,"Open - reassessment event recorded or planned","Open - consider supplier risk reassessment"),IF(COUNTIFS(MON_SUP,B68,MON_TYPE,"Supplier risk reassessment",MON_REVDATE,"&gt;="&amp;INT(N(D68)))&gt;0,"Reassessment event recorded","Closed - no reassessment event recorded")))</f>
        <v/>
      </c>
      <c r="W68" s="54" t="str">
        <f aca="false">IF(A68="","",IF(COUNTIF(INC_ID,A68)&gt;1,"CHECK: duplicate ID",IF(B68="","CHECK: Supplier ID missing",IF(COUNTIF(INV_ID,B68)=0,"CHECK: Supplier ID not in inventory","OK"))))</f>
        <v/>
      </c>
    </row>
    <row r="69" customFormat="false" ht="15" hidden="false" customHeight="false" outlineLevel="0" collapsed="false">
      <c r="A69" s="50"/>
      <c r="B69" s="50"/>
      <c r="C69" s="59" t="str">
        <f aca="false">IF(B69="","",IFERROR(INDEX(INV_NAME,MATCH(B69,INV_ID,0)),"CHECK: Supplier ID not found"))</f>
        <v/>
      </c>
      <c r="D69" s="65"/>
      <c r="E69" s="34"/>
      <c r="F69" s="34"/>
      <c r="G69" s="34"/>
      <c r="H69" s="34"/>
      <c r="I69" s="34"/>
      <c r="J69" s="34"/>
      <c r="K69" s="50"/>
      <c r="L69" s="50"/>
      <c r="M69" s="34"/>
      <c r="N69" s="34"/>
      <c r="O69" s="34"/>
      <c r="P69" s="34"/>
      <c r="Q69" s="50"/>
      <c r="R69" s="34"/>
      <c r="S69" s="34"/>
      <c r="T69" s="52" t="str">
        <f aca="false">IF(A69="","",IF(Q69="Closed","Closed","Open"))</f>
        <v/>
      </c>
      <c r="U69" s="52" t="str">
        <f aca="false">IF(OR(A69="",NOT(ISNUMBER(D69))),"",IF(D69&gt;=AsOf-IncidentWindowDays,"Yes","No"))</f>
        <v/>
      </c>
      <c r="V69" s="54" t="str">
        <f aca="false">IF(A69="","",IF(T69="Open",IF(COUNTIFS(MON_SUP,B69,MON_TYPE,"Supplier risk reassessment",MON_REVDATE,"&gt;="&amp;INT(N(D69)))&gt;0,"Open - reassessment event recorded or planned","Open - consider supplier risk reassessment"),IF(COUNTIFS(MON_SUP,B69,MON_TYPE,"Supplier risk reassessment",MON_REVDATE,"&gt;="&amp;INT(N(D69)))&gt;0,"Reassessment event recorded","Closed - no reassessment event recorded")))</f>
        <v/>
      </c>
      <c r="W69" s="54" t="str">
        <f aca="false">IF(A69="","",IF(COUNTIF(INC_ID,A69)&gt;1,"CHECK: duplicate ID",IF(B69="","CHECK: Supplier ID missing",IF(COUNTIF(INV_ID,B69)=0,"CHECK: Supplier ID not in inventory","OK"))))</f>
        <v/>
      </c>
    </row>
    <row r="70" customFormat="false" ht="15" hidden="false" customHeight="false" outlineLevel="0" collapsed="false">
      <c r="A70" s="50"/>
      <c r="B70" s="50"/>
      <c r="C70" s="59" t="str">
        <f aca="false">IF(B70="","",IFERROR(INDEX(INV_NAME,MATCH(B70,INV_ID,0)),"CHECK: Supplier ID not found"))</f>
        <v/>
      </c>
      <c r="D70" s="65"/>
      <c r="E70" s="34"/>
      <c r="F70" s="34"/>
      <c r="G70" s="34"/>
      <c r="H70" s="34"/>
      <c r="I70" s="34"/>
      <c r="J70" s="34"/>
      <c r="K70" s="50"/>
      <c r="L70" s="50"/>
      <c r="M70" s="34"/>
      <c r="N70" s="34"/>
      <c r="O70" s="34"/>
      <c r="P70" s="34"/>
      <c r="Q70" s="50"/>
      <c r="R70" s="34"/>
      <c r="S70" s="34"/>
      <c r="T70" s="52" t="str">
        <f aca="false">IF(A70="","",IF(Q70="Closed","Closed","Open"))</f>
        <v/>
      </c>
      <c r="U70" s="52" t="str">
        <f aca="false">IF(OR(A70="",NOT(ISNUMBER(D70))),"",IF(D70&gt;=AsOf-IncidentWindowDays,"Yes","No"))</f>
        <v/>
      </c>
      <c r="V70" s="54" t="str">
        <f aca="false">IF(A70="","",IF(T70="Open",IF(COUNTIFS(MON_SUP,B70,MON_TYPE,"Supplier risk reassessment",MON_REVDATE,"&gt;="&amp;INT(N(D70)))&gt;0,"Open - reassessment event recorded or planned","Open - consider supplier risk reassessment"),IF(COUNTIFS(MON_SUP,B70,MON_TYPE,"Supplier risk reassessment",MON_REVDATE,"&gt;="&amp;INT(N(D70)))&gt;0,"Reassessment event recorded","Closed - no reassessment event recorded")))</f>
        <v/>
      </c>
      <c r="W70" s="54" t="str">
        <f aca="false">IF(A70="","",IF(COUNTIF(INC_ID,A70)&gt;1,"CHECK: duplicate ID",IF(B70="","CHECK: Supplier ID missing",IF(COUNTIF(INV_ID,B70)=0,"CHECK: Supplier ID not in inventory","OK"))))</f>
        <v/>
      </c>
    </row>
    <row r="71" customFormat="false" ht="15" hidden="false" customHeight="false" outlineLevel="0" collapsed="false">
      <c r="A71" s="50"/>
      <c r="B71" s="50"/>
      <c r="C71" s="59" t="str">
        <f aca="false">IF(B71="","",IFERROR(INDEX(INV_NAME,MATCH(B71,INV_ID,0)),"CHECK: Supplier ID not found"))</f>
        <v/>
      </c>
      <c r="D71" s="65"/>
      <c r="E71" s="34"/>
      <c r="F71" s="34"/>
      <c r="G71" s="34"/>
      <c r="H71" s="34"/>
      <c r="I71" s="34"/>
      <c r="J71" s="34"/>
      <c r="K71" s="50"/>
      <c r="L71" s="50"/>
      <c r="M71" s="34"/>
      <c r="N71" s="34"/>
      <c r="O71" s="34"/>
      <c r="P71" s="34"/>
      <c r="Q71" s="50"/>
      <c r="R71" s="34"/>
      <c r="S71" s="34"/>
      <c r="T71" s="52" t="str">
        <f aca="false">IF(A71="","",IF(Q71="Closed","Closed","Open"))</f>
        <v/>
      </c>
      <c r="U71" s="52" t="str">
        <f aca="false">IF(OR(A71="",NOT(ISNUMBER(D71))),"",IF(D71&gt;=AsOf-IncidentWindowDays,"Yes","No"))</f>
        <v/>
      </c>
      <c r="V71" s="54" t="str">
        <f aca="false">IF(A71="","",IF(T71="Open",IF(COUNTIFS(MON_SUP,B71,MON_TYPE,"Supplier risk reassessment",MON_REVDATE,"&gt;="&amp;INT(N(D71)))&gt;0,"Open - reassessment event recorded or planned","Open - consider supplier risk reassessment"),IF(COUNTIFS(MON_SUP,B71,MON_TYPE,"Supplier risk reassessment",MON_REVDATE,"&gt;="&amp;INT(N(D71)))&gt;0,"Reassessment event recorded","Closed - no reassessment event recorded")))</f>
        <v/>
      </c>
      <c r="W71" s="54" t="str">
        <f aca="false">IF(A71="","",IF(COUNTIF(INC_ID,A71)&gt;1,"CHECK: duplicate ID",IF(B71="","CHECK: Supplier ID missing",IF(COUNTIF(INV_ID,B71)=0,"CHECK: Supplier ID not in inventory","OK"))))</f>
        <v/>
      </c>
    </row>
    <row r="72" customFormat="false" ht="15" hidden="false" customHeight="false" outlineLevel="0" collapsed="false">
      <c r="A72" s="50"/>
      <c r="B72" s="50"/>
      <c r="C72" s="59" t="str">
        <f aca="false">IF(B72="","",IFERROR(INDEX(INV_NAME,MATCH(B72,INV_ID,0)),"CHECK: Supplier ID not found"))</f>
        <v/>
      </c>
      <c r="D72" s="65"/>
      <c r="E72" s="34"/>
      <c r="F72" s="34"/>
      <c r="G72" s="34"/>
      <c r="H72" s="34"/>
      <c r="I72" s="34"/>
      <c r="J72" s="34"/>
      <c r="K72" s="50"/>
      <c r="L72" s="50"/>
      <c r="M72" s="34"/>
      <c r="N72" s="34"/>
      <c r="O72" s="34"/>
      <c r="P72" s="34"/>
      <c r="Q72" s="50"/>
      <c r="R72" s="34"/>
      <c r="S72" s="34"/>
      <c r="T72" s="52" t="str">
        <f aca="false">IF(A72="","",IF(Q72="Closed","Closed","Open"))</f>
        <v/>
      </c>
      <c r="U72" s="52" t="str">
        <f aca="false">IF(OR(A72="",NOT(ISNUMBER(D72))),"",IF(D72&gt;=AsOf-IncidentWindowDays,"Yes","No"))</f>
        <v/>
      </c>
      <c r="V72" s="54" t="str">
        <f aca="false">IF(A72="","",IF(T72="Open",IF(COUNTIFS(MON_SUP,B72,MON_TYPE,"Supplier risk reassessment",MON_REVDATE,"&gt;="&amp;INT(N(D72)))&gt;0,"Open - reassessment event recorded or planned","Open - consider supplier risk reassessment"),IF(COUNTIFS(MON_SUP,B72,MON_TYPE,"Supplier risk reassessment",MON_REVDATE,"&gt;="&amp;INT(N(D72)))&gt;0,"Reassessment event recorded","Closed - no reassessment event recorded")))</f>
        <v/>
      </c>
      <c r="W72" s="54" t="str">
        <f aca="false">IF(A72="","",IF(COUNTIF(INC_ID,A72)&gt;1,"CHECK: duplicate ID",IF(B72="","CHECK: Supplier ID missing",IF(COUNTIF(INV_ID,B72)=0,"CHECK: Supplier ID not in inventory","OK"))))</f>
        <v/>
      </c>
    </row>
    <row r="73" customFormat="false" ht="15" hidden="false" customHeight="false" outlineLevel="0" collapsed="false">
      <c r="A73" s="50"/>
      <c r="B73" s="50"/>
      <c r="C73" s="59" t="str">
        <f aca="false">IF(B73="","",IFERROR(INDEX(INV_NAME,MATCH(B73,INV_ID,0)),"CHECK: Supplier ID not found"))</f>
        <v/>
      </c>
      <c r="D73" s="65"/>
      <c r="E73" s="34"/>
      <c r="F73" s="34"/>
      <c r="G73" s="34"/>
      <c r="H73" s="34"/>
      <c r="I73" s="34"/>
      <c r="J73" s="34"/>
      <c r="K73" s="50"/>
      <c r="L73" s="50"/>
      <c r="M73" s="34"/>
      <c r="N73" s="34"/>
      <c r="O73" s="34"/>
      <c r="P73" s="34"/>
      <c r="Q73" s="50"/>
      <c r="R73" s="34"/>
      <c r="S73" s="34"/>
      <c r="T73" s="52" t="str">
        <f aca="false">IF(A73="","",IF(Q73="Closed","Closed","Open"))</f>
        <v/>
      </c>
      <c r="U73" s="52" t="str">
        <f aca="false">IF(OR(A73="",NOT(ISNUMBER(D73))),"",IF(D73&gt;=AsOf-IncidentWindowDays,"Yes","No"))</f>
        <v/>
      </c>
      <c r="V73" s="54" t="str">
        <f aca="false">IF(A73="","",IF(T73="Open",IF(COUNTIFS(MON_SUP,B73,MON_TYPE,"Supplier risk reassessment",MON_REVDATE,"&gt;="&amp;INT(N(D73)))&gt;0,"Open - reassessment event recorded or planned","Open - consider supplier risk reassessment"),IF(COUNTIFS(MON_SUP,B73,MON_TYPE,"Supplier risk reassessment",MON_REVDATE,"&gt;="&amp;INT(N(D73)))&gt;0,"Reassessment event recorded","Closed - no reassessment event recorded")))</f>
        <v/>
      </c>
      <c r="W73" s="54" t="str">
        <f aca="false">IF(A73="","",IF(COUNTIF(INC_ID,A73)&gt;1,"CHECK: duplicate ID",IF(B73="","CHECK: Supplier ID missing",IF(COUNTIF(INV_ID,B73)=0,"CHECK: Supplier ID not in inventory","OK"))))</f>
        <v/>
      </c>
    </row>
    <row r="74" customFormat="false" ht="15" hidden="false" customHeight="false" outlineLevel="0" collapsed="false">
      <c r="A74" s="50"/>
      <c r="B74" s="50"/>
      <c r="C74" s="59" t="str">
        <f aca="false">IF(B74="","",IFERROR(INDEX(INV_NAME,MATCH(B74,INV_ID,0)),"CHECK: Supplier ID not found"))</f>
        <v/>
      </c>
      <c r="D74" s="65"/>
      <c r="E74" s="34"/>
      <c r="F74" s="34"/>
      <c r="G74" s="34"/>
      <c r="H74" s="34"/>
      <c r="I74" s="34"/>
      <c r="J74" s="34"/>
      <c r="K74" s="50"/>
      <c r="L74" s="50"/>
      <c r="M74" s="34"/>
      <c r="N74" s="34"/>
      <c r="O74" s="34"/>
      <c r="P74" s="34"/>
      <c r="Q74" s="50"/>
      <c r="R74" s="34"/>
      <c r="S74" s="34"/>
      <c r="T74" s="52" t="str">
        <f aca="false">IF(A74="","",IF(Q74="Closed","Closed","Open"))</f>
        <v/>
      </c>
      <c r="U74" s="52" t="str">
        <f aca="false">IF(OR(A74="",NOT(ISNUMBER(D74))),"",IF(D74&gt;=AsOf-IncidentWindowDays,"Yes","No"))</f>
        <v/>
      </c>
      <c r="V74" s="54" t="str">
        <f aca="false">IF(A74="","",IF(T74="Open",IF(COUNTIFS(MON_SUP,B74,MON_TYPE,"Supplier risk reassessment",MON_REVDATE,"&gt;="&amp;INT(N(D74)))&gt;0,"Open - reassessment event recorded or planned","Open - consider supplier risk reassessment"),IF(COUNTIFS(MON_SUP,B74,MON_TYPE,"Supplier risk reassessment",MON_REVDATE,"&gt;="&amp;INT(N(D74)))&gt;0,"Reassessment event recorded","Closed - no reassessment event recorded")))</f>
        <v/>
      </c>
      <c r="W74" s="54" t="str">
        <f aca="false">IF(A74="","",IF(COUNTIF(INC_ID,A74)&gt;1,"CHECK: duplicate ID",IF(B74="","CHECK: Supplier ID missing",IF(COUNTIF(INV_ID,B74)=0,"CHECK: Supplier ID not in inventory","OK"))))</f>
        <v/>
      </c>
    </row>
    <row r="75" customFormat="false" ht="15" hidden="false" customHeight="false" outlineLevel="0" collapsed="false">
      <c r="A75" s="50"/>
      <c r="B75" s="50"/>
      <c r="C75" s="59" t="str">
        <f aca="false">IF(B75="","",IFERROR(INDEX(INV_NAME,MATCH(B75,INV_ID,0)),"CHECK: Supplier ID not found"))</f>
        <v/>
      </c>
      <c r="D75" s="65"/>
      <c r="E75" s="34"/>
      <c r="F75" s="34"/>
      <c r="G75" s="34"/>
      <c r="H75" s="34"/>
      <c r="I75" s="34"/>
      <c r="J75" s="34"/>
      <c r="K75" s="50"/>
      <c r="L75" s="50"/>
      <c r="M75" s="34"/>
      <c r="N75" s="34"/>
      <c r="O75" s="34"/>
      <c r="P75" s="34"/>
      <c r="Q75" s="50"/>
      <c r="R75" s="34"/>
      <c r="S75" s="34"/>
      <c r="T75" s="52" t="str">
        <f aca="false">IF(A75="","",IF(Q75="Closed","Closed","Open"))</f>
        <v/>
      </c>
      <c r="U75" s="52" t="str">
        <f aca="false">IF(OR(A75="",NOT(ISNUMBER(D75))),"",IF(D75&gt;=AsOf-IncidentWindowDays,"Yes","No"))</f>
        <v/>
      </c>
      <c r="V75" s="54" t="str">
        <f aca="false">IF(A75="","",IF(T75="Open",IF(COUNTIFS(MON_SUP,B75,MON_TYPE,"Supplier risk reassessment",MON_REVDATE,"&gt;="&amp;INT(N(D75)))&gt;0,"Open - reassessment event recorded or planned","Open - consider supplier risk reassessment"),IF(COUNTIFS(MON_SUP,B75,MON_TYPE,"Supplier risk reassessment",MON_REVDATE,"&gt;="&amp;INT(N(D75)))&gt;0,"Reassessment event recorded","Closed - no reassessment event recorded")))</f>
        <v/>
      </c>
      <c r="W75" s="54" t="str">
        <f aca="false">IF(A75="","",IF(COUNTIF(INC_ID,A75)&gt;1,"CHECK: duplicate ID",IF(B75="","CHECK: Supplier ID missing",IF(COUNTIF(INV_ID,B75)=0,"CHECK: Supplier ID not in inventory","OK"))))</f>
        <v/>
      </c>
    </row>
    <row r="76" customFormat="false" ht="15" hidden="false" customHeight="false" outlineLevel="0" collapsed="false">
      <c r="A76" s="50"/>
      <c r="B76" s="50"/>
      <c r="C76" s="59" t="str">
        <f aca="false">IF(B76="","",IFERROR(INDEX(INV_NAME,MATCH(B76,INV_ID,0)),"CHECK: Supplier ID not found"))</f>
        <v/>
      </c>
      <c r="D76" s="65"/>
      <c r="E76" s="34"/>
      <c r="F76" s="34"/>
      <c r="G76" s="34"/>
      <c r="H76" s="34"/>
      <c r="I76" s="34"/>
      <c r="J76" s="34"/>
      <c r="K76" s="50"/>
      <c r="L76" s="50"/>
      <c r="M76" s="34"/>
      <c r="N76" s="34"/>
      <c r="O76" s="34"/>
      <c r="P76" s="34"/>
      <c r="Q76" s="50"/>
      <c r="R76" s="34"/>
      <c r="S76" s="34"/>
      <c r="T76" s="52" t="str">
        <f aca="false">IF(A76="","",IF(Q76="Closed","Closed","Open"))</f>
        <v/>
      </c>
      <c r="U76" s="52" t="str">
        <f aca="false">IF(OR(A76="",NOT(ISNUMBER(D76))),"",IF(D76&gt;=AsOf-IncidentWindowDays,"Yes","No"))</f>
        <v/>
      </c>
      <c r="V76" s="54" t="str">
        <f aca="false">IF(A76="","",IF(T76="Open",IF(COUNTIFS(MON_SUP,B76,MON_TYPE,"Supplier risk reassessment",MON_REVDATE,"&gt;="&amp;INT(N(D76)))&gt;0,"Open - reassessment event recorded or planned","Open - consider supplier risk reassessment"),IF(COUNTIFS(MON_SUP,B76,MON_TYPE,"Supplier risk reassessment",MON_REVDATE,"&gt;="&amp;INT(N(D76)))&gt;0,"Reassessment event recorded","Closed - no reassessment event recorded")))</f>
        <v/>
      </c>
      <c r="W76" s="54" t="str">
        <f aca="false">IF(A76="","",IF(COUNTIF(INC_ID,A76)&gt;1,"CHECK: duplicate ID",IF(B76="","CHECK: Supplier ID missing",IF(COUNTIF(INV_ID,B76)=0,"CHECK: Supplier ID not in inventory","OK"))))</f>
        <v/>
      </c>
    </row>
    <row r="77" customFormat="false" ht="15" hidden="false" customHeight="false" outlineLevel="0" collapsed="false">
      <c r="A77" s="50"/>
      <c r="B77" s="50"/>
      <c r="C77" s="59" t="str">
        <f aca="false">IF(B77="","",IFERROR(INDEX(INV_NAME,MATCH(B77,INV_ID,0)),"CHECK: Supplier ID not found"))</f>
        <v/>
      </c>
      <c r="D77" s="65"/>
      <c r="E77" s="34"/>
      <c r="F77" s="34"/>
      <c r="G77" s="34"/>
      <c r="H77" s="34"/>
      <c r="I77" s="34"/>
      <c r="J77" s="34"/>
      <c r="K77" s="50"/>
      <c r="L77" s="50"/>
      <c r="M77" s="34"/>
      <c r="N77" s="34"/>
      <c r="O77" s="34"/>
      <c r="P77" s="34"/>
      <c r="Q77" s="50"/>
      <c r="R77" s="34"/>
      <c r="S77" s="34"/>
      <c r="T77" s="52" t="str">
        <f aca="false">IF(A77="","",IF(Q77="Closed","Closed","Open"))</f>
        <v/>
      </c>
      <c r="U77" s="52" t="str">
        <f aca="false">IF(OR(A77="",NOT(ISNUMBER(D77))),"",IF(D77&gt;=AsOf-IncidentWindowDays,"Yes","No"))</f>
        <v/>
      </c>
      <c r="V77" s="54" t="str">
        <f aca="false">IF(A77="","",IF(T77="Open",IF(COUNTIFS(MON_SUP,B77,MON_TYPE,"Supplier risk reassessment",MON_REVDATE,"&gt;="&amp;INT(N(D77)))&gt;0,"Open - reassessment event recorded or planned","Open - consider supplier risk reassessment"),IF(COUNTIFS(MON_SUP,B77,MON_TYPE,"Supplier risk reassessment",MON_REVDATE,"&gt;="&amp;INT(N(D77)))&gt;0,"Reassessment event recorded","Closed - no reassessment event recorded")))</f>
        <v/>
      </c>
      <c r="W77" s="54" t="str">
        <f aca="false">IF(A77="","",IF(COUNTIF(INC_ID,A77)&gt;1,"CHECK: duplicate ID",IF(B77="","CHECK: Supplier ID missing",IF(COUNTIF(INV_ID,B77)=0,"CHECK: Supplier ID not in inventory","OK"))))</f>
        <v/>
      </c>
    </row>
    <row r="78" customFormat="false" ht="15" hidden="false" customHeight="false" outlineLevel="0" collapsed="false">
      <c r="A78" s="50"/>
      <c r="B78" s="50"/>
      <c r="C78" s="59" t="str">
        <f aca="false">IF(B78="","",IFERROR(INDEX(INV_NAME,MATCH(B78,INV_ID,0)),"CHECK: Supplier ID not found"))</f>
        <v/>
      </c>
      <c r="D78" s="65"/>
      <c r="E78" s="34"/>
      <c r="F78" s="34"/>
      <c r="G78" s="34"/>
      <c r="H78" s="34"/>
      <c r="I78" s="34"/>
      <c r="J78" s="34"/>
      <c r="K78" s="50"/>
      <c r="L78" s="50"/>
      <c r="M78" s="34"/>
      <c r="N78" s="34"/>
      <c r="O78" s="34"/>
      <c r="P78" s="34"/>
      <c r="Q78" s="50"/>
      <c r="R78" s="34"/>
      <c r="S78" s="34"/>
      <c r="T78" s="52" t="str">
        <f aca="false">IF(A78="","",IF(Q78="Closed","Closed","Open"))</f>
        <v/>
      </c>
      <c r="U78" s="52" t="str">
        <f aca="false">IF(OR(A78="",NOT(ISNUMBER(D78))),"",IF(D78&gt;=AsOf-IncidentWindowDays,"Yes","No"))</f>
        <v/>
      </c>
      <c r="V78" s="54" t="str">
        <f aca="false">IF(A78="","",IF(T78="Open",IF(COUNTIFS(MON_SUP,B78,MON_TYPE,"Supplier risk reassessment",MON_REVDATE,"&gt;="&amp;INT(N(D78)))&gt;0,"Open - reassessment event recorded or planned","Open - consider supplier risk reassessment"),IF(COUNTIFS(MON_SUP,B78,MON_TYPE,"Supplier risk reassessment",MON_REVDATE,"&gt;="&amp;INT(N(D78)))&gt;0,"Reassessment event recorded","Closed - no reassessment event recorded")))</f>
        <v/>
      </c>
      <c r="W78" s="54" t="str">
        <f aca="false">IF(A78="","",IF(COUNTIF(INC_ID,A78)&gt;1,"CHECK: duplicate ID",IF(B78="","CHECK: Supplier ID missing",IF(COUNTIF(INV_ID,B78)=0,"CHECK: Supplier ID not in inventory","OK"))))</f>
        <v/>
      </c>
    </row>
    <row r="79" customFormat="false" ht="15" hidden="false" customHeight="false" outlineLevel="0" collapsed="false">
      <c r="A79" s="50"/>
      <c r="B79" s="50"/>
      <c r="C79" s="59" t="str">
        <f aca="false">IF(B79="","",IFERROR(INDEX(INV_NAME,MATCH(B79,INV_ID,0)),"CHECK: Supplier ID not found"))</f>
        <v/>
      </c>
      <c r="D79" s="65"/>
      <c r="E79" s="34"/>
      <c r="F79" s="34"/>
      <c r="G79" s="34"/>
      <c r="H79" s="34"/>
      <c r="I79" s="34"/>
      <c r="J79" s="34"/>
      <c r="K79" s="50"/>
      <c r="L79" s="50"/>
      <c r="M79" s="34"/>
      <c r="N79" s="34"/>
      <c r="O79" s="34"/>
      <c r="P79" s="34"/>
      <c r="Q79" s="50"/>
      <c r="R79" s="34"/>
      <c r="S79" s="34"/>
      <c r="T79" s="52" t="str">
        <f aca="false">IF(A79="","",IF(Q79="Closed","Closed","Open"))</f>
        <v/>
      </c>
      <c r="U79" s="52" t="str">
        <f aca="false">IF(OR(A79="",NOT(ISNUMBER(D79))),"",IF(D79&gt;=AsOf-IncidentWindowDays,"Yes","No"))</f>
        <v/>
      </c>
      <c r="V79" s="54" t="str">
        <f aca="false">IF(A79="","",IF(T79="Open",IF(COUNTIFS(MON_SUP,B79,MON_TYPE,"Supplier risk reassessment",MON_REVDATE,"&gt;="&amp;INT(N(D79)))&gt;0,"Open - reassessment event recorded or planned","Open - consider supplier risk reassessment"),IF(COUNTIFS(MON_SUP,B79,MON_TYPE,"Supplier risk reassessment",MON_REVDATE,"&gt;="&amp;INT(N(D79)))&gt;0,"Reassessment event recorded","Closed - no reassessment event recorded")))</f>
        <v/>
      </c>
      <c r="W79" s="54" t="str">
        <f aca="false">IF(A79="","",IF(COUNTIF(INC_ID,A79)&gt;1,"CHECK: duplicate ID",IF(B79="","CHECK: Supplier ID missing",IF(COUNTIF(INV_ID,B79)=0,"CHECK: Supplier ID not in inventory","OK"))))</f>
        <v/>
      </c>
    </row>
    <row r="80" customFormat="false" ht="15" hidden="false" customHeight="false" outlineLevel="0" collapsed="false">
      <c r="A80" s="50"/>
      <c r="B80" s="50"/>
      <c r="C80" s="59" t="str">
        <f aca="false">IF(B80="","",IFERROR(INDEX(INV_NAME,MATCH(B80,INV_ID,0)),"CHECK: Supplier ID not found"))</f>
        <v/>
      </c>
      <c r="D80" s="65"/>
      <c r="E80" s="34"/>
      <c r="F80" s="34"/>
      <c r="G80" s="34"/>
      <c r="H80" s="34"/>
      <c r="I80" s="34"/>
      <c r="J80" s="34"/>
      <c r="K80" s="50"/>
      <c r="L80" s="50"/>
      <c r="M80" s="34"/>
      <c r="N80" s="34"/>
      <c r="O80" s="34"/>
      <c r="P80" s="34"/>
      <c r="Q80" s="50"/>
      <c r="R80" s="34"/>
      <c r="S80" s="34"/>
      <c r="T80" s="52" t="str">
        <f aca="false">IF(A80="","",IF(Q80="Closed","Closed","Open"))</f>
        <v/>
      </c>
      <c r="U80" s="52" t="str">
        <f aca="false">IF(OR(A80="",NOT(ISNUMBER(D80))),"",IF(D80&gt;=AsOf-IncidentWindowDays,"Yes","No"))</f>
        <v/>
      </c>
      <c r="V80" s="54" t="str">
        <f aca="false">IF(A80="","",IF(T80="Open",IF(COUNTIFS(MON_SUP,B80,MON_TYPE,"Supplier risk reassessment",MON_REVDATE,"&gt;="&amp;INT(N(D80)))&gt;0,"Open - reassessment event recorded or planned","Open - consider supplier risk reassessment"),IF(COUNTIFS(MON_SUP,B80,MON_TYPE,"Supplier risk reassessment",MON_REVDATE,"&gt;="&amp;INT(N(D80)))&gt;0,"Reassessment event recorded","Closed - no reassessment event recorded")))</f>
        <v/>
      </c>
      <c r="W80" s="54" t="str">
        <f aca="false">IF(A80="","",IF(COUNTIF(INC_ID,A80)&gt;1,"CHECK: duplicate ID",IF(B80="","CHECK: Supplier ID missing",IF(COUNTIF(INV_ID,B80)=0,"CHECK: Supplier ID not in inventory","OK"))))</f>
        <v/>
      </c>
    </row>
    <row r="81" customFormat="false" ht="15" hidden="false" customHeight="false" outlineLevel="0" collapsed="false">
      <c r="A81" s="50"/>
      <c r="B81" s="50"/>
      <c r="C81" s="59" t="str">
        <f aca="false">IF(B81="","",IFERROR(INDEX(INV_NAME,MATCH(B81,INV_ID,0)),"CHECK: Supplier ID not found"))</f>
        <v/>
      </c>
      <c r="D81" s="65"/>
      <c r="E81" s="34"/>
      <c r="F81" s="34"/>
      <c r="G81" s="34"/>
      <c r="H81" s="34"/>
      <c r="I81" s="34"/>
      <c r="J81" s="34"/>
      <c r="K81" s="50"/>
      <c r="L81" s="50"/>
      <c r="M81" s="34"/>
      <c r="N81" s="34"/>
      <c r="O81" s="34"/>
      <c r="P81" s="34"/>
      <c r="Q81" s="50"/>
      <c r="R81" s="34"/>
      <c r="S81" s="34"/>
      <c r="T81" s="52" t="str">
        <f aca="false">IF(A81="","",IF(Q81="Closed","Closed","Open"))</f>
        <v/>
      </c>
      <c r="U81" s="52" t="str">
        <f aca="false">IF(OR(A81="",NOT(ISNUMBER(D81))),"",IF(D81&gt;=AsOf-IncidentWindowDays,"Yes","No"))</f>
        <v/>
      </c>
      <c r="V81" s="54" t="str">
        <f aca="false">IF(A81="","",IF(T81="Open",IF(COUNTIFS(MON_SUP,B81,MON_TYPE,"Supplier risk reassessment",MON_REVDATE,"&gt;="&amp;INT(N(D81)))&gt;0,"Open - reassessment event recorded or planned","Open - consider supplier risk reassessment"),IF(COUNTIFS(MON_SUP,B81,MON_TYPE,"Supplier risk reassessment",MON_REVDATE,"&gt;="&amp;INT(N(D81)))&gt;0,"Reassessment event recorded","Closed - no reassessment event recorded")))</f>
        <v/>
      </c>
      <c r="W81" s="54" t="str">
        <f aca="false">IF(A81="","",IF(COUNTIF(INC_ID,A81)&gt;1,"CHECK: duplicate ID",IF(B81="","CHECK: Supplier ID missing",IF(COUNTIF(INV_ID,B81)=0,"CHECK: Supplier ID not in inventory","OK"))))</f>
        <v/>
      </c>
    </row>
    <row r="82" customFormat="false" ht="15" hidden="false" customHeight="false" outlineLevel="0" collapsed="false">
      <c r="A82" s="50"/>
      <c r="B82" s="50"/>
      <c r="C82" s="59" t="str">
        <f aca="false">IF(B82="","",IFERROR(INDEX(INV_NAME,MATCH(B82,INV_ID,0)),"CHECK: Supplier ID not found"))</f>
        <v/>
      </c>
      <c r="D82" s="65"/>
      <c r="E82" s="34"/>
      <c r="F82" s="34"/>
      <c r="G82" s="34"/>
      <c r="H82" s="34"/>
      <c r="I82" s="34"/>
      <c r="J82" s="34"/>
      <c r="K82" s="50"/>
      <c r="L82" s="50"/>
      <c r="M82" s="34"/>
      <c r="N82" s="34"/>
      <c r="O82" s="34"/>
      <c r="P82" s="34"/>
      <c r="Q82" s="50"/>
      <c r="R82" s="34"/>
      <c r="S82" s="34"/>
      <c r="T82" s="52" t="str">
        <f aca="false">IF(A82="","",IF(Q82="Closed","Closed","Open"))</f>
        <v/>
      </c>
      <c r="U82" s="52" t="str">
        <f aca="false">IF(OR(A82="",NOT(ISNUMBER(D82))),"",IF(D82&gt;=AsOf-IncidentWindowDays,"Yes","No"))</f>
        <v/>
      </c>
      <c r="V82" s="54" t="str">
        <f aca="false">IF(A82="","",IF(T82="Open",IF(COUNTIFS(MON_SUP,B82,MON_TYPE,"Supplier risk reassessment",MON_REVDATE,"&gt;="&amp;INT(N(D82)))&gt;0,"Open - reassessment event recorded or planned","Open - consider supplier risk reassessment"),IF(COUNTIFS(MON_SUP,B82,MON_TYPE,"Supplier risk reassessment",MON_REVDATE,"&gt;="&amp;INT(N(D82)))&gt;0,"Reassessment event recorded","Closed - no reassessment event recorded")))</f>
        <v/>
      </c>
      <c r="W82" s="54" t="str">
        <f aca="false">IF(A82="","",IF(COUNTIF(INC_ID,A82)&gt;1,"CHECK: duplicate ID",IF(B82="","CHECK: Supplier ID missing",IF(COUNTIF(INV_ID,B82)=0,"CHECK: Supplier ID not in inventory","OK"))))</f>
        <v/>
      </c>
    </row>
    <row r="83" customFormat="false" ht="15" hidden="false" customHeight="false" outlineLevel="0" collapsed="false">
      <c r="A83" s="50"/>
      <c r="B83" s="50"/>
      <c r="C83" s="59" t="str">
        <f aca="false">IF(B83="","",IFERROR(INDEX(INV_NAME,MATCH(B83,INV_ID,0)),"CHECK: Supplier ID not found"))</f>
        <v/>
      </c>
      <c r="D83" s="65"/>
      <c r="E83" s="34"/>
      <c r="F83" s="34"/>
      <c r="G83" s="34"/>
      <c r="H83" s="34"/>
      <c r="I83" s="34"/>
      <c r="J83" s="34"/>
      <c r="K83" s="50"/>
      <c r="L83" s="50"/>
      <c r="M83" s="34"/>
      <c r="N83" s="34"/>
      <c r="O83" s="34"/>
      <c r="P83" s="34"/>
      <c r="Q83" s="50"/>
      <c r="R83" s="34"/>
      <c r="S83" s="34"/>
      <c r="T83" s="52" t="str">
        <f aca="false">IF(A83="","",IF(Q83="Closed","Closed","Open"))</f>
        <v/>
      </c>
      <c r="U83" s="52" t="str">
        <f aca="false">IF(OR(A83="",NOT(ISNUMBER(D83))),"",IF(D83&gt;=AsOf-IncidentWindowDays,"Yes","No"))</f>
        <v/>
      </c>
      <c r="V83" s="54" t="str">
        <f aca="false">IF(A83="","",IF(T83="Open",IF(COUNTIFS(MON_SUP,B83,MON_TYPE,"Supplier risk reassessment",MON_REVDATE,"&gt;="&amp;INT(N(D83)))&gt;0,"Open - reassessment event recorded or planned","Open - consider supplier risk reassessment"),IF(COUNTIFS(MON_SUP,B83,MON_TYPE,"Supplier risk reassessment",MON_REVDATE,"&gt;="&amp;INT(N(D83)))&gt;0,"Reassessment event recorded","Closed - no reassessment event recorded")))</f>
        <v/>
      </c>
      <c r="W83" s="54" t="str">
        <f aca="false">IF(A83="","",IF(COUNTIF(INC_ID,A83)&gt;1,"CHECK: duplicate ID",IF(B83="","CHECK: Supplier ID missing",IF(COUNTIF(INV_ID,B83)=0,"CHECK: Supplier ID not in inventory","OK"))))</f>
        <v/>
      </c>
    </row>
    <row r="84" customFormat="false" ht="15" hidden="false" customHeight="false" outlineLevel="0" collapsed="false">
      <c r="A84" s="50"/>
      <c r="B84" s="50"/>
      <c r="C84" s="59" t="str">
        <f aca="false">IF(B84="","",IFERROR(INDEX(INV_NAME,MATCH(B84,INV_ID,0)),"CHECK: Supplier ID not found"))</f>
        <v/>
      </c>
      <c r="D84" s="65"/>
      <c r="E84" s="34"/>
      <c r="F84" s="34"/>
      <c r="G84" s="34"/>
      <c r="H84" s="34"/>
      <c r="I84" s="34"/>
      <c r="J84" s="34"/>
      <c r="K84" s="50"/>
      <c r="L84" s="50"/>
      <c r="M84" s="34"/>
      <c r="N84" s="34"/>
      <c r="O84" s="34"/>
      <c r="P84" s="34"/>
      <c r="Q84" s="50"/>
      <c r="R84" s="34"/>
      <c r="S84" s="34"/>
      <c r="T84" s="52" t="str">
        <f aca="false">IF(A84="","",IF(Q84="Closed","Closed","Open"))</f>
        <v/>
      </c>
      <c r="U84" s="52" t="str">
        <f aca="false">IF(OR(A84="",NOT(ISNUMBER(D84))),"",IF(D84&gt;=AsOf-IncidentWindowDays,"Yes","No"))</f>
        <v/>
      </c>
      <c r="V84" s="54" t="str">
        <f aca="false">IF(A84="","",IF(T84="Open",IF(COUNTIFS(MON_SUP,B84,MON_TYPE,"Supplier risk reassessment",MON_REVDATE,"&gt;="&amp;INT(N(D84)))&gt;0,"Open - reassessment event recorded or planned","Open - consider supplier risk reassessment"),IF(COUNTIFS(MON_SUP,B84,MON_TYPE,"Supplier risk reassessment",MON_REVDATE,"&gt;="&amp;INT(N(D84)))&gt;0,"Reassessment event recorded","Closed - no reassessment event recorded")))</f>
        <v/>
      </c>
      <c r="W84" s="54" t="str">
        <f aca="false">IF(A84="","",IF(COUNTIF(INC_ID,A84)&gt;1,"CHECK: duplicate ID",IF(B84="","CHECK: Supplier ID missing",IF(COUNTIF(INV_ID,B84)=0,"CHECK: Supplier ID not in inventory","OK"))))</f>
        <v/>
      </c>
    </row>
    <row r="85" customFormat="false" ht="15" hidden="false" customHeight="false" outlineLevel="0" collapsed="false">
      <c r="A85" s="50"/>
      <c r="B85" s="50"/>
      <c r="C85" s="59" t="str">
        <f aca="false">IF(B85="","",IFERROR(INDEX(INV_NAME,MATCH(B85,INV_ID,0)),"CHECK: Supplier ID not found"))</f>
        <v/>
      </c>
      <c r="D85" s="65"/>
      <c r="E85" s="34"/>
      <c r="F85" s="34"/>
      <c r="G85" s="34"/>
      <c r="H85" s="34"/>
      <c r="I85" s="34"/>
      <c r="J85" s="34"/>
      <c r="K85" s="50"/>
      <c r="L85" s="50"/>
      <c r="M85" s="34"/>
      <c r="N85" s="34"/>
      <c r="O85" s="34"/>
      <c r="P85" s="34"/>
      <c r="Q85" s="50"/>
      <c r="R85" s="34"/>
      <c r="S85" s="34"/>
      <c r="T85" s="52" t="str">
        <f aca="false">IF(A85="","",IF(Q85="Closed","Closed","Open"))</f>
        <v/>
      </c>
      <c r="U85" s="52" t="str">
        <f aca="false">IF(OR(A85="",NOT(ISNUMBER(D85))),"",IF(D85&gt;=AsOf-IncidentWindowDays,"Yes","No"))</f>
        <v/>
      </c>
      <c r="V85" s="54" t="str">
        <f aca="false">IF(A85="","",IF(T85="Open",IF(COUNTIFS(MON_SUP,B85,MON_TYPE,"Supplier risk reassessment",MON_REVDATE,"&gt;="&amp;INT(N(D85)))&gt;0,"Open - reassessment event recorded or planned","Open - consider supplier risk reassessment"),IF(COUNTIFS(MON_SUP,B85,MON_TYPE,"Supplier risk reassessment",MON_REVDATE,"&gt;="&amp;INT(N(D85)))&gt;0,"Reassessment event recorded","Closed - no reassessment event recorded")))</f>
        <v/>
      </c>
      <c r="W85" s="54" t="str">
        <f aca="false">IF(A85="","",IF(COUNTIF(INC_ID,A85)&gt;1,"CHECK: duplicate ID",IF(B85="","CHECK: Supplier ID missing",IF(COUNTIF(INV_ID,B85)=0,"CHECK: Supplier ID not in inventory","OK"))))</f>
        <v/>
      </c>
    </row>
    <row r="86" customFormat="false" ht="15" hidden="false" customHeight="false" outlineLevel="0" collapsed="false">
      <c r="A86" s="50"/>
      <c r="B86" s="50"/>
      <c r="C86" s="59" t="str">
        <f aca="false">IF(B86="","",IFERROR(INDEX(INV_NAME,MATCH(B86,INV_ID,0)),"CHECK: Supplier ID not found"))</f>
        <v/>
      </c>
      <c r="D86" s="65"/>
      <c r="E86" s="34"/>
      <c r="F86" s="34"/>
      <c r="G86" s="34"/>
      <c r="H86" s="34"/>
      <c r="I86" s="34"/>
      <c r="J86" s="34"/>
      <c r="K86" s="50"/>
      <c r="L86" s="50"/>
      <c r="M86" s="34"/>
      <c r="N86" s="34"/>
      <c r="O86" s="34"/>
      <c r="P86" s="34"/>
      <c r="Q86" s="50"/>
      <c r="R86" s="34"/>
      <c r="S86" s="34"/>
      <c r="T86" s="52" t="str">
        <f aca="false">IF(A86="","",IF(Q86="Closed","Closed","Open"))</f>
        <v/>
      </c>
      <c r="U86" s="52" t="str">
        <f aca="false">IF(OR(A86="",NOT(ISNUMBER(D86))),"",IF(D86&gt;=AsOf-IncidentWindowDays,"Yes","No"))</f>
        <v/>
      </c>
      <c r="V86" s="54" t="str">
        <f aca="false">IF(A86="","",IF(T86="Open",IF(COUNTIFS(MON_SUP,B86,MON_TYPE,"Supplier risk reassessment",MON_REVDATE,"&gt;="&amp;INT(N(D86)))&gt;0,"Open - reassessment event recorded or planned","Open - consider supplier risk reassessment"),IF(COUNTIFS(MON_SUP,B86,MON_TYPE,"Supplier risk reassessment",MON_REVDATE,"&gt;="&amp;INT(N(D86)))&gt;0,"Reassessment event recorded","Closed - no reassessment event recorded")))</f>
        <v/>
      </c>
      <c r="W86" s="54" t="str">
        <f aca="false">IF(A86="","",IF(COUNTIF(INC_ID,A86)&gt;1,"CHECK: duplicate ID",IF(B86="","CHECK: Supplier ID missing",IF(COUNTIF(INV_ID,B86)=0,"CHECK: Supplier ID not in inventory","OK"))))</f>
        <v/>
      </c>
    </row>
    <row r="87" customFormat="false" ht="15" hidden="false" customHeight="false" outlineLevel="0" collapsed="false">
      <c r="A87" s="50"/>
      <c r="B87" s="50"/>
      <c r="C87" s="59" t="str">
        <f aca="false">IF(B87="","",IFERROR(INDEX(INV_NAME,MATCH(B87,INV_ID,0)),"CHECK: Supplier ID not found"))</f>
        <v/>
      </c>
      <c r="D87" s="65"/>
      <c r="E87" s="34"/>
      <c r="F87" s="34"/>
      <c r="G87" s="34"/>
      <c r="H87" s="34"/>
      <c r="I87" s="34"/>
      <c r="J87" s="34"/>
      <c r="K87" s="50"/>
      <c r="L87" s="50"/>
      <c r="M87" s="34"/>
      <c r="N87" s="34"/>
      <c r="O87" s="34"/>
      <c r="P87" s="34"/>
      <c r="Q87" s="50"/>
      <c r="R87" s="34"/>
      <c r="S87" s="34"/>
      <c r="T87" s="52" t="str">
        <f aca="false">IF(A87="","",IF(Q87="Closed","Closed","Open"))</f>
        <v/>
      </c>
      <c r="U87" s="52" t="str">
        <f aca="false">IF(OR(A87="",NOT(ISNUMBER(D87))),"",IF(D87&gt;=AsOf-IncidentWindowDays,"Yes","No"))</f>
        <v/>
      </c>
      <c r="V87" s="54" t="str">
        <f aca="false">IF(A87="","",IF(T87="Open",IF(COUNTIFS(MON_SUP,B87,MON_TYPE,"Supplier risk reassessment",MON_REVDATE,"&gt;="&amp;INT(N(D87)))&gt;0,"Open - reassessment event recorded or planned","Open - consider supplier risk reassessment"),IF(COUNTIFS(MON_SUP,B87,MON_TYPE,"Supplier risk reassessment",MON_REVDATE,"&gt;="&amp;INT(N(D87)))&gt;0,"Reassessment event recorded","Closed - no reassessment event recorded")))</f>
        <v/>
      </c>
      <c r="W87" s="54" t="str">
        <f aca="false">IF(A87="","",IF(COUNTIF(INC_ID,A87)&gt;1,"CHECK: duplicate ID",IF(B87="","CHECK: Supplier ID missing",IF(COUNTIF(INV_ID,B87)=0,"CHECK: Supplier ID not in inventory","OK"))))</f>
        <v/>
      </c>
    </row>
    <row r="88" customFormat="false" ht="15" hidden="false" customHeight="false" outlineLevel="0" collapsed="false">
      <c r="A88" s="50"/>
      <c r="B88" s="50"/>
      <c r="C88" s="59" t="str">
        <f aca="false">IF(B88="","",IFERROR(INDEX(INV_NAME,MATCH(B88,INV_ID,0)),"CHECK: Supplier ID not found"))</f>
        <v/>
      </c>
      <c r="D88" s="65"/>
      <c r="E88" s="34"/>
      <c r="F88" s="34"/>
      <c r="G88" s="34"/>
      <c r="H88" s="34"/>
      <c r="I88" s="34"/>
      <c r="J88" s="34"/>
      <c r="K88" s="50"/>
      <c r="L88" s="50"/>
      <c r="M88" s="34"/>
      <c r="N88" s="34"/>
      <c r="O88" s="34"/>
      <c r="P88" s="34"/>
      <c r="Q88" s="50"/>
      <c r="R88" s="34"/>
      <c r="S88" s="34"/>
      <c r="T88" s="52" t="str">
        <f aca="false">IF(A88="","",IF(Q88="Closed","Closed","Open"))</f>
        <v/>
      </c>
      <c r="U88" s="52" t="str">
        <f aca="false">IF(OR(A88="",NOT(ISNUMBER(D88))),"",IF(D88&gt;=AsOf-IncidentWindowDays,"Yes","No"))</f>
        <v/>
      </c>
      <c r="V88" s="54" t="str">
        <f aca="false">IF(A88="","",IF(T88="Open",IF(COUNTIFS(MON_SUP,B88,MON_TYPE,"Supplier risk reassessment",MON_REVDATE,"&gt;="&amp;INT(N(D88)))&gt;0,"Open - reassessment event recorded or planned","Open - consider supplier risk reassessment"),IF(COUNTIFS(MON_SUP,B88,MON_TYPE,"Supplier risk reassessment",MON_REVDATE,"&gt;="&amp;INT(N(D88)))&gt;0,"Reassessment event recorded","Closed - no reassessment event recorded")))</f>
        <v/>
      </c>
      <c r="W88" s="54" t="str">
        <f aca="false">IF(A88="","",IF(COUNTIF(INC_ID,A88)&gt;1,"CHECK: duplicate ID",IF(B88="","CHECK: Supplier ID missing",IF(COUNTIF(INV_ID,B88)=0,"CHECK: Supplier ID not in inventory","OK"))))</f>
        <v/>
      </c>
    </row>
    <row r="89" customFormat="false" ht="15" hidden="false" customHeight="false" outlineLevel="0" collapsed="false">
      <c r="A89" s="50"/>
      <c r="B89" s="50"/>
      <c r="C89" s="59" t="str">
        <f aca="false">IF(B89="","",IFERROR(INDEX(INV_NAME,MATCH(B89,INV_ID,0)),"CHECK: Supplier ID not found"))</f>
        <v/>
      </c>
      <c r="D89" s="65"/>
      <c r="E89" s="34"/>
      <c r="F89" s="34"/>
      <c r="G89" s="34"/>
      <c r="H89" s="34"/>
      <c r="I89" s="34"/>
      <c r="J89" s="34"/>
      <c r="K89" s="50"/>
      <c r="L89" s="50"/>
      <c r="M89" s="34"/>
      <c r="N89" s="34"/>
      <c r="O89" s="34"/>
      <c r="P89" s="34"/>
      <c r="Q89" s="50"/>
      <c r="R89" s="34"/>
      <c r="S89" s="34"/>
      <c r="T89" s="52" t="str">
        <f aca="false">IF(A89="","",IF(Q89="Closed","Closed","Open"))</f>
        <v/>
      </c>
      <c r="U89" s="52" t="str">
        <f aca="false">IF(OR(A89="",NOT(ISNUMBER(D89))),"",IF(D89&gt;=AsOf-IncidentWindowDays,"Yes","No"))</f>
        <v/>
      </c>
      <c r="V89" s="54" t="str">
        <f aca="false">IF(A89="","",IF(T89="Open",IF(COUNTIFS(MON_SUP,B89,MON_TYPE,"Supplier risk reassessment",MON_REVDATE,"&gt;="&amp;INT(N(D89)))&gt;0,"Open - reassessment event recorded or planned","Open - consider supplier risk reassessment"),IF(COUNTIFS(MON_SUP,B89,MON_TYPE,"Supplier risk reassessment",MON_REVDATE,"&gt;="&amp;INT(N(D89)))&gt;0,"Reassessment event recorded","Closed - no reassessment event recorded")))</f>
        <v/>
      </c>
      <c r="W89" s="54" t="str">
        <f aca="false">IF(A89="","",IF(COUNTIF(INC_ID,A89)&gt;1,"CHECK: duplicate ID",IF(B89="","CHECK: Supplier ID missing",IF(COUNTIF(INV_ID,B89)=0,"CHECK: Supplier ID not in inventory","OK"))))</f>
        <v/>
      </c>
    </row>
    <row r="90" customFormat="false" ht="15" hidden="false" customHeight="false" outlineLevel="0" collapsed="false">
      <c r="A90" s="50"/>
      <c r="B90" s="50"/>
      <c r="C90" s="59" t="str">
        <f aca="false">IF(B90="","",IFERROR(INDEX(INV_NAME,MATCH(B90,INV_ID,0)),"CHECK: Supplier ID not found"))</f>
        <v/>
      </c>
      <c r="D90" s="65"/>
      <c r="E90" s="34"/>
      <c r="F90" s="34"/>
      <c r="G90" s="34"/>
      <c r="H90" s="34"/>
      <c r="I90" s="34"/>
      <c r="J90" s="34"/>
      <c r="K90" s="50"/>
      <c r="L90" s="50"/>
      <c r="M90" s="34"/>
      <c r="N90" s="34"/>
      <c r="O90" s="34"/>
      <c r="P90" s="34"/>
      <c r="Q90" s="50"/>
      <c r="R90" s="34"/>
      <c r="S90" s="34"/>
      <c r="T90" s="52" t="str">
        <f aca="false">IF(A90="","",IF(Q90="Closed","Closed","Open"))</f>
        <v/>
      </c>
      <c r="U90" s="52" t="str">
        <f aca="false">IF(OR(A90="",NOT(ISNUMBER(D90))),"",IF(D90&gt;=AsOf-IncidentWindowDays,"Yes","No"))</f>
        <v/>
      </c>
      <c r="V90" s="54" t="str">
        <f aca="false">IF(A90="","",IF(T90="Open",IF(COUNTIFS(MON_SUP,B90,MON_TYPE,"Supplier risk reassessment",MON_REVDATE,"&gt;="&amp;INT(N(D90)))&gt;0,"Open - reassessment event recorded or planned","Open - consider supplier risk reassessment"),IF(COUNTIFS(MON_SUP,B90,MON_TYPE,"Supplier risk reassessment",MON_REVDATE,"&gt;="&amp;INT(N(D90)))&gt;0,"Reassessment event recorded","Closed - no reassessment event recorded")))</f>
        <v/>
      </c>
      <c r="W90" s="54" t="str">
        <f aca="false">IF(A90="","",IF(COUNTIF(INC_ID,A90)&gt;1,"CHECK: duplicate ID",IF(B90="","CHECK: Supplier ID missing",IF(COUNTIF(INV_ID,B90)=0,"CHECK: Supplier ID not in inventory","OK"))))</f>
        <v/>
      </c>
    </row>
    <row r="91" customFormat="false" ht="15" hidden="false" customHeight="false" outlineLevel="0" collapsed="false">
      <c r="A91" s="50"/>
      <c r="B91" s="50"/>
      <c r="C91" s="59" t="str">
        <f aca="false">IF(B91="","",IFERROR(INDEX(INV_NAME,MATCH(B91,INV_ID,0)),"CHECK: Supplier ID not found"))</f>
        <v/>
      </c>
      <c r="D91" s="65"/>
      <c r="E91" s="34"/>
      <c r="F91" s="34"/>
      <c r="G91" s="34"/>
      <c r="H91" s="34"/>
      <c r="I91" s="34"/>
      <c r="J91" s="34"/>
      <c r="K91" s="50"/>
      <c r="L91" s="50"/>
      <c r="M91" s="34"/>
      <c r="N91" s="34"/>
      <c r="O91" s="34"/>
      <c r="P91" s="34"/>
      <c r="Q91" s="50"/>
      <c r="R91" s="34"/>
      <c r="S91" s="34"/>
      <c r="T91" s="52" t="str">
        <f aca="false">IF(A91="","",IF(Q91="Closed","Closed","Open"))</f>
        <v/>
      </c>
      <c r="U91" s="52" t="str">
        <f aca="false">IF(OR(A91="",NOT(ISNUMBER(D91))),"",IF(D91&gt;=AsOf-IncidentWindowDays,"Yes","No"))</f>
        <v/>
      </c>
      <c r="V91" s="54" t="str">
        <f aca="false">IF(A91="","",IF(T91="Open",IF(COUNTIFS(MON_SUP,B91,MON_TYPE,"Supplier risk reassessment",MON_REVDATE,"&gt;="&amp;INT(N(D91)))&gt;0,"Open - reassessment event recorded or planned","Open - consider supplier risk reassessment"),IF(COUNTIFS(MON_SUP,B91,MON_TYPE,"Supplier risk reassessment",MON_REVDATE,"&gt;="&amp;INT(N(D91)))&gt;0,"Reassessment event recorded","Closed - no reassessment event recorded")))</f>
        <v/>
      </c>
      <c r="W91" s="54" t="str">
        <f aca="false">IF(A91="","",IF(COUNTIF(INC_ID,A91)&gt;1,"CHECK: duplicate ID",IF(B91="","CHECK: Supplier ID missing",IF(COUNTIF(INV_ID,B91)=0,"CHECK: Supplier ID not in inventory","OK"))))</f>
        <v/>
      </c>
    </row>
    <row r="92" customFormat="false" ht="15" hidden="false" customHeight="false" outlineLevel="0" collapsed="false">
      <c r="A92" s="50"/>
      <c r="B92" s="50"/>
      <c r="C92" s="59" t="str">
        <f aca="false">IF(B92="","",IFERROR(INDEX(INV_NAME,MATCH(B92,INV_ID,0)),"CHECK: Supplier ID not found"))</f>
        <v/>
      </c>
      <c r="D92" s="65"/>
      <c r="E92" s="34"/>
      <c r="F92" s="34"/>
      <c r="G92" s="34"/>
      <c r="H92" s="34"/>
      <c r="I92" s="34"/>
      <c r="J92" s="34"/>
      <c r="K92" s="50"/>
      <c r="L92" s="50"/>
      <c r="M92" s="34"/>
      <c r="N92" s="34"/>
      <c r="O92" s="34"/>
      <c r="P92" s="34"/>
      <c r="Q92" s="50"/>
      <c r="R92" s="34"/>
      <c r="S92" s="34"/>
      <c r="T92" s="52" t="str">
        <f aca="false">IF(A92="","",IF(Q92="Closed","Closed","Open"))</f>
        <v/>
      </c>
      <c r="U92" s="52" t="str">
        <f aca="false">IF(OR(A92="",NOT(ISNUMBER(D92))),"",IF(D92&gt;=AsOf-IncidentWindowDays,"Yes","No"))</f>
        <v/>
      </c>
      <c r="V92" s="54" t="str">
        <f aca="false">IF(A92="","",IF(T92="Open",IF(COUNTIFS(MON_SUP,B92,MON_TYPE,"Supplier risk reassessment",MON_REVDATE,"&gt;="&amp;INT(N(D92)))&gt;0,"Open - reassessment event recorded or planned","Open - consider supplier risk reassessment"),IF(COUNTIFS(MON_SUP,B92,MON_TYPE,"Supplier risk reassessment",MON_REVDATE,"&gt;="&amp;INT(N(D92)))&gt;0,"Reassessment event recorded","Closed - no reassessment event recorded")))</f>
        <v/>
      </c>
      <c r="W92" s="54" t="str">
        <f aca="false">IF(A92="","",IF(COUNTIF(INC_ID,A92)&gt;1,"CHECK: duplicate ID",IF(B92="","CHECK: Supplier ID missing",IF(COUNTIF(INV_ID,B92)=0,"CHECK: Supplier ID not in inventory","OK"))))</f>
        <v/>
      </c>
    </row>
    <row r="93" customFormat="false" ht="15" hidden="false" customHeight="false" outlineLevel="0" collapsed="false">
      <c r="A93" s="50"/>
      <c r="B93" s="50"/>
      <c r="C93" s="59" t="str">
        <f aca="false">IF(B93="","",IFERROR(INDEX(INV_NAME,MATCH(B93,INV_ID,0)),"CHECK: Supplier ID not found"))</f>
        <v/>
      </c>
      <c r="D93" s="65"/>
      <c r="E93" s="34"/>
      <c r="F93" s="34"/>
      <c r="G93" s="34"/>
      <c r="H93" s="34"/>
      <c r="I93" s="34"/>
      <c r="J93" s="34"/>
      <c r="K93" s="50"/>
      <c r="L93" s="50"/>
      <c r="M93" s="34"/>
      <c r="N93" s="34"/>
      <c r="O93" s="34"/>
      <c r="P93" s="34"/>
      <c r="Q93" s="50"/>
      <c r="R93" s="34"/>
      <c r="S93" s="34"/>
      <c r="T93" s="52" t="str">
        <f aca="false">IF(A93="","",IF(Q93="Closed","Closed","Open"))</f>
        <v/>
      </c>
      <c r="U93" s="52" t="str">
        <f aca="false">IF(OR(A93="",NOT(ISNUMBER(D93))),"",IF(D93&gt;=AsOf-IncidentWindowDays,"Yes","No"))</f>
        <v/>
      </c>
      <c r="V93" s="54" t="str">
        <f aca="false">IF(A93="","",IF(T93="Open",IF(COUNTIFS(MON_SUP,B93,MON_TYPE,"Supplier risk reassessment",MON_REVDATE,"&gt;="&amp;INT(N(D93)))&gt;0,"Open - reassessment event recorded or planned","Open - consider supplier risk reassessment"),IF(COUNTIFS(MON_SUP,B93,MON_TYPE,"Supplier risk reassessment",MON_REVDATE,"&gt;="&amp;INT(N(D93)))&gt;0,"Reassessment event recorded","Closed - no reassessment event recorded")))</f>
        <v/>
      </c>
      <c r="W93" s="54" t="str">
        <f aca="false">IF(A93="","",IF(COUNTIF(INC_ID,A93)&gt;1,"CHECK: duplicate ID",IF(B93="","CHECK: Supplier ID missing",IF(COUNTIF(INV_ID,B93)=0,"CHECK: Supplier ID not in inventory","OK"))))</f>
        <v/>
      </c>
    </row>
    <row r="94" customFormat="false" ht="15" hidden="false" customHeight="false" outlineLevel="0" collapsed="false">
      <c r="A94" s="50"/>
      <c r="B94" s="50"/>
      <c r="C94" s="59" t="str">
        <f aca="false">IF(B94="","",IFERROR(INDEX(INV_NAME,MATCH(B94,INV_ID,0)),"CHECK: Supplier ID not found"))</f>
        <v/>
      </c>
      <c r="D94" s="65"/>
      <c r="E94" s="34"/>
      <c r="F94" s="34"/>
      <c r="G94" s="34"/>
      <c r="H94" s="34"/>
      <c r="I94" s="34"/>
      <c r="J94" s="34"/>
      <c r="K94" s="50"/>
      <c r="L94" s="50"/>
      <c r="M94" s="34"/>
      <c r="N94" s="34"/>
      <c r="O94" s="34"/>
      <c r="P94" s="34"/>
      <c r="Q94" s="50"/>
      <c r="R94" s="34"/>
      <c r="S94" s="34"/>
      <c r="T94" s="52" t="str">
        <f aca="false">IF(A94="","",IF(Q94="Closed","Closed","Open"))</f>
        <v/>
      </c>
      <c r="U94" s="52" t="str">
        <f aca="false">IF(OR(A94="",NOT(ISNUMBER(D94))),"",IF(D94&gt;=AsOf-IncidentWindowDays,"Yes","No"))</f>
        <v/>
      </c>
      <c r="V94" s="54" t="str">
        <f aca="false">IF(A94="","",IF(T94="Open",IF(COUNTIFS(MON_SUP,B94,MON_TYPE,"Supplier risk reassessment",MON_REVDATE,"&gt;="&amp;INT(N(D94)))&gt;0,"Open - reassessment event recorded or planned","Open - consider supplier risk reassessment"),IF(COUNTIFS(MON_SUP,B94,MON_TYPE,"Supplier risk reassessment",MON_REVDATE,"&gt;="&amp;INT(N(D94)))&gt;0,"Reassessment event recorded","Closed - no reassessment event recorded")))</f>
        <v/>
      </c>
      <c r="W94" s="54" t="str">
        <f aca="false">IF(A94="","",IF(COUNTIF(INC_ID,A94)&gt;1,"CHECK: duplicate ID",IF(B94="","CHECK: Supplier ID missing",IF(COUNTIF(INV_ID,B94)=0,"CHECK: Supplier ID not in inventory","OK"))))</f>
        <v/>
      </c>
    </row>
    <row r="95" customFormat="false" ht="15" hidden="false" customHeight="false" outlineLevel="0" collapsed="false">
      <c r="A95" s="50"/>
      <c r="B95" s="50"/>
      <c r="C95" s="59" t="str">
        <f aca="false">IF(B95="","",IFERROR(INDEX(INV_NAME,MATCH(B95,INV_ID,0)),"CHECK: Supplier ID not found"))</f>
        <v/>
      </c>
      <c r="D95" s="65"/>
      <c r="E95" s="34"/>
      <c r="F95" s="34"/>
      <c r="G95" s="34"/>
      <c r="H95" s="34"/>
      <c r="I95" s="34"/>
      <c r="J95" s="34"/>
      <c r="K95" s="50"/>
      <c r="L95" s="50"/>
      <c r="M95" s="34"/>
      <c r="N95" s="34"/>
      <c r="O95" s="34"/>
      <c r="P95" s="34"/>
      <c r="Q95" s="50"/>
      <c r="R95" s="34"/>
      <c r="S95" s="34"/>
      <c r="T95" s="52" t="str">
        <f aca="false">IF(A95="","",IF(Q95="Closed","Closed","Open"))</f>
        <v/>
      </c>
      <c r="U95" s="52" t="str">
        <f aca="false">IF(OR(A95="",NOT(ISNUMBER(D95))),"",IF(D95&gt;=AsOf-IncidentWindowDays,"Yes","No"))</f>
        <v/>
      </c>
      <c r="V95" s="54" t="str">
        <f aca="false">IF(A95="","",IF(T95="Open",IF(COUNTIFS(MON_SUP,B95,MON_TYPE,"Supplier risk reassessment",MON_REVDATE,"&gt;="&amp;INT(N(D95)))&gt;0,"Open - reassessment event recorded or planned","Open - consider supplier risk reassessment"),IF(COUNTIFS(MON_SUP,B95,MON_TYPE,"Supplier risk reassessment",MON_REVDATE,"&gt;="&amp;INT(N(D95)))&gt;0,"Reassessment event recorded","Closed - no reassessment event recorded")))</f>
        <v/>
      </c>
      <c r="W95" s="54" t="str">
        <f aca="false">IF(A95="","",IF(COUNTIF(INC_ID,A95)&gt;1,"CHECK: duplicate ID",IF(B95="","CHECK: Supplier ID missing",IF(COUNTIF(INV_ID,B95)=0,"CHECK: Supplier ID not in inventory","OK"))))</f>
        <v/>
      </c>
    </row>
    <row r="96" customFormat="false" ht="15" hidden="false" customHeight="false" outlineLevel="0" collapsed="false">
      <c r="A96" s="50"/>
      <c r="B96" s="50"/>
      <c r="C96" s="59" t="str">
        <f aca="false">IF(B96="","",IFERROR(INDEX(INV_NAME,MATCH(B96,INV_ID,0)),"CHECK: Supplier ID not found"))</f>
        <v/>
      </c>
      <c r="D96" s="65"/>
      <c r="E96" s="34"/>
      <c r="F96" s="34"/>
      <c r="G96" s="34"/>
      <c r="H96" s="34"/>
      <c r="I96" s="34"/>
      <c r="J96" s="34"/>
      <c r="K96" s="50"/>
      <c r="L96" s="50"/>
      <c r="M96" s="34"/>
      <c r="N96" s="34"/>
      <c r="O96" s="34"/>
      <c r="P96" s="34"/>
      <c r="Q96" s="50"/>
      <c r="R96" s="34"/>
      <c r="S96" s="34"/>
      <c r="T96" s="52" t="str">
        <f aca="false">IF(A96="","",IF(Q96="Closed","Closed","Open"))</f>
        <v/>
      </c>
      <c r="U96" s="52" t="str">
        <f aca="false">IF(OR(A96="",NOT(ISNUMBER(D96))),"",IF(D96&gt;=AsOf-IncidentWindowDays,"Yes","No"))</f>
        <v/>
      </c>
      <c r="V96" s="54" t="str">
        <f aca="false">IF(A96="","",IF(T96="Open",IF(COUNTIFS(MON_SUP,B96,MON_TYPE,"Supplier risk reassessment",MON_REVDATE,"&gt;="&amp;INT(N(D96)))&gt;0,"Open - reassessment event recorded or planned","Open - consider supplier risk reassessment"),IF(COUNTIFS(MON_SUP,B96,MON_TYPE,"Supplier risk reassessment",MON_REVDATE,"&gt;="&amp;INT(N(D96)))&gt;0,"Reassessment event recorded","Closed - no reassessment event recorded")))</f>
        <v/>
      </c>
      <c r="W96" s="54" t="str">
        <f aca="false">IF(A96="","",IF(COUNTIF(INC_ID,A96)&gt;1,"CHECK: duplicate ID",IF(B96="","CHECK: Supplier ID missing",IF(COUNTIF(INV_ID,B96)=0,"CHECK: Supplier ID not in inventory","OK"))))</f>
        <v/>
      </c>
    </row>
    <row r="97" customFormat="false" ht="15" hidden="false" customHeight="false" outlineLevel="0" collapsed="false">
      <c r="A97" s="50"/>
      <c r="B97" s="50"/>
      <c r="C97" s="59" t="str">
        <f aca="false">IF(B97="","",IFERROR(INDEX(INV_NAME,MATCH(B97,INV_ID,0)),"CHECK: Supplier ID not found"))</f>
        <v/>
      </c>
      <c r="D97" s="65"/>
      <c r="E97" s="34"/>
      <c r="F97" s="34"/>
      <c r="G97" s="34"/>
      <c r="H97" s="34"/>
      <c r="I97" s="34"/>
      <c r="J97" s="34"/>
      <c r="K97" s="50"/>
      <c r="L97" s="50"/>
      <c r="M97" s="34"/>
      <c r="N97" s="34"/>
      <c r="O97" s="34"/>
      <c r="P97" s="34"/>
      <c r="Q97" s="50"/>
      <c r="R97" s="34"/>
      <c r="S97" s="34"/>
      <c r="T97" s="52" t="str">
        <f aca="false">IF(A97="","",IF(Q97="Closed","Closed","Open"))</f>
        <v/>
      </c>
      <c r="U97" s="52" t="str">
        <f aca="false">IF(OR(A97="",NOT(ISNUMBER(D97))),"",IF(D97&gt;=AsOf-IncidentWindowDays,"Yes","No"))</f>
        <v/>
      </c>
      <c r="V97" s="54" t="str">
        <f aca="false">IF(A97="","",IF(T97="Open",IF(COUNTIFS(MON_SUP,B97,MON_TYPE,"Supplier risk reassessment",MON_REVDATE,"&gt;="&amp;INT(N(D97)))&gt;0,"Open - reassessment event recorded or planned","Open - consider supplier risk reassessment"),IF(COUNTIFS(MON_SUP,B97,MON_TYPE,"Supplier risk reassessment",MON_REVDATE,"&gt;="&amp;INT(N(D97)))&gt;0,"Reassessment event recorded","Closed - no reassessment event recorded")))</f>
        <v/>
      </c>
      <c r="W97" s="54" t="str">
        <f aca="false">IF(A97="","",IF(COUNTIF(INC_ID,A97)&gt;1,"CHECK: duplicate ID",IF(B97="","CHECK: Supplier ID missing",IF(COUNTIF(INV_ID,B97)=0,"CHECK: Supplier ID not in inventory","OK"))))</f>
        <v/>
      </c>
    </row>
    <row r="98" customFormat="false" ht="15" hidden="false" customHeight="false" outlineLevel="0" collapsed="false">
      <c r="A98" s="50"/>
      <c r="B98" s="50"/>
      <c r="C98" s="59" t="str">
        <f aca="false">IF(B98="","",IFERROR(INDEX(INV_NAME,MATCH(B98,INV_ID,0)),"CHECK: Supplier ID not found"))</f>
        <v/>
      </c>
      <c r="D98" s="65"/>
      <c r="E98" s="34"/>
      <c r="F98" s="34"/>
      <c r="G98" s="34"/>
      <c r="H98" s="34"/>
      <c r="I98" s="34"/>
      <c r="J98" s="34"/>
      <c r="K98" s="50"/>
      <c r="L98" s="50"/>
      <c r="M98" s="34"/>
      <c r="N98" s="34"/>
      <c r="O98" s="34"/>
      <c r="P98" s="34"/>
      <c r="Q98" s="50"/>
      <c r="R98" s="34"/>
      <c r="S98" s="34"/>
      <c r="T98" s="52" t="str">
        <f aca="false">IF(A98="","",IF(Q98="Closed","Closed","Open"))</f>
        <v/>
      </c>
      <c r="U98" s="52" t="str">
        <f aca="false">IF(OR(A98="",NOT(ISNUMBER(D98))),"",IF(D98&gt;=AsOf-IncidentWindowDays,"Yes","No"))</f>
        <v/>
      </c>
      <c r="V98" s="54" t="str">
        <f aca="false">IF(A98="","",IF(T98="Open",IF(COUNTIFS(MON_SUP,B98,MON_TYPE,"Supplier risk reassessment",MON_REVDATE,"&gt;="&amp;INT(N(D98)))&gt;0,"Open - reassessment event recorded or planned","Open - consider supplier risk reassessment"),IF(COUNTIFS(MON_SUP,B98,MON_TYPE,"Supplier risk reassessment",MON_REVDATE,"&gt;="&amp;INT(N(D98)))&gt;0,"Reassessment event recorded","Closed - no reassessment event recorded")))</f>
        <v/>
      </c>
      <c r="W98" s="54" t="str">
        <f aca="false">IF(A98="","",IF(COUNTIF(INC_ID,A98)&gt;1,"CHECK: duplicate ID",IF(B98="","CHECK: Supplier ID missing",IF(COUNTIF(INV_ID,B98)=0,"CHECK: Supplier ID not in inventory","OK"))))</f>
        <v/>
      </c>
    </row>
    <row r="99" customFormat="false" ht="15" hidden="false" customHeight="false" outlineLevel="0" collapsed="false">
      <c r="A99" s="50"/>
      <c r="B99" s="50"/>
      <c r="C99" s="59" t="str">
        <f aca="false">IF(B99="","",IFERROR(INDEX(INV_NAME,MATCH(B99,INV_ID,0)),"CHECK: Supplier ID not found"))</f>
        <v/>
      </c>
      <c r="D99" s="65"/>
      <c r="E99" s="34"/>
      <c r="F99" s="34"/>
      <c r="G99" s="34"/>
      <c r="H99" s="34"/>
      <c r="I99" s="34"/>
      <c r="J99" s="34"/>
      <c r="K99" s="50"/>
      <c r="L99" s="50"/>
      <c r="M99" s="34"/>
      <c r="N99" s="34"/>
      <c r="O99" s="34"/>
      <c r="P99" s="34"/>
      <c r="Q99" s="50"/>
      <c r="R99" s="34"/>
      <c r="S99" s="34"/>
      <c r="T99" s="52" t="str">
        <f aca="false">IF(A99="","",IF(Q99="Closed","Closed","Open"))</f>
        <v/>
      </c>
      <c r="U99" s="52" t="str">
        <f aca="false">IF(OR(A99="",NOT(ISNUMBER(D99))),"",IF(D99&gt;=AsOf-IncidentWindowDays,"Yes","No"))</f>
        <v/>
      </c>
      <c r="V99" s="54" t="str">
        <f aca="false">IF(A99="","",IF(T99="Open",IF(COUNTIFS(MON_SUP,B99,MON_TYPE,"Supplier risk reassessment",MON_REVDATE,"&gt;="&amp;INT(N(D99)))&gt;0,"Open - reassessment event recorded or planned","Open - consider supplier risk reassessment"),IF(COUNTIFS(MON_SUP,B99,MON_TYPE,"Supplier risk reassessment",MON_REVDATE,"&gt;="&amp;INT(N(D99)))&gt;0,"Reassessment event recorded","Closed - no reassessment event recorded")))</f>
        <v/>
      </c>
      <c r="W99" s="54" t="str">
        <f aca="false">IF(A99="","",IF(COUNTIF(INC_ID,A99)&gt;1,"CHECK: duplicate ID",IF(B99="","CHECK: Supplier ID missing",IF(COUNTIF(INV_ID,B99)=0,"CHECK: Supplier ID not in inventory","OK"))))</f>
        <v/>
      </c>
    </row>
    <row r="100" customFormat="false" ht="15" hidden="false" customHeight="false" outlineLevel="0" collapsed="false">
      <c r="A100" s="50"/>
      <c r="B100" s="50"/>
      <c r="C100" s="59" t="str">
        <f aca="false">IF(B100="","",IFERROR(INDEX(INV_NAME,MATCH(B100,INV_ID,0)),"CHECK: Supplier ID not found"))</f>
        <v/>
      </c>
      <c r="D100" s="65"/>
      <c r="E100" s="34"/>
      <c r="F100" s="34"/>
      <c r="G100" s="34"/>
      <c r="H100" s="34"/>
      <c r="I100" s="34"/>
      <c r="J100" s="34"/>
      <c r="K100" s="50"/>
      <c r="L100" s="50"/>
      <c r="M100" s="34"/>
      <c r="N100" s="34"/>
      <c r="O100" s="34"/>
      <c r="P100" s="34"/>
      <c r="Q100" s="50"/>
      <c r="R100" s="34"/>
      <c r="S100" s="34"/>
      <c r="T100" s="52" t="str">
        <f aca="false">IF(A100="","",IF(Q100="Closed","Closed","Open"))</f>
        <v/>
      </c>
      <c r="U100" s="52" t="str">
        <f aca="false">IF(OR(A100="",NOT(ISNUMBER(D100))),"",IF(D100&gt;=AsOf-IncidentWindowDays,"Yes","No"))</f>
        <v/>
      </c>
      <c r="V100" s="54" t="str">
        <f aca="false">IF(A100="","",IF(T100="Open",IF(COUNTIFS(MON_SUP,B100,MON_TYPE,"Supplier risk reassessment",MON_REVDATE,"&gt;="&amp;INT(N(D100)))&gt;0,"Open - reassessment event recorded or planned","Open - consider supplier risk reassessment"),IF(COUNTIFS(MON_SUP,B100,MON_TYPE,"Supplier risk reassessment",MON_REVDATE,"&gt;="&amp;INT(N(D100)))&gt;0,"Reassessment event recorded","Closed - no reassessment event recorded")))</f>
        <v/>
      </c>
      <c r="W100" s="54" t="str">
        <f aca="false">IF(A100="","",IF(COUNTIF(INC_ID,A100)&gt;1,"CHECK: duplicate ID",IF(B100="","CHECK: Supplier ID missing",IF(COUNTIF(INV_ID,B100)=0,"CHECK: Supplier ID not in inventory","OK"))))</f>
        <v/>
      </c>
    </row>
    <row r="101" customFormat="false" ht="15" hidden="false" customHeight="false" outlineLevel="0" collapsed="false">
      <c r="A101" s="50"/>
      <c r="B101" s="50"/>
      <c r="C101" s="59" t="str">
        <f aca="false">IF(B101="","",IFERROR(INDEX(INV_NAME,MATCH(B101,INV_ID,0)),"CHECK: Supplier ID not found"))</f>
        <v/>
      </c>
      <c r="D101" s="65"/>
      <c r="E101" s="34"/>
      <c r="F101" s="34"/>
      <c r="G101" s="34"/>
      <c r="H101" s="34"/>
      <c r="I101" s="34"/>
      <c r="J101" s="34"/>
      <c r="K101" s="50"/>
      <c r="L101" s="50"/>
      <c r="M101" s="34"/>
      <c r="N101" s="34"/>
      <c r="O101" s="34"/>
      <c r="P101" s="34"/>
      <c r="Q101" s="50"/>
      <c r="R101" s="34"/>
      <c r="S101" s="34"/>
      <c r="T101" s="52" t="str">
        <f aca="false">IF(A101="","",IF(Q101="Closed","Closed","Open"))</f>
        <v/>
      </c>
      <c r="U101" s="52" t="str">
        <f aca="false">IF(OR(A101="",NOT(ISNUMBER(D101))),"",IF(D101&gt;=AsOf-IncidentWindowDays,"Yes","No"))</f>
        <v/>
      </c>
      <c r="V101" s="54" t="str">
        <f aca="false">IF(A101="","",IF(T101="Open",IF(COUNTIFS(MON_SUP,B101,MON_TYPE,"Supplier risk reassessment",MON_REVDATE,"&gt;="&amp;INT(N(D101)))&gt;0,"Open - reassessment event recorded or planned","Open - consider supplier risk reassessment"),IF(COUNTIFS(MON_SUP,B101,MON_TYPE,"Supplier risk reassessment",MON_REVDATE,"&gt;="&amp;INT(N(D101)))&gt;0,"Reassessment event recorded","Closed - no reassessment event recorded")))</f>
        <v/>
      </c>
      <c r="W101" s="54" t="str">
        <f aca="false">IF(A101="","",IF(COUNTIF(INC_ID,A101)&gt;1,"CHECK: duplicate ID",IF(B101="","CHECK: Supplier ID missing",IF(COUNTIF(INV_ID,B101)=0,"CHECK: Supplier ID not in inventory","OK"))))</f>
        <v/>
      </c>
    </row>
    <row r="102" customFormat="false" ht="15" hidden="false" customHeight="false" outlineLevel="0" collapsed="false">
      <c r="A102" s="50"/>
      <c r="B102" s="50"/>
      <c r="C102" s="59" t="str">
        <f aca="false">IF(B102="","",IFERROR(INDEX(INV_NAME,MATCH(B102,INV_ID,0)),"CHECK: Supplier ID not found"))</f>
        <v/>
      </c>
      <c r="D102" s="65"/>
      <c r="E102" s="34"/>
      <c r="F102" s="34"/>
      <c r="G102" s="34"/>
      <c r="H102" s="34"/>
      <c r="I102" s="34"/>
      <c r="J102" s="34"/>
      <c r="K102" s="50"/>
      <c r="L102" s="50"/>
      <c r="M102" s="34"/>
      <c r="N102" s="34"/>
      <c r="O102" s="34"/>
      <c r="P102" s="34"/>
      <c r="Q102" s="50"/>
      <c r="R102" s="34"/>
      <c r="S102" s="34"/>
      <c r="T102" s="52" t="str">
        <f aca="false">IF(A102="","",IF(Q102="Closed","Closed","Open"))</f>
        <v/>
      </c>
      <c r="U102" s="52" t="str">
        <f aca="false">IF(OR(A102="",NOT(ISNUMBER(D102))),"",IF(D102&gt;=AsOf-IncidentWindowDays,"Yes","No"))</f>
        <v/>
      </c>
      <c r="V102" s="54" t="str">
        <f aca="false">IF(A102="","",IF(T102="Open",IF(COUNTIFS(MON_SUP,B102,MON_TYPE,"Supplier risk reassessment",MON_REVDATE,"&gt;="&amp;INT(N(D102)))&gt;0,"Open - reassessment event recorded or planned","Open - consider supplier risk reassessment"),IF(COUNTIFS(MON_SUP,B102,MON_TYPE,"Supplier risk reassessment",MON_REVDATE,"&gt;="&amp;INT(N(D102)))&gt;0,"Reassessment event recorded","Closed - no reassessment event recorded")))</f>
        <v/>
      </c>
      <c r="W102" s="54" t="str">
        <f aca="false">IF(A102="","",IF(COUNTIF(INC_ID,A102)&gt;1,"CHECK: duplicate ID",IF(B102="","CHECK: Supplier ID missing",IF(COUNTIF(INV_ID,B102)=0,"CHECK: Supplier ID not in inventory","OK"))))</f>
        <v/>
      </c>
    </row>
    <row r="103" customFormat="false" ht="15" hidden="false" customHeight="false" outlineLevel="0" collapsed="false">
      <c r="A103" s="50"/>
      <c r="B103" s="50"/>
      <c r="C103" s="59" t="str">
        <f aca="false">IF(B103="","",IFERROR(INDEX(INV_NAME,MATCH(B103,INV_ID,0)),"CHECK: Supplier ID not found"))</f>
        <v/>
      </c>
      <c r="D103" s="65"/>
      <c r="E103" s="34"/>
      <c r="F103" s="34"/>
      <c r="G103" s="34"/>
      <c r="H103" s="34"/>
      <c r="I103" s="34"/>
      <c r="J103" s="34"/>
      <c r="K103" s="50"/>
      <c r="L103" s="50"/>
      <c r="M103" s="34"/>
      <c r="N103" s="34"/>
      <c r="O103" s="34"/>
      <c r="P103" s="34"/>
      <c r="Q103" s="50"/>
      <c r="R103" s="34"/>
      <c r="S103" s="34"/>
      <c r="T103" s="52" t="str">
        <f aca="false">IF(A103="","",IF(Q103="Closed","Closed","Open"))</f>
        <v/>
      </c>
      <c r="U103" s="52" t="str">
        <f aca="false">IF(OR(A103="",NOT(ISNUMBER(D103))),"",IF(D103&gt;=AsOf-IncidentWindowDays,"Yes","No"))</f>
        <v/>
      </c>
      <c r="V103" s="54" t="str">
        <f aca="false">IF(A103="","",IF(T103="Open",IF(COUNTIFS(MON_SUP,B103,MON_TYPE,"Supplier risk reassessment",MON_REVDATE,"&gt;="&amp;INT(N(D103)))&gt;0,"Open - reassessment event recorded or planned","Open - consider supplier risk reassessment"),IF(COUNTIFS(MON_SUP,B103,MON_TYPE,"Supplier risk reassessment",MON_REVDATE,"&gt;="&amp;INT(N(D103)))&gt;0,"Reassessment event recorded","Closed - no reassessment event recorded")))</f>
        <v/>
      </c>
      <c r="W103" s="54" t="str">
        <f aca="false">IF(A103="","",IF(COUNTIF(INC_ID,A103)&gt;1,"CHECK: duplicate ID",IF(B103="","CHECK: Supplier ID missing",IF(COUNTIF(INV_ID,B103)=0,"CHECK: Supplier ID not in inventory","OK"))))</f>
        <v/>
      </c>
    </row>
    <row r="104" customFormat="false" ht="15" hidden="false" customHeight="false" outlineLevel="0" collapsed="false">
      <c r="A104" s="50"/>
      <c r="B104" s="50"/>
      <c r="C104" s="59" t="str">
        <f aca="false">IF(B104="","",IFERROR(INDEX(INV_NAME,MATCH(B104,INV_ID,0)),"CHECK: Supplier ID not found"))</f>
        <v/>
      </c>
      <c r="D104" s="65"/>
      <c r="E104" s="34"/>
      <c r="F104" s="34"/>
      <c r="G104" s="34"/>
      <c r="H104" s="34"/>
      <c r="I104" s="34"/>
      <c r="J104" s="34"/>
      <c r="K104" s="50"/>
      <c r="L104" s="50"/>
      <c r="M104" s="34"/>
      <c r="N104" s="34"/>
      <c r="O104" s="34"/>
      <c r="P104" s="34"/>
      <c r="Q104" s="50"/>
      <c r="R104" s="34"/>
      <c r="S104" s="34"/>
      <c r="T104" s="52" t="str">
        <f aca="false">IF(A104="","",IF(Q104="Closed","Closed","Open"))</f>
        <v/>
      </c>
      <c r="U104" s="52" t="str">
        <f aca="false">IF(OR(A104="",NOT(ISNUMBER(D104))),"",IF(D104&gt;=AsOf-IncidentWindowDays,"Yes","No"))</f>
        <v/>
      </c>
      <c r="V104" s="54" t="str">
        <f aca="false">IF(A104="","",IF(T104="Open",IF(COUNTIFS(MON_SUP,B104,MON_TYPE,"Supplier risk reassessment",MON_REVDATE,"&gt;="&amp;INT(N(D104)))&gt;0,"Open - reassessment event recorded or planned","Open - consider supplier risk reassessment"),IF(COUNTIFS(MON_SUP,B104,MON_TYPE,"Supplier risk reassessment",MON_REVDATE,"&gt;="&amp;INT(N(D104)))&gt;0,"Reassessment event recorded","Closed - no reassessment event recorded")))</f>
        <v/>
      </c>
      <c r="W104" s="54" t="str">
        <f aca="false">IF(A104="","",IF(COUNTIF(INC_ID,A104)&gt;1,"CHECK: duplicate ID",IF(B104="","CHECK: Supplier ID missing",IF(COUNTIF(INV_ID,B104)=0,"CHECK: Supplier ID not in inventory","OK"))))</f>
        <v/>
      </c>
    </row>
    <row r="105" customFormat="false" ht="15" hidden="false" customHeight="false" outlineLevel="0" collapsed="false">
      <c r="A105" s="50"/>
      <c r="B105" s="50"/>
      <c r="C105" s="59" t="str">
        <f aca="false">IF(B105="","",IFERROR(INDEX(INV_NAME,MATCH(B105,INV_ID,0)),"CHECK: Supplier ID not found"))</f>
        <v/>
      </c>
      <c r="D105" s="65"/>
      <c r="E105" s="34"/>
      <c r="F105" s="34"/>
      <c r="G105" s="34"/>
      <c r="H105" s="34"/>
      <c r="I105" s="34"/>
      <c r="J105" s="34"/>
      <c r="K105" s="50"/>
      <c r="L105" s="50"/>
      <c r="M105" s="34"/>
      <c r="N105" s="34"/>
      <c r="O105" s="34"/>
      <c r="P105" s="34"/>
      <c r="Q105" s="50"/>
      <c r="R105" s="34"/>
      <c r="S105" s="34"/>
      <c r="T105" s="52" t="str">
        <f aca="false">IF(A105="","",IF(Q105="Closed","Closed","Open"))</f>
        <v/>
      </c>
      <c r="U105" s="52" t="str">
        <f aca="false">IF(OR(A105="",NOT(ISNUMBER(D105))),"",IF(D105&gt;=AsOf-IncidentWindowDays,"Yes","No"))</f>
        <v/>
      </c>
      <c r="V105" s="54" t="str">
        <f aca="false">IF(A105="","",IF(T105="Open",IF(COUNTIFS(MON_SUP,B105,MON_TYPE,"Supplier risk reassessment",MON_REVDATE,"&gt;="&amp;INT(N(D105)))&gt;0,"Open - reassessment event recorded or planned","Open - consider supplier risk reassessment"),IF(COUNTIFS(MON_SUP,B105,MON_TYPE,"Supplier risk reassessment",MON_REVDATE,"&gt;="&amp;INT(N(D105)))&gt;0,"Reassessment event recorded","Closed - no reassessment event recorded")))</f>
        <v/>
      </c>
      <c r="W105" s="54" t="str">
        <f aca="false">IF(A105="","",IF(COUNTIF(INC_ID,A105)&gt;1,"CHECK: duplicate ID",IF(B105="","CHECK: Supplier ID missing",IF(COUNTIF(INV_ID,B105)=0,"CHECK: Supplier ID not in inventory","OK"))))</f>
        <v/>
      </c>
    </row>
    <row r="106" customFormat="false" ht="15" hidden="false" customHeight="false" outlineLevel="0" collapsed="false">
      <c r="A106" s="50"/>
      <c r="B106" s="50"/>
      <c r="C106" s="59" t="str">
        <f aca="false">IF(B106="","",IFERROR(INDEX(INV_NAME,MATCH(B106,INV_ID,0)),"CHECK: Supplier ID not found"))</f>
        <v/>
      </c>
      <c r="D106" s="65"/>
      <c r="E106" s="34"/>
      <c r="F106" s="34"/>
      <c r="G106" s="34"/>
      <c r="H106" s="34"/>
      <c r="I106" s="34"/>
      <c r="J106" s="34"/>
      <c r="K106" s="50"/>
      <c r="L106" s="50"/>
      <c r="M106" s="34"/>
      <c r="N106" s="34"/>
      <c r="O106" s="34"/>
      <c r="P106" s="34"/>
      <c r="Q106" s="50"/>
      <c r="R106" s="34"/>
      <c r="S106" s="34"/>
      <c r="T106" s="52" t="str">
        <f aca="false">IF(A106="","",IF(Q106="Closed","Closed","Open"))</f>
        <v/>
      </c>
      <c r="U106" s="52" t="str">
        <f aca="false">IF(OR(A106="",NOT(ISNUMBER(D106))),"",IF(D106&gt;=AsOf-IncidentWindowDays,"Yes","No"))</f>
        <v/>
      </c>
      <c r="V106" s="54" t="str">
        <f aca="false">IF(A106="","",IF(T106="Open",IF(COUNTIFS(MON_SUP,B106,MON_TYPE,"Supplier risk reassessment",MON_REVDATE,"&gt;="&amp;INT(N(D106)))&gt;0,"Open - reassessment event recorded or planned","Open - consider supplier risk reassessment"),IF(COUNTIFS(MON_SUP,B106,MON_TYPE,"Supplier risk reassessment",MON_REVDATE,"&gt;="&amp;INT(N(D106)))&gt;0,"Reassessment event recorded","Closed - no reassessment event recorded")))</f>
        <v/>
      </c>
      <c r="W106" s="54" t="str">
        <f aca="false">IF(A106="","",IF(COUNTIF(INC_ID,A106)&gt;1,"CHECK: duplicate ID",IF(B106="","CHECK: Supplier ID missing",IF(COUNTIF(INV_ID,B106)=0,"CHECK: Supplier ID not in inventory","OK"))))</f>
        <v/>
      </c>
    </row>
  </sheetData>
  <sheetProtection sheet="true" formatColumns="false" formatRows="false" sort="false" autoFilter="false"/>
  <conditionalFormatting sqref="T7:T106">
    <cfRule type="expression" priority="2" aboveAverage="0" equalAverage="0" bottom="0" percent="0" rank="0" text="" dxfId="0">
      <formula>OR(ISNUMBER(SEARCH("Above appetite",T7)),ISNUMBER(SEARCH("Overdue",T7)),ISNUMBER(SEARCH("Expired",T7)),ISNUMBER(SEARCH("Breach",T7)),ISNUMBER(SEARCH("CHECK",T7)),ISNUMBER(SEARCH("Not ready",T7)),ISNUMBER(SEARCH("REMAINS",T7)),ISNUMBER(SEARCH("Failed",T7)),ISNUMBER(SEARCH("Cannot assess",T7)))</formula>
    </cfRule>
    <cfRule type="expression" priority="3" aboveAverage="0" equalAverage="0" bottom="0" percent="0" rank="0" text="" dxfId="21">
      <formula>OR(ISNUMBER(SEARCH("Incomplete",T7)),ISNUMBER(SEARCH("Pending",T7)),ISNUMBER(SEARCH("Approaching",T7)),ISNUMBER(SEARCH("insufficient",T7)),ISNUMBER(SEARCH("Awaiting",T7)),ISNUMBER(SEARCH("Review due",T7)),ISNUMBER(SEARCH("Not configured",T7)),ISNUMBER(SEARCH("Not classified",T7)),ISNUMBER(SEARCH("Proposed",T7)),ISNUMBER(SEARCH("Verification",T7)),ISNUMBER(SEARCH("Scope limitation",T7)),ISNUMBER(SEARCH("Follow-up",T7)),ISNUMBER(SEARCH("Open gap",T7)),ISNUMBER(SEARCH("Delivered - verification",T7)),ISNUMBER(SEARCH("Historical",T7)),ISNUMBER(SEARCH("Not scheduled",T7)),ISNUMBER(SEARCH("Not determined",T7)),ISNUMBER(SEARCH("Decision record",T7)),ISNUMBER(SEARCH("Due soon",T7)),ISNUMBER(SEARCH("Not reviewed",T7)),ISNUMBER(SEARCH("Tier not",T7)),ISNUMBER(SEARCH("No decision",T7)),ISNUMBER(SEARCH("Superseded",T7)),ISNUMBER(SEARCH("Optional",T7)),ISNUMBER(SEARCH("legal review",T7)),ISNUMBER(SEARCH("No treatment",T7)),ISNUMBER(SEARCH("not recorded",T7)),ISNUMBER(SEARCH("consider",T7)),ISNUMBER(SEARCH("Not set",T7)),ISNUMBER(SEARCH("Not started",T7)),ISNUMBER(SEARCH("No expiry",T7)),ISNUMBER(SEARCH("No KRI",T7)),ISNUMBER(SEARCH("no reassessment",T7)),ISNUMBER(SEARCH("Applicability",T7)),ISNUMBER(SEARCH("Not current",T7)),ISNUMBER(SEARCH("assess relevance",T7)))</formula>
    </cfRule>
    <cfRule type="expression" priority="4" aboveAverage="0" equalAverage="0" bottom="0" percent="0" rank="0" text="" dxfId="22">
      <formula>OR(LEFT(T7,2)="OK",LEFT(T7,8)="Complete",LEFT(T7,7)="Current",LEFT(T7,10)="Authorised",LEFT(T7,6)="Within",LEFT(T7,11)="On schedule",LEFT(T7,17)="Ready for closure",LEFT(T7,17)="Evidence reviewed",LEFT(T7,19)="Decision referenced",LEFT(T7,27)="Reassessment event recorded",LEFT(T7,14)="Period current",LEFT(T7,17)="Gap dispositioned",LEFT(T7,17)="Reviewed - no gap",LEFT(T7,11)="Recommended",LEFT(T7,17)="Closed - verified")</formula>
    </cfRule>
  </conditionalFormatting>
  <conditionalFormatting sqref="U7:U106">
    <cfRule type="expression" priority="5" aboveAverage="0" equalAverage="0" bottom="0" percent="0" rank="0" text="" dxfId="0">
      <formula>OR(ISNUMBER(SEARCH("Above appetite",U7)),ISNUMBER(SEARCH("Overdue",U7)),ISNUMBER(SEARCH("Expired",U7)),ISNUMBER(SEARCH("Breach",U7)),ISNUMBER(SEARCH("CHECK",U7)),ISNUMBER(SEARCH("Not ready",U7)),ISNUMBER(SEARCH("REMAINS",U7)),ISNUMBER(SEARCH("Failed",U7)),ISNUMBER(SEARCH("Cannot assess",U7)))</formula>
    </cfRule>
    <cfRule type="expression" priority="6" aboveAverage="0" equalAverage="0" bottom="0" percent="0" rank="0" text="" dxfId="21">
      <formula>OR(ISNUMBER(SEARCH("Incomplete",U7)),ISNUMBER(SEARCH("Pending",U7)),ISNUMBER(SEARCH("Approaching",U7)),ISNUMBER(SEARCH("insufficient",U7)),ISNUMBER(SEARCH("Awaiting",U7)),ISNUMBER(SEARCH("Review due",U7)),ISNUMBER(SEARCH("Not configured",U7)),ISNUMBER(SEARCH("Not classified",U7)),ISNUMBER(SEARCH("Proposed",U7)),ISNUMBER(SEARCH("Verification",U7)),ISNUMBER(SEARCH("Scope limitation",U7)),ISNUMBER(SEARCH("Follow-up",U7)),ISNUMBER(SEARCH("Open gap",U7)),ISNUMBER(SEARCH("Delivered - verification",U7)),ISNUMBER(SEARCH("Historical",U7)),ISNUMBER(SEARCH("Not scheduled",U7)),ISNUMBER(SEARCH("Not determined",U7)),ISNUMBER(SEARCH("Decision record",U7)),ISNUMBER(SEARCH("Due soon",U7)),ISNUMBER(SEARCH("Not reviewed",U7)),ISNUMBER(SEARCH("Tier not",U7)),ISNUMBER(SEARCH("No decision",U7)),ISNUMBER(SEARCH("Superseded",U7)),ISNUMBER(SEARCH("Optional",U7)),ISNUMBER(SEARCH("legal review",U7)),ISNUMBER(SEARCH("No treatment",U7)),ISNUMBER(SEARCH("not recorded",U7)),ISNUMBER(SEARCH("consider",U7)),ISNUMBER(SEARCH("Not set",U7)),ISNUMBER(SEARCH("Not started",U7)),ISNUMBER(SEARCH("No expiry",U7)),ISNUMBER(SEARCH("No KRI",U7)),ISNUMBER(SEARCH("no reassessment",U7)),ISNUMBER(SEARCH("Applicability",U7)),ISNUMBER(SEARCH("Not current",U7)),ISNUMBER(SEARCH("assess relevance",U7)))</formula>
    </cfRule>
    <cfRule type="expression" priority="7" aboveAverage="0" equalAverage="0" bottom="0" percent="0" rank="0" text="" dxfId="22">
      <formula>OR(LEFT(U7,2)="OK",LEFT(U7,8)="Complete",LEFT(U7,7)="Current",LEFT(U7,10)="Authorised",LEFT(U7,6)="Within",LEFT(U7,11)="On schedule",LEFT(U7,17)="Ready for closure",LEFT(U7,17)="Evidence reviewed",LEFT(U7,19)="Decision referenced",LEFT(U7,27)="Reassessment event recorded",LEFT(U7,14)="Period current",LEFT(U7,17)="Gap dispositioned",LEFT(U7,17)="Reviewed - no gap",LEFT(U7,11)="Recommended",LEFT(U7,17)="Closed - verified")</formula>
    </cfRule>
  </conditionalFormatting>
  <conditionalFormatting sqref="V7:V106">
    <cfRule type="expression" priority="8" aboveAverage="0" equalAverage="0" bottom="0" percent="0" rank="0" text="" dxfId="0">
      <formula>OR(ISNUMBER(SEARCH("Above appetite",V7)),ISNUMBER(SEARCH("Overdue",V7)),ISNUMBER(SEARCH("Expired",V7)),ISNUMBER(SEARCH("Breach",V7)),ISNUMBER(SEARCH("CHECK",V7)),ISNUMBER(SEARCH("Not ready",V7)),ISNUMBER(SEARCH("REMAINS",V7)),ISNUMBER(SEARCH("Failed",V7)),ISNUMBER(SEARCH("Cannot assess",V7)))</formula>
    </cfRule>
    <cfRule type="expression" priority="9" aboveAverage="0" equalAverage="0" bottom="0" percent="0" rank="0" text="" dxfId="21">
      <formula>OR(ISNUMBER(SEARCH("Incomplete",V7)),ISNUMBER(SEARCH("Pending",V7)),ISNUMBER(SEARCH("Approaching",V7)),ISNUMBER(SEARCH("insufficient",V7)),ISNUMBER(SEARCH("Awaiting",V7)),ISNUMBER(SEARCH("Review due",V7)),ISNUMBER(SEARCH("Not configured",V7)),ISNUMBER(SEARCH("Not classified",V7)),ISNUMBER(SEARCH("Proposed",V7)),ISNUMBER(SEARCH("Verification",V7)),ISNUMBER(SEARCH("Scope limitation",V7)),ISNUMBER(SEARCH("Follow-up",V7)),ISNUMBER(SEARCH("Open gap",V7)),ISNUMBER(SEARCH("Delivered - verification",V7)),ISNUMBER(SEARCH("Historical",V7)),ISNUMBER(SEARCH("Not scheduled",V7)),ISNUMBER(SEARCH("Not determined",V7)),ISNUMBER(SEARCH("Decision record",V7)),ISNUMBER(SEARCH("Due soon",V7)),ISNUMBER(SEARCH("Not reviewed",V7)),ISNUMBER(SEARCH("Tier not",V7)),ISNUMBER(SEARCH("No decision",V7)),ISNUMBER(SEARCH("Superseded",V7)),ISNUMBER(SEARCH("Optional",V7)),ISNUMBER(SEARCH("legal review",V7)),ISNUMBER(SEARCH("No treatment",V7)),ISNUMBER(SEARCH("not recorded",V7)),ISNUMBER(SEARCH("consider",V7)),ISNUMBER(SEARCH("Not set",V7)),ISNUMBER(SEARCH("Not started",V7)),ISNUMBER(SEARCH("No expiry",V7)),ISNUMBER(SEARCH("No KRI",V7)),ISNUMBER(SEARCH("no reassessment",V7)),ISNUMBER(SEARCH("Applicability",V7)),ISNUMBER(SEARCH("Not current",V7)),ISNUMBER(SEARCH("assess relevance",V7)))</formula>
    </cfRule>
    <cfRule type="expression" priority="10" aboveAverage="0" equalAverage="0" bottom="0" percent="0" rank="0" text="" dxfId="22">
      <formula>OR(LEFT(V7,2)="OK",LEFT(V7,8)="Complete",LEFT(V7,7)="Current",LEFT(V7,10)="Authorised",LEFT(V7,6)="Within",LEFT(V7,11)="On schedule",LEFT(V7,17)="Ready for closure",LEFT(V7,17)="Evidence reviewed",LEFT(V7,19)="Decision referenced",LEFT(V7,27)="Reassessment event recorded",LEFT(V7,14)="Period current",LEFT(V7,17)="Gap dispositioned",LEFT(V7,17)="Reviewed - no gap",LEFT(V7,11)="Recommended",LEFT(V7,17)="Closed - verified")</formula>
    </cfRule>
  </conditionalFormatting>
  <conditionalFormatting sqref="W7:W106">
    <cfRule type="expression" priority="11" aboveAverage="0" equalAverage="0" bottom="0" percent="0" rank="0" text="" dxfId="0">
      <formula>OR(ISNUMBER(SEARCH("Above appetite",W7)),ISNUMBER(SEARCH("Overdue",W7)),ISNUMBER(SEARCH("Expired",W7)),ISNUMBER(SEARCH("Breach",W7)),ISNUMBER(SEARCH("CHECK",W7)),ISNUMBER(SEARCH("Not ready",W7)),ISNUMBER(SEARCH("REMAINS",W7)),ISNUMBER(SEARCH("Failed",W7)),ISNUMBER(SEARCH("Cannot assess",W7)))</formula>
    </cfRule>
    <cfRule type="expression" priority="12" aboveAverage="0" equalAverage="0" bottom="0" percent="0" rank="0" text="" dxfId="21">
      <formula>OR(ISNUMBER(SEARCH("Incomplete",W7)),ISNUMBER(SEARCH("Pending",W7)),ISNUMBER(SEARCH("Approaching",W7)),ISNUMBER(SEARCH("insufficient",W7)),ISNUMBER(SEARCH("Awaiting",W7)),ISNUMBER(SEARCH("Review due",W7)),ISNUMBER(SEARCH("Not configured",W7)),ISNUMBER(SEARCH("Not classified",W7)),ISNUMBER(SEARCH("Proposed",W7)),ISNUMBER(SEARCH("Verification",W7)),ISNUMBER(SEARCH("Scope limitation",W7)),ISNUMBER(SEARCH("Follow-up",W7)),ISNUMBER(SEARCH("Open gap",W7)),ISNUMBER(SEARCH("Delivered - verification",W7)),ISNUMBER(SEARCH("Historical",W7)),ISNUMBER(SEARCH("Not scheduled",W7)),ISNUMBER(SEARCH("Not determined",W7)),ISNUMBER(SEARCH("Decision record",W7)),ISNUMBER(SEARCH("Due soon",W7)),ISNUMBER(SEARCH("Not reviewed",W7)),ISNUMBER(SEARCH("Tier not",W7)),ISNUMBER(SEARCH("No decision",W7)),ISNUMBER(SEARCH("Superseded",W7)),ISNUMBER(SEARCH("Optional",W7)),ISNUMBER(SEARCH("legal review",W7)),ISNUMBER(SEARCH("No treatment",W7)),ISNUMBER(SEARCH("not recorded",W7)),ISNUMBER(SEARCH("consider",W7)),ISNUMBER(SEARCH("Not set",W7)),ISNUMBER(SEARCH("Not started",W7)),ISNUMBER(SEARCH("No expiry",W7)),ISNUMBER(SEARCH("No KRI",W7)),ISNUMBER(SEARCH("no reassessment",W7)),ISNUMBER(SEARCH("Applicability",W7)),ISNUMBER(SEARCH("Not current",W7)),ISNUMBER(SEARCH("assess relevance",W7)))</formula>
    </cfRule>
    <cfRule type="expression" priority="13" aboveAverage="0" equalAverage="0" bottom="0" percent="0" rank="0" text="" dxfId="22">
      <formula>OR(LEFT(W7,2)="OK",LEFT(W7,8)="Complete",LEFT(W7,7)="Current",LEFT(W7,10)="Authorised",LEFT(W7,6)="Within",LEFT(W7,11)="On schedule",LEFT(W7,17)="Ready for closure",LEFT(W7,17)="Evidence reviewed",LEFT(W7,19)="Decision referenced",LEFT(W7,27)="Reassessment event recorded",LEFT(W7,14)="Period current",LEFT(W7,17)="Gap dispositioned",LEFT(W7,17)="Reviewed - no gap",LEFT(W7,11)="Recommended",LEFT(W7,17)="Closed - verified")</formula>
    </cfRule>
  </conditionalFormatting>
  <conditionalFormatting sqref="A7:A106">
    <cfRule type="expression" priority="14" aboveAverage="0" equalAverage="0" bottom="0" percent="0" rank="0" text="" dxfId="0">
      <formula>AND(A7&lt;&gt;"",COUNTIF($A$7:$A$106,A7)&gt;1)</formula>
    </cfRule>
  </conditionalFormatting>
  <dataValidations count="4">
    <dataValidation allowBlank="true" error="Choose a value from the list (controlled vocabulary or an existing ID)." errorStyle="stop" errorTitle="Invalid entry" operator="between" showDropDown="false" showErrorMessage="true" showInputMessage="false" sqref="B7:B106" type="list">
      <formula1>INV_ID</formula1>
      <formula2>0</formula2>
    </dataValidation>
    <dataValidation allowBlank="true" error="Choose a value from the list (controlled vocabulary or an existing ID)." errorStyle="stop" errorTitle="Invalid entry" operator="between" showDropDown="false" showErrorMessage="true" showInputMessage="false" sqref="K7:K106" type="list">
      <formula1>L_Materiality</formula1>
      <formula2>0</formula2>
    </dataValidation>
    <dataValidation allowBlank="true" error="Choose a value from the list (controlled vocabulary or an existing ID)." errorStyle="stop" errorTitle="Invalid entry" operator="between" showDropDown="false" showErrorMessage="true" showInputMessage="false" sqref="O7:O106" type="list">
      <formula1>L_PrivLegal</formula1>
      <formula2>0</formula2>
    </dataValidation>
    <dataValidation allowBlank="true" error="Choose a value from the list (controlled vocabulary or an existing ID)." errorStyle="stop" errorTitle="Invalid entry" operator="between" showDropDown="false" showErrorMessage="true" showInputMessage="false" sqref="Q7:Q106" type="list">
      <formula1>L_IncStatus</formula1>
      <formula2>0</formula2>
    </dataValidation>
  </dataValidations>
  <hyperlinks>
    <hyperlink ref="H1" r:id="rId1" location="'01%20Start%20Here'!A1" display="&lt;&lt; Back to Start Here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tableParts>
    <tablePart r:id="rId2"/>
  </tableParts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S15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6" topLeftCell="C7" activePane="bottomRight" state="frozen"/>
      <selection pane="topLeft" activeCell="A1" activeCellId="0" sqref="A1"/>
      <selection pane="topRight" activeCell="C1" activeCellId="0" sqref="C1"/>
      <selection pane="bottomLeft" activeCell="A7" activeCellId="0" sqref="A7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11"/>
    <col collapsed="false" customWidth="true" hidden="false" outlineLevel="0" max="2" min="2" style="1" width="12"/>
    <col collapsed="false" customWidth="true" hidden="false" outlineLevel="0" max="3" min="3" style="1" width="22"/>
    <col collapsed="false" customWidth="true" hidden="false" outlineLevel="0" max="4" min="4" style="1" width="24"/>
    <col collapsed="false" customWidth="true" hidden="false" outlineLevel="0" max="5" min="5" style="1" width="26"/>
    <col collapsed="false" customWidth="true" hidden="false" outlineLevel="0" max="6" min="6" style="1" width="24"/>
    <col collapsed="false" customWidth="true" hidden="false" outlineLevel="0" max="7" min="7" style="1" width="16"/>
    <col collapsed="false" customWidth="true" hidden="false" outlineLevel="0" max="8" min="8" style="1" width="22"/>
    <col collapsed="false" customWidth="true" hidden="false" outlineLevel="0" max="9" min="9" style="1" width="26"/>
    <col collapsed="false" customWidth="true" hidden="false" outlineLevel="0" max="10" min="10" style="1" width="14"/>
    <col collapsed="false" customWidth="true" hidden="false" outlineLevel="0" max="11" min="11" style="1" width="26"/>
    <col collapsed="false" customWidth="true" hidden="false" outlineLevel="0" max="12" min="12" style="1" width="11"/>
    <col collapsed="false" customWidth="true" hidden="false" outlineLevel="0" max="13" min="13" style="1" width="20"/>
    <col collapsed="false" customWidth="true" hidden="false" outlineLevel="0" max="14" min="14" style="1" width="24"/>
    <col collapsed="false" customWidth="true" hidden="true" outlineLevel="0" max="16" min="15" style="1" width="10"/>
    <col collapsed="false" customWidth="true" hidden="false" outlineLevel="0" max="17" min="17" style="1" width="14"/>
    <col collapsed="false" customWidth="true" hidden="false" outlineLevel="0" max="18" min="18" style="1" width="44"/>
    <col collapsed="false" customWidth="true" hidden="false" outlineLevel="0" max="19" min="19" style="1" width="30"/>
  </cols>
  <sheetData>
    <row r="1" customFormat="false" ht="17.35" hidden="false" customHeight="false" outlineLevel="0" collapsed="false">
      <c r="A1" s="22" t="s">
        <v>1726</v>
      </c>
      <c r="H1" s="10" t="s">
        <v>100</v>
      </c>
    </row>
    <row r="2" customFormat="false" ht="15" hidden="false" customHeight="false" outlineLevel="0" collapsed="false">
      <c r="A2" s="3" t="s">
        <v>1727</v>
      </c>
    </row>
    <row r="3" customFormat="false" ht="15" hidden="false" customHeight="false" outlineLevel="0" collapsed="false">
      <c r="A3" s="4" t="s">
        <v>1728</v>
      </c>
    </row>
    <row r="4" customFormat="false" ht="24" hidden="false" customHeight="true" outlineLevel="0" collapsed="false">
      <c r="A4" s="45" t="s">
        <v>69</v>
      </c>
      <c r="B4" s="45" t="s">
        <v>69</v>
      </c>
      <c r="C4" s="55" t="s">
        <v>73</v>
      </c>
      <c r="D4" s="45" t="s">
        <v>69</v>
      </c>
      <c r="E4" s="45" t="s">
        <v>69</v>
      </c>
      <c r="F4" s="45" t="s">
        <v>69</v>
      </c>
      <c r="G4" s="45" t="s">
        <v>69</v>
      </c>
      <c r="H4" s="45" t="s">
        <v>69</v>
      </c>
      <c r="I4" s="45" t="s">
        <v>69</v>
      </c>
      <c r="J4" s="45" t="s">
        <v>69</v>
      </c>
      <c r="K4" s="45" t="s">
        <v>69</v>
      </c>
      <c r="L4" s="45" t="s">
        <v>69</v>
      </c>
      <c r="M4" s="45" t="s">
        <v>69</v>
      </c>
      <c r="N4" s="45" t="s">
        <v>69</v>
      </c>
      <c r="O4" s="46" t="s">
        <v>442</v>
      </c>
      <c r="P4" s="46" t="s">
        <v>442</v>
      </c>
      <c r="Q4" s="46" t="s">
        <v>442</v>
      </c>
      <c r="R4" s="46" t="s">
        <v>442</v>
      </c>
      <c r="S4" s="46" t="s">
        <v>442</v>
      </c>
    </row>
    <row r="5" customFormat="false" ht="30" hidden="false" customHeight="true" outlineLevel="0" collapsed="false">
      <c r="A5" s="47" t="s">
        <v>1729</v>
      </c>
      <c r="B5" s="47" t="s">
        <v>443</v>
      </c>
      <c r="C5" s="47"/>
      <c r="D5" s="47"/>
      <c r="E5" s="47" t="s">
        <v>1730</v>
      </c>
      <c r="F5" s="47"/>
      <c r="G5" s="47"/>
      <c r="H5" s="47" t="s">
        <v>1731</v>
      </c>
      <c r="I5" s="47"/>
      <c r="J5" s="47" t="s">
        <v>1732</v>
      </c>
      <c r="K5" s="47"/>
      <c r="L5" s="47" t="s">
        <v>1733</v>
      </c>
      <c r="M5" s="47" t="s">
        <v>1734</v>
      </c>
      <c r="N5" s="47"/>
      <c r="O5" s="47"/>
      <c r="P5" s="47"/>
      <c r="Q5" s="47"/>
      <c r="R5" s="47"/>
      <c r="S5" s="47"/>
    </row>
    <row r="6" customFormat="false" ht="48" hidden="false" customHeight="true" outlineLevel="0" collapsed="false">
      <c r="A6" s="48" t="s">
        <v>1735</v>
      </c>
      <c r="B6" s="48" t="s">
        <v>1736</v>
      </c>
      <c r="C6" s="57" t="s">
        <v>538</v>
      </c>
      <c r="D6" s="48" t="s">
        <v>1737</v>
      </c>
      <c r="E6" s="48" t="s">
        <v>1738</v>
      </c>
      <c r="F6" s="48" t="s">
        <v>1739</v>
      </c>
      <c r="G6" s="48" t="s">
        <v>1740</v>
      </c>
      <c r="H6" s="48" t="s">
        <v>1741</v>
      </c>
      <c r="I6" s="48" t="s">
        <v>1695</v>
      </c>
      <c r="J6" s="48" t="s">
        <v>1742</v>
      </c>
      <c r="K6" s="48" t="s">
        <v>1743</v>
      </c>
      <c r="L6" s="48" t="s">
        <v>1744</v>
      </c>
      <c r="M6" s="48" t="s">
        <v>1745</v>
      </c>
      <c r="N6" s="48" t="s">
        <v>1746</v>
      </c>
      <c r="O6" s="49" t="s">
        <v>1747</v>
      </c>
      <c r="P6" s="49" t="s">
        <v>1748</v>
      </c>
      <c r="Q6" s="49" t="s">
        <v>1749</v>
      </c>
      <c r="R6" s="49" t="s">
        <v>1750</v>
      </c>
      <c r="S6" s="49" t="s">
        <v>560</v>
      </c>
    </row>
    <row r="7" customFormat="false" ht="23.85" hidden="false" customHeight="false" outlineLevel="0" collapsed="false">
      <c r="A7" s="50" t="s">
        <v>1751</v>
      </c>
      <c r="B7" s="50" t="s">
        <v>479</v>
      </c>
      <c r="C7" s="59" t="str">
        <f aca="false">IF(B7="","",IFERROR(INDEX(INV_NAME,MATCH(B7,INV_ID,0)),"CHECK: Supplier ID not found"))</f>
        <v>Northwind Cloud Hosting Ltd</v>
      </c>
      <c r="D7" s="34" t="s">
        <v>1752</v>
      </c>
      <c r="E7" s="34" t="s">
        <v>1753</v>
      </c>
      <c r="F7" s="34" t="s">
        <v>1754</v>
      </c>
      <c r="G7" s="34" t="s">
        <v>1755</v>
      </c>
      <c r="H7" s="34" t="s">
        <v>311</v>
      </c>
      <c r="I7" s="34" t="s">
        <v>1756</v>
      </c>
      <c r="J7" s="50" t="s">
        <v>348</v>
      </c>
      <c r="K7" s="34" t="s">
        <v>1757</v>
      </c>
      <c r="L7" s="50" t="s">
        <v>652</v>
      </c>
      <c r="M7" s="34" t="s">
        <v>312</v>
      </c>
      <c r="N7" s="34" t="s">
        <v>1758</v>
      </c>
      <c r="O7" s="62" t="n">
        <f aca="false">IF(OR(B7="",E7=""),0,IF(COUNTIFS($B$7:B7,B7,$E$7:E7,E7)=1,1,0))</f>
        <v>1</v>
      </c>
      <c r="P7" s="62" t="n">
        <f aca="false">IF(E7="",0,IF(COUNTIF($E$7:E7,E7)=1,1,0))</f>
        <v>1</v>
      </c>
      <c r="Q7" s="62" t="n">
        <f aca="false">IF(E7="",0,SUMIFS(DEP_FIRSTPAIR,DEP_P4,E7))</f>
        <v>3</v>
      </c>
      <c r="R7" s="54" t="str">
        <f aca="false">IF(A7="","",IF(E7="","No fourth party recorded",IF(Q7&gt;=SharedMin,"Shared dependency: "&amp;Q7&amp;" registered suppliers declare this provider (indicator only - not a risk conclusion)","Declared by one registered supplier")))</f>
        <v>Shared dependency: 3 registered suppliers declare this provider (indicator only - not a risk conclusion)</v>
      </c>
      <c r="S7" s="54" t="str">
        <f aca="false">IF(A7="","",IF(COUNTIF(DEP_ID,A7)&gt;1,"CHECK: duplicate ID",IF(B7="","CHECK: Supplier ID missing",IF(COUNTIF(INV_ID,B7)=0,"CHECK: Supplier ID not in inventory",IF(AND(L7&lt;&gt;"",COUNTIF(RSK_ID,L7)=0),"CHECK: Risk ID not found","OK")))))</f>
        <v>OK</v>
      </c>
    </row>
    <row r="8" customFormat="false" ht="23.85" hidden="false" customHeight="false" outlineLevel="0" collapsed="false">
      <c r="A8" s="50" t="s">
        <v>1759</v>
      </c>
      <c r="B8" s="50" t="s">
        <v>489</v>
      </c>
      <c r="C8" s="59" t="str">
        <f aca="false">IF(B8="","",IFERROR(INDEX(INV_NAME,MATCH(B8,INV_ID,0)),"CHECK: Supplier ID not found"))</f>
        <v>SupportLoop Ltd</v>
      </c>
      <c r="D8" s="34" t="s">
        <v>1760</v>
      </c>
      <c r="E8" s="34" t="s">
        <v>1753</v>
      </c>
      <c r="F8" s="34" t="s">
        <v>1754</v>
      </c>
      <c r="G8" s="34" t="s">
        <v>1755</v>
      </c>
      <c r="H8" s="34" t="s">
        <v>311</v>
      </c>
      <c r="I8" s="34" t="s">
        <v>1761</v>
      </c>
      <c r="J8" s="50" t="s">
        <v>168</v>
      </c>
      <c r="K8" s="34" t="s">
        <v>1762</v>
      </c>
      <c r="L8" s="50" t="s">
        <v>679</v>
      </c>
      <c r="M8" s="34" t="s">
        <v>312</v>
      </c>
      <c r="N8" s="34" t="s">
        <v>1763</v>
      </c>
      <c r="O8" s="62" t="n">
        <f aca="false">IF(OR(B8="",E8=""),0,IF(COUNTIFS($B$7:B8,B8,$E$7:E8,E8)=1,1,0))</f>
        <v>1</v>
      </c>
      <c r="P8" s="62" t="n">
        <f aca="false">IF(E8="",0,IF(COUNTIF($E$7:E8,E8)=1,1,0))</f>
        <v>0</v>
      </c>
      <c r="Q8" s="62" t="n">
        <f aca="false">IF(E8="",0,SUMIFS(DEP_FIRSTPAIR,DEP_P4,E8))</f>
        <v>3</v>
      </c>
      <c r="R8" s="54" t="str">
        <f aca="false">IF(A8="","",IF(E8="","No fourth party recorded",IF(Q8&gt;=SharedMin,"Shared dependency: "&amp;Q8&amp;" registered suppliers declare this provider (indicator only - not a risk conclusion)","Declared by one registered supplier")))</f>
        <v>Shared dependency: 3 registered suppliers declare this provider (indicator only - not a risk conclusion)</v>
      </c>
      <c r="S8" s="54" t="str">
        <f aca="false">IF(A8="","",IF(COUNTIF(DEP_ID,A8)&gt;1,"CHECK: duplicate ID",IF(B8="","CHECK: Supplier ID missing",IF(COUNTIF(INV_ID,B8)=0,"CHECK: Supplier ID not in inventory",IF(AND(L8&lt;&gt;"",COUNTIF(RSK_ID,L8)=0),"CHECK: Risk ID not found","OK")))))</f>
        <v>OK</v>
      </c>
    </row>
    <row r="9" customFormat="false" ht="23.85" hidden="false" customHeight="false" outlineLevel="0" collapsed="false">
      <c r="A9" s="50" t="s">
        <v>1764</v>
      </c>
      <c r="B9" s="50" t="s">
        <v>515</v>
      </c>
      <c r="C9" s="59" t="str">
        <f aca="false">IF(B9="","",IFERROR(INDEX(INV_NAME,MATCH(B9,INV_ID,0)),"CHECK: Supplier ID not found"))</f>
        <v>Datavault Backup Services Ltd</v>
      </c>
      <c r="D9" s="34" t="s">
        <v>1321</v>
      </c>
      <c r="E9" s="34" t="s">
        <v>1753</v>
      </c>
      <c r="F9" s="34" t="s">
        <v>1754</v>
      </c>
      <c r="G9" s="34" t="s">
        <v>1755</v>
      </c>
      <c r="H9" s="34" t="s">
        <v>311</v>
      </c>
      <c r="I9" s="34" t="s">
        <v>1765</v>
      </c>
      <c r="J9" s="50" t="s">
        <v>168</v>
      </c>
      <c r="K9" s="34" t="s">
        <v>1766</v>
      </c>
      <c r="L9" s="50" t="s">
        <v>702</v>
      </c>
      <c r="M9" s="34" t="s">
        <v>379</v>
      </c>
      <c r="N9" s="34" t="s">
        <v>1767</v>
      </c>
      <c r="O9" s="62" t="n">
        <f aca="false">IF(OR(B9="",E9=""),0,IF(COUNTIFS($B$7:B9,B9,$E$7:E9,E9)=1,1,0))</f>
        <v>1</v>
      </c>
      <c r="P9" s="62" t="n">
        <f aca="false">IF(E9="",0,IF(COUNTIF($E$7:E9,E9)=1,1,0))</f>
        <v>0</v>
      </c>
      <c r="Q9" s="62" t="n">
        <f aca="false">IF(E9="",0,SUMIFS(DEP_FIRSTPAIR,DEP_P4,E9))</f>
        <v>3</v>
      </c>
      <c r="R9" s="54" t="str">
        <f aca="false">IF(A9="","",IF(E9="","No fourth party recorded",IF(Q9&gt;=SharedMin,"Shared dependency: "&amp;Q9&amp;" registered suppliers declare this provider (indicator only - not a risk conclusion)","Declared by one registered supplier")))</f>
        <v>Shared dependency: 3 registered suppliers declare this provider (indicator only - not a risk conclusion)</v>
      </c>
      <c r="S9" s="54" t="str">
        <f aca="false">IF(A9="","",IF(COUNTIF(DEP_ID,A9)&gt;1,"CHECK: duplicate ID",IF(B9="","CHECK: Supplier ID missing",IF(COUNTIF(INV_ID,B9)=0,"CHECK: Supplier ID not in inventory",IF(AND(L9&lt;&gt;"",COUNTIF(RSK_ID,L9)=0),"CHECK: Risk ID not found","OK")))))</f>
        <v>OK</v>
      </c>
    </row>
    <row r="10" customFormat="false" ht="23.85" hidden="false" customHeight="false" outlineLevel="0" collapsed="false">
      <c r="A10" s="50" t="s">
        <v>1768</v>
      </c>
      <c r="B10" s="50" t="s">
        <v>479</v>
      </c>
      <c r="C10" s="59" t="str">
        <f aca="false">IF(B10="","",IFERROR(INDEX(INV_NAME,MATCH(B10,INV_ID,0)),"CHECK: Supplier ID not found"))</f>
        <v>Northwind Cloud Hosting Ltd</v>
      </c>
      <c r="D10" s="34" t="s">
        <v>1769</v>
      </c>
      <c r="E10" s="34" t="s">
        <v>1770</v>
      </c>
      <c r="F10" s="34" t="s">
        <v>1771</v>
      </c>
      <c r="G10" s="34" t="s">
        <v>1755</v>
      </c>
      <c r="H10" s="34" t="s">
        <v>398</v>
      </c>
      <c r="I10" s="34" t="s">
        <v>1772</v>
      </c>
      <c r="J10" s="50" t="s">
        <v>168</v>
      </c>
      <c r="K10" s="34" t="s">
        <v>1773</v>
      </c>
      <c r="L10" s="50" t="s">
        <v>633</v>
      </c>
      <c r="M10" s="34" t="s">
        <v>349</v>
      </c>
      <c r="N10" s="34"/>
      <c r="O10" s="62" t="n">
        <f aca="false">IF(OR(B10="",E10=""),0,IF(COUNTIFS($B$7:B10,B10,$E$7:E10,E10)=1,1,0))</f>
        <v>1</v>
      </c>
      <c r="P10" s="62" t="n">
        <f aca="false">IF(E10="",0,IF(COUNTIF($E$7:E10,E10)=1,1,0))</f>
        <v>1</v>
      </c>
      <c r="Q10" s="62" t="n">
        <f aca="false">IF(E10="",0,SUMIFS(DEP_FIRSTPAIR,DEP_P4,E10))</f>
        <v>1</v>
      </c>
      <c r="R10" s="54" t="str">
        <f aca="false">IF(A10="","",IF(E10="","No fourth party recorded",IF(Q10&gt;=SharedMin,"Shared dependency: "&amp;Q10&amp;" registered suppliers declare this provider (indicator only - not a risk conclusion)","Declared by one registered supplier")))</f>
        <v>Declared by one registered supplier</v>
      </c>
      <c r="S10" s="54" t="str">
        <f aca="false">IF(A10="","",IF(COUNTIF(DEP_ID,A10)&gt;1,"CHECK: duplicate ID",IF(B10="","CHECK: Supplier ID missing",IF(COUNTIF(INV_ID,B10)=0,"CHECK: Supplier ID not in inventory",IF(AND(L10&lt;&gt;"",COUNTIF(RSK_ID,L10)=0),"CHECK: Risk ID not found","OK")))))</f>
        <v>OK</v>
      </c>
    </row>
    <row r="11" customFormat="false" ht="23.85" hidden="false" customHeight="false" outlineLevel="0" collapsed="false">
      <c r="A11" s="50" t="s">
        <v>1774</v>
      </c>
      <c r="B11" s="50" t="s">
        <v>489</v>
      </c>
      <c r="C11" s="59" t="str">
        <f aca="false">IF(B11="","",IFERROR(INDEX(INV_NAME,MATCH(B11,INV_ID,0)),"CHECK: Supplier ID not found"))</f>
        <v>SupportLoop Ltd</v>
      </c>
      <c r="D11" s="34" t="s">
        <v>1775</v>
      </c>
      <c r="E11" s="34" t="s">
        <v>1776</v>
      </c>
      <c r="F11" s="34" t="s">
        <v>1777</v>
      </c>
      <c r="G11" s="34" t="s">
        <v>1778</v>
      </c>
      <c r="H11" s="34" t="s">
        <v>378</v>
      </c>
      <c r="I11" s="34" t="s">
        <v>1779</v>
      </c>
      <c r="J11" s="50" t="s">
        <v>273</v>
      </c>
      <c r="K11" s="34" t="s">
        <v>1780</v>
      </c>
      <c r="L11" s="50" t="s">
        <v>670</v>
      </c>
      <c r="M11" s="34" t="s">
        <v>312</v>
      </c>
      <c r="N11" s="34" t="s">
        <v>1781</v>
      </c>
      <c r="O11" s="62" t="n">
        <f aca="false">IF(OR(B11="",E11=""),0,IF(COUNTIFS($B$7:B11,B11,$E$7:E11,E11)=1,1,0))</f>
        <v>1</v>
      </c>
      <c r="P11" s="62" t="n">
        <f aca="false">IF(E11="",0,IF(COUNTIF($E$7:E11,E11)=1,1,0))</f>
        <v>1</v>
      </c>
      <c r="Q11" s="62" t="n">
        <f aca="false">IF(E11="",0,SUMIFS(DEP_FIRSTPAIR,DEP_P4,E11))</f>
        <v>1</v>
      </c>
      <c r="R11" s="54" t="str">
        <f aca="false">IF(A11="","",IF(E11="","No fourth party recorded",IF(Q11&gt;=SharedMin,"Shared dependency: "&amp;Q11&amp;" registered suppliers declare this provider (indicator only - not a risk conclusion)","Declared by one registered supplier")))</f>
        <v>Declared by one registered supplier</v>
      </c>
      <c r="S11" s="54" t="str">
        <f aca="false">IF(A11="","",IF(COUNTIF(DEP_ID,A11)&gt;1,"CHECK: duplicate ID",IF(B11="","CHECK: Supplier ID missing",IF(COUNTIF(INV_ID,B11)=0,"CHECK: Supplier ID not in inventory",IF(AND(L11&lt;&gt;"",COUNTIF(RSK_ID,L11)=0),"CHECK: Risk ID not found","OK")))))</f>
        <v>OK</v>
      </c>
    </row>
    <row r="12" customFormat="false" ht="15" hidden="false" customHeight="false" outlineLevel="0" collapsed="false">
      <c r="A12" s="50" t="s">
        <v>1782</v>
      </c>
      <c r="B12" s="50" t="s">
        <v>506</v>
      </c>
      <c r="C12" s="59" t="str">
        <f aca="false">IF(B12="","",IFERROR(INDEX(INV_NAME,MATCH(B12,INV_ID,0)),"CHECK: Supplier ID not found"))</f>
        <v>Cleanwell Facilities Ltd</v>
      </c>
      <c r="D12" s="34" t="s">
        <v>1783</v>
      </c>
      <c r="E12" s="34" t="s">
        <v>1784</v>
      </c>
      <c r="F12" s="34" t="s">
        <v>1785</v>
      </c>
      <c r="G12" s="34" t="s">
        <v>1755</v>
      </c>
      <c r="H12" s="34" t="s">
        <v>378</v>
      </c>
      <c r="I12" s="34" t="s">
        <v>1786</v>
      </c>
      <c r="J12" s="50" t="s">
        <v>273</v>
      </c>
      <c r="K12" s="34" t="s">
        <v>1787</v>
      </c>
      <c r="L12" s="50" t="s">
        <v>693</v>
      </c>
      <c r="M12" s="34" t="s">
        <v>349</v>
      </c>
      <c r="N12" s="34"/>
      <c r="O12" s="62" t="n">
        <f aca="false">IF(OR(B12="",E12=""),0,IF(COUNTIFS($B$7:B12,B12,$E$7:E12,E12)=1,1,0))</f>
        <v>1</v>
      </c>
      <c r="P12" s="62" t="n">
        <f aca="false">IF(E12="",0,IF(COUNTIF($E$7:E12,E12)=1,1,0))</f>
        <v>1</v>
      </c>
      <c r="Q12" s="62" t="n">
        <f aca="false">IF(E12="",0,SUMIFS(DEP_FIRSTPAIR,DEP_P4,E12))</f>
        <v>1</v>
      </c>
      <c r="R12" s="54" t="str">
        <f aca="false">IF(A12="","",IF(E12="","No fourth party recorded",IF(Q12&gt;=SharedMin,"Shared dependency: "&amp;Q12&amp;" registered suppliers declare this provider (indicator only - not a risk conclusion)","Declared by one registered supplier")))</f>
        <v>Declared by one registered supplier</v>
      </c>
      <c r="S12" s="54" t="str">
        <f aca="false">IF(A12="","",IF(COUNTIF(DEP_ID,A12)&gt;1,"CHECK: duplicate ID",IF(B12="","CHECK: Supplier ID missing",IF(COUNTIF(INV_ID,B12)=0,"CHECK: Supplier ID not in inventory",IF(AND(L12&lt;&gt;"",COUNTIF(RSK_ID,L12)=0),"CHECK: Risk ID not found","OK")))))</f>
        <v>OK</v>
      </c>
    </row>
    <row r="13" customFormat="false" ht="23.85" hidden="false" customHeight="false" outlineLevel="0" collapsed="false">
      <c r="A13" s="50" t="s">
        <v>1788</v>
      </c>
      <c r="B13" s="50" t="s">
        <v>515</v>
      </c>
      <c r="C13" s="59" t="str">
        <f aca="false">IF(B13="","",IFERROR(INDEX(INV_NAME,MATCH(B13,INV_ID,0)),"CHECK: Supplier ID not found"))</f>
        <v>Datavault Backup Services Ltd</v>
      </c>
      <c r="D13" s="34" t="s">
        <v>1789</v>
      </c>
      <c r="E13" s="34" t="s">
        <v>1790</v>
      </c>
      <c r="F13" s="34" t="s">
        <v>1791</v>
      </c>
      <c r="G13" s="34" t="s">
        <v>1778</v>
      </c>
      <c r="H13" s="34" t="s">
        <v>378</v>
      </c>
      <c r="I13" s="34" t="s">
        <v>1792</v>
      </c>
      <c r="J13" s="50" t="s">
        <v>168</v>
      </c>
      <c r="K13" s="34" t="s">
        <v>1762</v>
      </c>
      <c r="L13" s="50" t="s">
        <v>702</v>
      </c>
      <c r="M13" s="34" t="s">
        <v>274</v>
      </c>
      <c r="N13" s="34"/>
      <c r="O13" s="62" t="n">
        <f aca="false">IF(OR(B13="",E13=""),0,IF(COUNTIFS($B$7:B13,B13,$E$7:E13,E13)=1,1,0))</f>
        <v>1</v>
      </c>
      <c r="P13" s="62" t="n">
        <f aca="false">IF(E13="",0,IF(COUNTIF($E$7:E13,E13)=1,1,0))</f>
        <v>1</v>
      </c>
      <c r="Q13" s="62" t="n">
        <f aca="false">IF(E13="",0,SUMIFS(DEP_FIRSTPAIR,DEP_P4,E13))</f>
        <v>1</v>
      </c>
      <c r="R13" s="54" t="str">
        <f aca="false">IF(A13="","",IF(E13="","No fourth party recorded",IF(Q13&gt;=SharedMin,"Shared dependency: "&amp;Q13&amp;" registered suppliers declare this provider (indicator only - not a risk conclusion)","Declared by one registered supplier")))</f>
        <v>Declared by one registered supplier</v>
      </c>
      <c r="S13" s="54" t="str">
        <f aca="false">IF(A13="","",IF(COUNTIF(DEP_ID,A13)&gt;1,"CHECK: duplicate ID",IF(B13="","CHECK: Supplier ID missing",IF(COUNTIF(INV_ID,B13)=0,"CHECK: Supplier ID not in inventory",IF(AND(L13&lt;&gt;"",COUNTIF(RSK_ID,L13)=0),"CHECK: Risk ID not found","OK")))))</f>
        <v>OK</v>
      </c>
    </row>
    <row r="14" customFormat="false" ht="15" hidden="false" customHeight="false" outlineLevel="0" collapsed="false">
      <c r="A14" s="50"/>
      <c r="B14" s="50"/>
      <c r="C14" s="59" t="str">
        <f aca="false">IF(B14="","",IFERROR(INDEX(INV_NAME,MATCH(B14,INV_ID,0)),"CHECK: Supplier ID not found"))</f>
        <v/>
      </c>
      <c r="D14" s="34"/>
      <c r="E14" s="34"/>
      <c r="F14" s="34"/>
      <c r="G14" s="34"/>
      <c r="H14" s="34"/>
      <c r="I14" s="34"/>
      <c r="J14" s="50"/>
      <c r="K14" s="34"/>
      <c r="L14" s="50"/>
      <c r="M14" s="34"/>
      <c r="N14" s="34"/>
      <c r="O14" s="62" t="n">
        <f aca="false">IF(OR(B14="",E14=""),0,IF(COUNTIFS($B$7:B14,B14,$E$7:E14,E14)=1,1,0))</f>
        <v>0</v>
      </c>
      <c r="P14" s="62" t="n">
        <f aca="false">IF(E14="",0,IF(COUNTIF($E$7:E14,E14)=1,1,0))</f>
        <v>0</v>
      </c>
      <c r="Q14" s="62" t="n">
        <f aca="false">IF(E14="",0,SUMIFS(DEP_FIRSTPAIR,DEP_P4,E14))</f>
        <v>0</v>
      </c>
      <c r="R14" s="54" t="str">
        <f aca="false">IF(A14="","",IF(E14="","No fourth party recorded",IF(Q14&gt;=SharedMin,"Shared dependency: "&amp;Q14&amp;" registered suppliers declare this provider (indicator only - not a risk conclusion)","Declared by one registered supplier")))</f>
        <v/>
      </c>
      <c r="S14" s="54" t="str">
        <f aca="false">IF(A14="","",IF(COUNTIF(DEP_ID,A14)&gt;1,"CHECK: duplicate ID",IF(B14="","CHECK: Supplier ID missing",IF(COUNTIF(INV_ID,B14)=0,"CHECK: Supplier ID not in inventory",IF(AND(L14&lt;&gt;"",COUNTIF(RSK_ID,L14)=0),"CHECK: Risk ID not found","OK")))))</f>
        <v/>
      </c>
    </row>
    <row r="15" customFormat="false" ht="15" hidden="false" customHeight="false" outlineLevel="0" collapsed="false">
      <c r="A15" s="50"/>
      <c r="B15" s="50"/>
      <c r="C15" s="59" t="str">
        <f aca="false">IF(B15="","",IFERROR(INDEX(INV_NAME,MATCH(B15,INV_ID,0)),"CHECK: Supplier ID not found"))</f>
        <v/>
      </c>
      <c r="D15" s="34"/>
      <c r="E15" s="34"/>
      <c r="F15" s="34"/>
      <c r="G15" s="34"/>
      <c r="H15" s="34"/>
      <c r="I15" s="34"/>
      <c r="J15" s="50"/>
      <c r="K15" s="34"/>
      <c r="L15" s="50"/>
      <c r="M15" s="34"/>
      <c r="N15" s="34"/>
      <c r="O15" s="62" t="n">
        <f aca="false">IF(OR(B15="",E15=""),0,IF(COUNTIFS($B$7:B15,B15,$E$7:E15,E15)=1,1,0))</f>
        <v>0</v>
      </c>
      <c r="P15" s="62" t="n">
        <f aca="false">IF(E15="",0,IF(COUNTIF($E$7:E15,E15)=1,1,0))</f>
        <v>0</v>
      </c>
      <c r="Q15" s="62" t="n">
        <f aca="false">IF(E15="",0,SUMIFS(DEP_FIRSTPAIR,DEP_P4,E15))</f>
        <v>0</v>
      </c>
      <c r="R15" s="54" t="str">
        <f aca="false">IF(A15="","",IF(E15="","No fourth party recorded",IF(Q15&gt;=SharedMin,"Shared dependency: "&amp;Q15&amp;" registered suppliers declare this provider (indicator only - not a risk conclusion)","Declared by one registered supplier")))</f>
        <v/>
      </c>
      <c r="S15" s="54" t="str">
        <f aca="false">IF(A15="","",IF(COUNTIF(DEP_ID,A15)&gt;1,"CHECK: duplicate ID",IF(B15="","CHECK: Supplier ID missing",IF(COUNTIF(INV_ID,B15)=0,"CHECK: Supplier ID not in inventory",IF(AND(L15&lt;&gt;"",COUNTIF(RSK_ID,L15)=0),"CHECK: Risk ID not found","OK")))))</f>
        <v/>
      </c>
    </row>
    <row r="16" customFormat="false" ht="15" hidden="false" customHeight="false" outlineLevel="0" collapsed="false">
      <c r="A16" s="50"/>
      <c r="B16" s="50"/>
      <c r="C16" s="59" t="str">
        <f aca="false">IF(B16="","",IFERROR(INDEX(INV_NAME,MATCH(B16,INV_ID,0)),"CHECK: Supplier ID not found"))</f>
        <v/>
      </c>
      <c r="D16" s="34"/>
      <c r="E16" s="34"/>
      <c r="F16" s="34"/>
      <c r="G16" s="34"/>
      <c r="H16" s="34"/>
      <c r="I16" s="34"/>
      <c r="J16" s="50"/>
      <c r="K16" s="34"/>
      <c r="L16" s="50"/>
      <c r="M16" s="34"/>
      <c r="N16" s="34"/>
      <c r="O16" s="62" t="n">
        <f aca="false">IF(OR(B16="",E16=""),0,IF(COUNTIFS($B$7:B16,B16,$E$7:E16,E16)=1,1,0))</f>
        <v>0</v>
      </c>
      <c r="P16" s="62" t="n">
        <f aca="false">IF(E16="",0,IF(COUNTIF($E$7:E16,E16)=1,1,0))</f>
        <v>0</v>
      </c>
      <c r="Q16" s="62" t="n">
        <f aca="false">IF(E16="",0,SUMIFS(DEP_FIRSTPAIR,DEP_P4,E16))</f>
        <v>0</v>
      </c>
      <c r="R16" s="54" t="str">
        <f aca="false">IF(A16="","",IF(E16="","No fourth party recorded",IF(Q16&gt;=SharedMin,"Shared dependency: "&amp;Q16&amp;" registered suppliers declare this provider (indicator only - not a risk conclusion)","Declared by one registered supplier")))</f>
        <v/>
      </c>
      <c r="S16" s="54" t="str">
        <f aca="false">IF(A16="","",IF(COUNTIF(DEP_ID,A16)&gt;1,"CHECK: duplicate ID",IF(B16="","CHECK: Supplier ID missing",IF(COUNTIF(INV_ID,B16)=0,"CHECK: Supplier ID not in inventory",IF(AND(L16&lt;&gt;"",COUNTIF(RSK_ID,L16)=0),"CHECK: Risk ID not found","OK")))))</f>
        <v/>
      </c>
    </row>
    <row r="17" customFormat="false" ht="15" hidden="false" customHeight="false" outlineLevel="0" collapsed="false">
      <c r="A17" s="50"/>
      <c r="B17" s="50"/>
      <c r="C17" s="59" t="str">
        <f aca="false">IF(B17="","",IFERROR(INDEX(INV_NAME,MATCH(B17,INV_ID,0)),"CHECK: Supplier ID not found"))</f>
        <v/>
      </c>
      <c r="D17" s="34"/>
      <c r="E17" s="34"/>
      <c r="F17" s="34"/>
      <c r="G17" s="34"/>
      <c r="H17" s="34"/>
      <c r="I17" s="34"/>
      <c r="J17" s="50"/>
      <c r="K17" s="34"/>
      <c r="L17" s="50"/>
      <c r="M17" s="34"/>
      <c r="N17" s="34"/>
      <c r="O17" s="62" t="n">
        <f aca="false">IF(OR(B17="",E17=""),0,IF(COUNTIFS($B$7:B17,B17,$E$7:E17,E17)=1,1,0))</f>
        <v>0</v>
      </c>
      <c r="P17" s="62" t="n">
        <f aca="false">IF(E17="",0,IF(COUNTIF($E$7:E17,E17)=1,1,0))</f>
        <v>0</v>
      </c>
      <c r="Q17" s="62" t="n">
        <f aca="false">IF(E17="",0,SUMIFS(DEP_FIRSTPAIR,DEP_P4,E17))</f>
        <v>0</v>
      </c>
      <c r="R17" s="54" t="str">
        <f aca="false">IF(A17="","",IF(E17="","No fourth party recorded",IF(Q17&gt;=SharedMin,"Shared dependency: "&amp;Q17&amp;" registered suppliers declare this provider (indicator only - not a risk conclusion)","Declared by one registered supplier")))</f>
        <v/>
      </c>
      <c r="S17" s="54" t="str">
        <f aca="false">IF(A17="","",IF(COUNTIF(DEP_ID,A17)&gt;1,"CHECK: duplicate ID",IF(B17="","CHECK: Supplier ID missing",IF(COUNTIF(INV_ID,B17)=0,"CHECK: Supplier ID not in inventory",IF(AND(L17&lt;&gt;"",COUNTIF(RSK_ID,L17)=0),"CHECK: Risk ID not found","OK")))))</f>
        <v/>
      </c>
    </row>
    <row r="18" customFormat="false" ht="15" hidden="false" customHeight="false" outlineLevel="0" collapsed="false">
      <c r="A18" s="50"/>
      <c r="B18" s="50"/>
      <c r="C18" s="59" t="str">
        <f aca="false">IF(B18="","",IFERROR(INDEX(INV_NAME,MATCH(B18,INV_ID,0)),"CHECK: Supplier ID not found"))</f>
        <v/>
      </c>
      <c r="D18" s="34"/>
      <c r="E18" s="34"/>
      <c r="F18" s="34"/>
      <c r="G18" s="34"/>
      <c r="H18" s="34"/>
      <c r="I18" s="34"/>
      <c r="J18" s="50"/>
      <c r="K18" s="34"/>
      <c r="L18" s="50"/>
      <c r="M18" s="34"/>
      <c r="N18" s="34"/>
      <c r="O18" s="62" t="n">
        <f aca="false">IF(OR(B18="",E18=""),0,IF(COUNTIFS($B$7:B18,B18,$E$7:E18,E18)=1,1,0))</f>
        <v>0</v>
      </c>
      <c r="P18" s="62" t="n">
        <f aca="false">IF(E18="",0,IF(COUNTIF($E$7:E18,E18)=1,1,0))</f>
        <v>0</v>
      </c>
      <c r="Q18" s="62" t="n">
        <f aca="false">IF(E18="",0,SUMIFS(DEP_FIRSTPAIR,DEP_P4,E18))</f>
        <v>0</v>
      </c>
      <c r="R18" s="54" t="str">
        <f aca="false">IF(A18="","",IF(E18="","No fourth party recorded",IF(Q18&gt;=SharedMin,"Shared dependency: "&amp;Q18&amp;" registered suppliers declare this provider (indicator only - not a risk conclusion)","Declared by one registered supplier")))</f>
        <v/>
      </c>
      <c r="S18" s="54" t="str">
        <f aca="false">IF(A18="","",IF(COUNTIF(DEP_ID,A18)&gt;1,"CHECK: duplicate ID",IF(B18="","CHECK: Supplier ID missing",IF(COUNTIF(INV_ID,B18)=0,"CHECK: Supplier ID not in inventory",IF(AND(L18&lt;&gt;"",COUNTIF(RSK_ID,L18)=0),"CHECK: Risk ID not found","OK")))))</f>
        <v/>
      </c>
    </row>
    <row r="19" customFormat="false" ht="15" hidden="false" customHeight="false" outlineLevel="0" collapsed="false">
      <c r="A19" s="50"/>
      <c r="B19" s="50"/>
      <c r="C19" s="59" t="str">
        <f aca="false">IF(B19="","",IFERROR(INDEX(INV_NAME,MATCH(B19,INV_ID,0)),"CHECK: Supplier ID not found"))</f>
        <v/>
      </c>
      <c r="D19" s="34"/>
      <c r="E19" s="34"/>
      <c r="F19" s="34"/>
      <c r="G19" s="34"/>
      <c r="H19" s="34"/>
      <c r="I19" s="34"/>
      <c r="J19" s="50"/>
      <c r="K19" s="34"/>
      <c r="L19" s="50"/>
      <c r="M19" s="34"/>
      <c r="N19" s="34"/>
      <c r="O19" s="62" t="n">
        <f aca="false">IF(OR(B19="",E19=""),0,IF(COUNTIFS($B$7:B19,B19,$E$7:E19,E19)=1,1,0))</f>
        <v>0</v>
      </c>
      <c r="P19" s="62" t="n">
        <f aca="false">IF(E19="",0,IF(COUNTIF($E$7:E19,E19)=1,1,0))</f>
        <v>0</v>
      </c>
      <c r="Q19" s="62" t="n">
        <f aca="false">IF(E19="",0,SUMIFS(DEP_FIRSTPAIR,DEP_P4,E19))</f>
        <v>0</v>
      </c>
      <c r="R19" s="54" t="str">
        <f aca="false">IF(A19="","",IF(E19="","No fourth party recorded",IF(Q19&gt;=SharedMin,"Shared dependency: "&amp;Q19&amp;" registered suppliers declare this provider (indicator only - not a risk conclusion)","Declared by one registered supplier")))</f>
        <v/>
      </c>
      <c r="S19" s="54" t="str">
        <f aca="false">IF(A19="","",IF(COUNTIF(DEP_ID,A19)&gt;1,"CHECK: duplicate ID",IF(B19="","CHECK: Supplier ID missing",IF(COUNTIF(INV_ID,B19)=0,"CHECK: Supplier ID not in inventory",IF(AND(L19&lt;&gt;"",COUNTIF(RSK_ID,L19)=0),"CHECK: Risk ID not found","OK")))))</f>
        <v/>
      </c>
    </row>
    <row r="20" customFormat="false" ht="15" hidden="false" customHeight="false" outlineLevel="0" collapsed="false">
      <c r="A20" s="50"/>
      <c r="B20" s="50"/>
      <c r="C20" s="59" t="str">
        <f aca="false">IF(B20="","",IFERROR(INDEX(INV_NAME,MATCH(B20,INV_ID,0)),"CHECK: Supplier ID not found"))</f>
        <v/>
      </c>
      <c r="D20" s="34"/>
      <c r="E20" s="34"/>
      <c r="F20" s="34"/>
      <c r="G20" s="34"/>
      <c r="H20" s="34"/>
      <c r="I20" s="34"/>
      <c r="J20" s="50"/>
      <c r="K20" s="34"/>
      <c r="L20" s="50"/>
      <c r="M20" s="34"/>
      <c r="N20" s="34"/>
      <c r="O20" s="62" t="n">
        <f aca="false">IF(OR(B20="",E20=""),0,IF(COUNTIFS($B$7:B20,B20,$E$7:E20,E20)=1,1,0))</f>
        <v>0</v>
      </c>
      <c r="P20" s="62" t="n">
        <f aca="false">IF(E20="",0,IF(COUNTIF($E$7:E20,E20)=1,1,0))</f>
        <v>0</v>
      </c>
      <c r="Q20" s="62" t="n">
        <f aca="false">IF(E20="",0,SUMIFS(DEP_FIRSTPAIR,DEP_P4,E20))</f>
        <v>0</v>
      </c>
      <c r="R20" s="54" t="str">
        <f aca="false">IF(A20="","",IF(E20="","No fourth party recorded",IF(Q20&gt;=SharedMin,"Shared dependency: "&amp;Q20&amp;" registered suppliers declare this provider (indicator only - not a risk conclusion)","Declared by one registered supplier")))</f>
        <v/>
      </c>
      <c r="S20" s="54" t="str">
        <f aca="false">IF(A20="","",IF(COUNTIF(DEP_ID,A20)&gt;1,"CHECK: duplicate ID",IF(B20="","CHECK: Supplier ID missing",IF(COUNTIF(INV_ID,B20)=0,"CHECK: Supplier ID not in inventory",IF(AND(L20&lt;&gt;"",COUNTIF(RSK_ID,L20)=0),"CHECK: Risk ID not found","OK")))))</f>
        <v/>
      </c>
    </row>
    <row r="21" customFormat="false" ht="15" hidden="false" customHeight="false" outlineLevel="0" collapsed="false">
      <c r="A21" s="50"/>
      <c r="B21" s="50"/>
      <c r="C21" s="59" t="str">
        <f aca="false">IF(B21="","",IFERROR(INDEX(INV_NAME,MATCH(B21,INV_ID,0)),"CHECK: Supplier ID not found"))</f>
        <v/>
      </c>
      <c r="D21" s="34"/>
      <c r="E21" s="34"/>
      <c r="F21" s="34"/>
      <c r="G21" s="34"/>
      <c r="H21" s="34"/>
      <c r="I21" s="34"/>
      <c r="J21" s="50"/>
      <c r="K21" s="34"/>
      <c r="L21" s="50"/>
      <c r="M21" s="34"/>
      <c r="N21" s="34"/>
      <c r="O21" s="62" t="n">
        <f aca="false">IF(OR(B21="",E21=""),0,IF(COUNTIFS($B$7:B21,B21,$E$7:E21,E21)=1,1,0))</f>
        <v>0</v>
      </c>
      <c r="P21" s="62" t="n">
        <f aca="false">IF(E21="",0,IF(COUNTIF($E$7:E21,E21)=1,1,0))</f>
        <v>0</v>
      </c>
      <c r="Q21" s="62" t="n">
        <f aca="false">IF(E21="",0,SUMIFS(DEP_FIRSTPAIR,DEP_P4,E21))</f>
        <v>0</v>
      </c>
      <c r="R21" s="54" t="str">
        <f aca="false">IF(A21="","",IF(E21="","No fourth party recorded",IF(Q21&gt;=SharedMin,"Shared dependency: "&amp;Q21&amp;" registered suppliers declare this provider (indicator only - not a risk conclusion)","Declared by one registered supplier")))</f>
        <v/>
      </c>
      <c r="S21" s="54" t="str">
        <f aca="false">IF(A21="","",IF(COUNTIF(DEP_ID,A21)&gt;1,"CHECK: duplicate ID",IF(B21="","CHECK: Supplier ID missing",IF(COUNTIF(INV_ID,B21)=0,"CHECK: Supplier ID not in inventory",IF(AND(L21&lt;&gt;"",COUNTIF(RSK_ID,L21)=0),"CHECK: Risk ID not found","OK")))))</f>
        <v/>
      </c>
    </row>
    <row r="22" customFormat="false" ht="15" hidden="false" customHeight="false" outlineLevel="0" collapsed="false">
      <c r="A22" s="50"/>
      <c r="B22" s="50"/>
      <c r="C22" s="59" t="str">
        <f aca="false">IF(B22="","",IFERROR(INDEX(INV_NAME,MATCH(B22,INV_ID,0)),"CHECK: Supplier ID not found"))</f>
        <v/>
      </c>
      <c r="D22" s="34"/>
      <c r="E22" s="34"/>
      <c r="F22" s="34"/>
      <c r="G22" s="34"/>
      <c r="H22" s="34"/>
      <c r="I22" s="34"/>
      <c r="J22" s="50"/>
      <c r="K22" s="34"/>
      <c r="L22" s="50"/>
      <c r="M22" s="34"/>
      <c r="N22" s="34"/>
      <c r="O22" s="62" t="n">
        <f aca="false">IF(OR(B22="",E22=""),0,IF(COUNTIFS($B$7:B22,B22,$E$7:E22,E22)=1,1,0))</f>
        <v>0</v>
      </c>
      <c r="P22" s="62" t="n">
        <f aca="false">IF(E22="",0,IF(COUNTIF($E$7:E22,E22)=1,1,0))</f>
        <v>0</v>
      </c>
      <c r="Q22" s="62" t="n">
        <f aca="false">IF(E22="",0,SUMIFS(DEP_FIRSTPAIR,DEP_P4,E22))</f>
        <v>0</v>
      </c>
      <c r="R22" s="54" t="str">
        <f aca="false">IF(A22="","",IF(E22="","No fourth party recorded",IF(Q22&gt;=SharedMin,"Shared dependency: "&amp;Q22&amp;" registered suppliers declare this provider (indicator only - not a risk conclusion)","Declared by one registered supplier")))</f>
        <v/>
      </c>
      <c r="S22" s="54" t="str">
        <f aca="false">IF(A22="","",IF(COUNTIF(DEP_ID,A22)&gt;1,"CHECK: duplicate ID",IF(B22="","CHECK: Supplier ID missing",IF(COUNTIF(INV_ID,B22)=0,"CHECK: Supplier ID not in inventory",IF(AND(L22&lt;&gt;"",COUNTIF(RSK_ID,L22)=0),"CHECK: Risk ID not found","OK")))))</f>
        <v/>
      </c>
    </row>
    <row r="23" customFormat="false" ht="15" hidden="false" customHeight="false" outlineLevel="0" collapsed="false">
      <c r="A23" s="50"/>
      <c r="B23" s="50"/>
      <c r="C23" s="59" t="str">
        <f aca="false">IF(B23="","",IFERROR(INDEX(INV_NAME,MATCH(B23,INV_ID,0)),"CHECK: Supplier ID not found"))</f>
        <v/>
      </c>
      <c r="D23" s="34"/>
      <c r="E23" s="34"/>
      <c r="F23" s="34"/>
      <c r="G23" s="34"/>
      <c r="H23" s="34"/>
      <c r="I23" s="34"/>
      <c r="J23" s="50"/>
      <c r="K23" s="34"/>
      <c r="L23" s="50"/>
      <c r="M23" s="34"/>
      <c r="N23" s="34"/>
      <c r="O23" s="62" t="n">
        <f aca="false">IF(OR(B23="",E23=""),0,IF(COUNTIFS($B$7:B23,B23,$E$7:E23,E23)=1,1,0))</f>
        <v>0</v>
      </c>
      <c r="P23" s="62" t="n">
        <f aca="false">IF(E23="",0,IF(COUNTIF($E$7:E23,E23)=1,1,0))</f>
        <v>0</v>
      </c>
      <c r="Q23" s="62" t="n">
        <f aca="false">IF(E23="",0,SUMIFS(DEP_FIRSTPAIR,DEP_P4,E23))</f>
        <v>0</v>
      </c>
      <c r="R23" s="54" t="str">
        <f aca="false">IF(A23="","",IF(E23="","No fourth party recorded",IF(Q23&gt;=SharedMin,"Shared dependency: "&amp;Q23&amp;" registered suppliers declare this provider (indicator only - not a risk conclusion)","Declared by one registered supplier")))</f>
        <v/>
      </c>
      <c r="S23" s="54" t="str">
        <f aca="false">IF(A23="","",IF(COUNTIF(DEP_ID,A23)&gt;1,"CHECK: duplicate ID",IF(B23="","CHECK: Supplier ID missing",IF(COUNTIF(INV_ID,B23)=0,"CHECK: Supplier ID not in inventory",IF(AND(L23&lt;&gt;"",COUNTIF(RSK_ID,L23)=0),"CHECK: Risk ID not found","OK")))))</f>
        <v/>
      </c>
    </row>
    <row r="24" customFormat="false" ht="15" hidden="false" customHeight="false" outlineLevel="0" collapsed="false">
      <c r="A24" s="50"/>
      <c r="B24" s="50"/>
      <c r="C24" s="59" t="str">
        <f aca="false">IF(B24="","",IFERROR(INDEX(INV_NAME,MATCH(B24,INV_ID,0)),"CHECK: Supplier ID not found"))</f>
        <v/>
      </c>
      <c r="D24" s="34"/>
      <c r="E24" s="34"/>
      <c r="F24" s="34"/>
      <c r="G24" s="34"/>
      <c r="H24" s="34"/>
      <c r="I24" s="34"/>
      <c r="J24" s="50"/>
      <c r="K24" s="34"/>
      <c r="L24" s="50"/>
      <c r="M24" s="34"/>
      <c r="N24" s="34"/>
      <c r="O24" s="62" t="n">
        <f aca="false">IF(OR(B24="",E24=""),0,IF(COUNTIFS($B$7:B24,B24,$E$7:E24,E24)=1,1,0))</f>
        <v>0</v>
      </c>
      <c r="P24" s="62" t="n">
        <f aca="false">IF(E24="",0,IF(COUNTIF($E$7:E24,E24)=1,1,0))</f>
        <v>0</v>
      </c>
      <c r="Q24" s="62" t="n">
        <f aca="false">IF(E24="",0,SUMIFS(DEP_FIRSTPAIR,DEP_P4,E24))</f>
        <v>0</v>
      </c>
      <c r="R24" s="54" t="str">
        <f aca="false">IF(A24="","",IF(E24="","No fourth party recorded",IF(Q24&gt;=SharedMin,"Shared dependency: "&amp;Q24&amp;" registered suppliers declare this provider (indicator only - not a risk conclusion)","Declared by one registered supplier")))</f>
        <v/>
      </c>
      <c r="S24" s="54" t="str">
        <f aca="false">IF(A24="","",IF(COUNTIF(DEP_ID,A24)&gt;1,"CHECK: duplicate ID",IF(B24="","CHECK: Supplier ID missing",IF(COUNTIF(INV_ID,B24)=0,"CHECK: Supplier ID not in inventory",IF(AND(L24&lt;&gt;"",COUNTIF(RSK_ID,L24)=0),"CHECK: Risk ID not found","OK")))))</f>
        <v/>
      </c>
    </row>
    <row r="25" customFormat="false" ht="15" hidden="false" customHeight="false" outlineLevel="0" collapsed="false">
      <c r="A25" s="50"/>
      <c r="B25" s="50"/>
      <c r="C25" s="59" t="str">
        <f aca="false">IF(B25="","",IFERROR(INDEX(INV_NAME,MATCH(B25,INV_ID,0)),"CHECK: Supplier ID not found"))</f>
        <v/>
      </c>
      <c r="D25" s="34"/>
      <c r="E25" s="34"/>
      <c r="F25" s="34"/>
      <c r="G25" s="34"/>
      <c r="H25" s="34"/>
      <c r="I25" s="34"/>
      <c r="J25" s="50"/>
      <c r="K25" s="34"/>
      <c r="L25" s="50"/>
      <c r="M25" s="34"/>
      <c r="N25" s="34"/>
      <c r="O25" s="62" t="n">
        <f aca="false">IF(OR(B25="",E25=""),0,IF(COUNTIFS($B$7:B25,B25,$E$7:E25,E25)=1,1,0))</f>
        <v>0</v>
      </c>
      <c r="P25" s="62" t="n">
        <f aca="false">IF(E25="",0,IF(COUNTIF($E$7:E25,E25)=1,1,0))</f>
        <v>0</v>
      </c>
      <c r="Q25" s="62" t="n">
        <f aca="false">IF(E25="",0,SUMIFS(DEP_FIRSTPAIR,DEP_P4,E25))</f>
        <v>0</v>
      </c>
      <c r="R25" s="54" t="str">
        <f aca="false">IF(A25="","",IF(E25="","No fourth party recorded",IF(Q25&gt;=SharedMin,"Shared dependency: "&amp;Q25&amp;" registered suppliers declare this provider (indicator only - not a risk conclusion)","Declared by one registered supplier")))</f>
        <v/>
      </c>
      <c r="S25" s="54" t="str">
        <f aca="false">IF(A25="","",IF(COUNTIF(DEP_ID,A25)&gt;1,"CHECK: duplicate ID",IF(B25="","CHECK: Supplier ID missing",IF(COUNTIF(INV_ID,B25)=0,"CHECK: Supplier ID not in inventory",IF(AND(L25&lt;&gt;"",COUNTIF(RSK_ID,L25)=0),"CHECK: Risk ID not found","OK")))))</f>
        <v/>
      </c>
    </row>
    <row r="26" customFormat="false" ht="15" hidden="false" customHeight="false" outlineLevel="0" collapsed="false">
      <c r="A26" s="50"/>
      <c r="B26" s="50"/>
      <c r="C26" s="59" t="str">
        <f aca="false">IF(B26="","",IFERROR(INDEX(INV_NAME,MATCH(B26,INV_ID,0)),"CHECK: Supplier ID not found"))</f>
        <v/>
      </c>
      <c r="D26" s="34"/>
      <c r="E26" s="34"/>
      <c r="F26" s="34"/>
      <c r="G26" s="34"/>
      <c r="H26" s="34"/>
      <c r="I26" s="34"/>
      <c r="J26" s="50"/>
      <c r="K26" s="34"/>
      <c r="L26" s="50"/>
      <c r="M26" s="34"/>
      <c r="N26" s="34"/>
      <c r="O26" s="62" t="n">
        <f aca="false">IF(OR(B26="",E26=""),0,IF(COUNTIFS($B$7:B26,B26,$E$7:E26,E26)=1,1,0))</f>
        <v>0</v>
      </c>
      <c r="P26" s="62" t="n">
        <f aca="false">IF(E26="",0,IF(COUNTIF($E$7:E26,E26)=1,1,0))</f>
        <v>0</v>
      </c>
      <c r="Q26" s="62" t="n">
        <f aca="false">IF(E26="",0,SUMIFS(DEP_FIRSTPAIR,DEP_P4,E26))</f>
        <v>0</v>
      </c>
      <c r="R26" s="54" t="str">
        <f aca="false">IF(A26="","",IF(E26="","No fourth party recorded",IF(Q26&gt;=SharedMin,"Shared dependency: "&amp;Q26&amp;" registered suppliers declare this provider (indicator only - not a risk conclusion)","Declared by one registered supplier")))</f>
        <v/>
      </c>
      <c r="S26" s="54" t="str">
        <f aca="false">IF(A26="","",IF(COUNTIF(DEP_ID,A26)&gt;1,"CHECK: duplicate ID",IF(B26="","CHECK: Supplier ID missing",IF(COUNTIF(INV_ID,B26)=0,"CHECK: Supplier ID not in inventory",IF(AND(L26&lt;&gt;"",COUNTIF(RSK_ID,L26)=0),"CHECK: Risk ID not found","OK")))))</f>
        <v/>
      </c>
    </row>
    <row r="27" customFormat="false" ht="15" hidden="false" customHeight="false" outlineLevel="0" collapsed="false">
      <c r="A27" s="50"/>
      <c r="B27" s="50"/>
      <c r="C27" s="59" t="str">
        <f aca="false">IF(B27="","",IFERROR(INDEX(INV_NAME,MATCH(B27,INV_ID,0)),"CHECK: Supplier ID not found"))</f>
        <v/>
      </c>
      <c r="D27" s="34"/>
      <c r="E27" s="34"/>
      <c r="F27" s="34"/>
      <c r="G27" s="34"/>
      <c r="H27" s="34"/>
      <c r="I27" s="34"/>
      <c r="J27" s="50"/>
      <c r="K27" s="34"/>
      <c r="L27" s="50"/>
      <c r="M27" s="34"/>
      <c r="N27" s="34"/>
      <c r="O27" s="62" t="n">
        <f aca="false">IF(OR(B27="",E27=""),0,IF(COUNTIFS($B$7:B27,B27,$E$7:E27,E27)=1,1,0))</f>
        <v>0</v>
      </c>
      <c r="P27" s="62" t="n">
        <f aca="false">IF(E27="",0,IF(COUNTIF($E$7:E27,E27)=1,1,0))</f>
        <v>0</v>
      </c>
      <c r="Q27" s="62" t="n">
        <f aca="false">IF(E27="",0,SUMIFS(DEP_FIRSTPAIR,DEP_P4,E27))</f>
        <v>0</v>
      </c>
      <c r="R27" s="54" t="str">
        <f aca="false">IF(A27="","",IF(E27="","No fourth party recorded",IF(Q27&gt;=SharedMin,"Shared dependency: "&amp;Q27&amp;" registered suppliers declare this provider (indicator only - not a risk conclusion)","Declared by one registered supplier")))</f>
        <v/>
      </c>
      <c r="S27" s="54" t="str">
        <f aca="false">IF(A27="","",IF(COUNTIF(DEP_ID,A27)&gt;1,"CHECK: duplicate ID",IF(B27="","CHECK: Supplier ID missing",IF(COUNTIF(INV_ID,B27)=0,"CHECK: Supplier ID not in inventory",IF(AND(L27&lt;&gt;"",COUNTIF(RSK_ID,L27)=0),"CHECK: Risk ID not found","OK")))))</f>
        <v/>
      </c>
    </row>
    <row r="28" customFormat="false" ht="15" hidden="false" customHeight="false" outlineLevel="0" collapsed="false">
      <c r="A28" s="50"/>
      <c r="B28" s="50"/>
      <c r="C28" s="59" t="str">
        <f aca="false">IF(B28="","",IFERROR(INDEX(INV_NAME,MATCH(B28,INV_ID,0)),"CHECK: Supplier ID not found"))</f>
        <v/>
      </c>
      <c r="D28" s="34"/>
      <c r="E28" s="34"/>
      <c r="F28" s="34"/>
      <c r="G28" s="34"/>
      <c r="H28" s="34"/>
      <c r="I28" s="34"/>
      <c r="J28" s="50"/>
      <c r="K28" s="34"/>
      <c r="L28" s="50"/>
      <c r="M28" s="34"/>
      <c r="N28" s="34"/>
      <c r="O28" s="62" t="n">
        <f aca="false">IF(OR(B28="",E28=""),0,IF(COUNTIFS($B$7:B28,B28,$E$7:E28,E28)=1,1,0))</f>
        <v>0</v>
      </c>
      <c r="P28" s="62" t="n">
        <f aca="false">IF(E28="",0,IF(COUNTIF($E$7:E28,E28)=1,1,0))</f>
        <v>0</v>
      </c>
      <c r="Q28" s="62" t="n">
        <f aca="false">IF(E28="",0,SUMIFS(DEP_FIRSTPAIR,DEP_P4,E28))</f>
        <v>0</v>
      </c>
      <c r="R28" s="54" t="str">
        <f aca="false">IF(A28="","",IF(E28="","No fourth party recorded",IF(Q28&gt;=SharedMin,"Shared dependency: "&amp;Q28&amp;" registered suppliers declare this provider (indicator only - not a risk conclusion)","Declared by one registered supplier")))</f>
        <v/>
      </c>
      <c r="S28" s="54" t="str">
        <f aca="false">IF(A28="","",IF(COUNTIF(DEP_ID,A28)&gt;1,"CHECK: duplicate ID",IF(B28="","CHECK: Supplier ID missing",IF(COUNTIF(INV_ID,B28)=0,"CHECK: Supplier ID not in inventory",IF(AND(L28&lt;&gt;"",COUNTIF(RSK_ID,L28)=0),"CHECK: Risk ID not found","OK")))))</f>
        <v/>
      </c>
    </row>
    <row r="29" customFormat="false" ht="15" hidden="false" customHeight="false" outlineLevel="0" collapsed="false">
      <c r="A29" s="50"/>
      <c r="B29" s="50"/>
      <c r="C29" s="59" t="str">
        <f aca="false">IF(B29="","",IFERROR(INDEX(INV_NAME,MATCH(B29,INV_ID,0)),"CHECK: Supplier ID not found"))</f>
        <v/>
      </c>
      <c r="D29" s="34"/>
      <c r="E29" s="34"/>
      <c r="F29" s="34"/>
      <c r="G29" s="34"/>
      <c r="H29" s="34"/>
      <c r="I29" s="34"/>
      <c r="J29" s="50"/>
      <c r="K29" s="34"/>
      <c r="L29" s="50"/>
      <c r="M29" s="34"/>
      <c r="N29" s="34"/>
      <c r="O29" s="62" t="n">
        <f aca="false">IF(OR(B29="",E29=""),0,IF(COUNTIFS($B$7:B29,B29,$E$7:E29,E29)=1,1,0))</f>
        <v>0</v>
      </c>
      <c r="P29" s="62" t="n">
        <f aca="false">IF(E29="",0,IF(COUNTIF($E$7:E29,E29)=1,1,0))</f>
        <v>0</v>
      </c>
      <c r="Q29" s="62" t="n">
        <f aca="false">IF(E29="",0,SUMIFS(DEP_FIRSTPAIR,DEP_P4,E29))</f>
        <v>0</v>
      </c>
      <c r="R29" s="54" t="str">
        <f aca="false">IF(A29="","",IF(E29="","No fourth party recorded",IF(Q29&gt;=SharedMin,"Shared dependency: "&amp;Q29&amp;" registered suppliers declare this provider (indicator only - not a risk conclusion)","Declared by one registered supplier")))</f>
        <v/>
      </c>
      <c r="S29" s="54" t="str">
        <f aca="false">IF(A29="","",IF(COUNTIF(DEP_ID,A29)&gt;1,"CHECK: duplicate ID",IF(B29="","CHECK: Supplier ID missing",IF(COUNTIF(INV_ID,B29)=0,"CHECK: Supplier ID not in inventory",IF(AND(L29&lt;&gt;"",COUNTIF(RSK_ID,L29)=0),"CHECK: Risk ID not found","OK")))))</f>
        <v/>
      </c>
    </row>
    <row r="30" customFormat="false" ht="15" hidden="false" customHeight="false" outlineLevel="0" collapsed="false">
      <c r="A30" s="50"/>
      <c r="B30" s="50"/>
      <c r="C30" s="59" t="str">
        <f aca="false">IF(B30="","",IFERROR(INDEX(INV_NAME,MATCH(B30,INV_ID,0)),"CHECK: Supplier ID not found"))</f>
        <v/>
      </c>
      <c r="D30" s="34"/>
      <c r="E30" s="34"/>
      <c r="F30" s="34"/>
      <c r="G30" s="34"/>
      <c r="H30" s="34"/>
      <c r="I30" s="34"/>
      <c r="J30" s="50"/>
      <c r="K30" s="34"/>
      <c r="L30" s="50"/>
      <c r="M30" s="34"/>
      <c r="N30" s="34"/>
      <c r="O30" s="62" t="n">
        <f aca="false">IF(OR(B30="",E30=""),0,IF(COUNTIFS($B$7:B30,B30,$E$7:E30,E30)=1,1,0))</f>
        <v>0</v>
      </c>
      <c r="P30" s="62" t="n">
        <f aca="false">IF(E30="",0,IF(COUNTIF($E$7:E30,E30)=1,1,0))</f>
        <v>0</v>
      </c>
      <c r="Q30" s="62" t="n">
        <f aca="false">IF(E30="",0,SUMIFS(DEP_FIRSTPAIR,DEP_P4,E30))</f>
        <v>0</v>
      </c>
      <c r="R30" s="54" t="str">
        <f aca="false">IF(A30="","",IF(E30="","No fourth party recorded",IF(Q30&gt;=SharedMin,"Shared dependency: "&amp;Q30&amp;" registered suppliers declare this provider (indicator only - not a risk conclusion)","Declared by one registered supplier")))</f>
        <v/>
      </c>
      <c r="S30" s="54" t="str">
        <f aca="false">IF(A30="","",IF(COUNTIF(DEP_ID,A30)&gt;1,"CHECK: duplicate ID",IF(B30="","CHECK: Supplier ID missing",IF(COUNTIF(INV_ID,B30)=0,"CHECK: Supplier ID not in inventory",IF(AND(L30&lt;&gt;"",COUNTIF(RSK_ID,L30)=0),"CHECK: Risk ID not found","OK")))))</f>
        <v/>
      </c>
    </row>
    <row r="31" customFormat="false" ht="15" hidden="false" customHeight="false" outlineLevel="0" collapsed="false">
      <c r="A31" s="50"/>
      <c r="B31" s="50"/>
      <c r="C31" s="59" t="str">
        <f aca="false">IF(B31="","",IFERROR(INDEX(INV_NAME,MATCH(B31,INV_ID,0)),"CHECK: Supplier ID not found"))</f>
        <v/>
      </c>
      <c r="D31" s="34"/>
      <c r="E31" s="34"/>
      <c r="F31" s="34"/>
      <c r="G31" s="34"/>
      <c r="H31" s="34"/>
      <c r="I31" s="34"/>
      <c r="J31" s="50"/>
      <c r="K31" s="34"/>
      <c r="L31" s="50"/>
      <c r="M31" s="34"/>
      <c r="N31" s="34"/>
      <c r="O31" s="62" t="n">
        <f aca="false">IF(OR(B31="",E31=""),0,IF(COUNTIFS($B$7:B31,B31,$E$7:E31,E31)=1,1,0))</f>
        <v>0</v>
      </c>
      <c r="P31" s="62" t="n">
        <f aca="false">IF(E31="",0,IF(COUNTIF($E$7:E31,E31)=1,1,0))</f>
        <v>0</v>
      </c>
      <c r="Q31" s="62" t="n">
        <f aca="false">IF(E31="",0,SUMIFS(DEP_FIRSTPAIR,DEP_P4,E31))</f>
        <v>0</v>
      </c>
      <c r="R31" s="54" t="str">
        <f aca="false">IF(A31="","",IF(E31="","No fourth party recorded",IF(Q31&gt;=SharedMin,"Shared dependency: "&amp;Q31&amp;" registered suppliers declare this provider (indicator only - not a risk conclusion)","Declared by one registered supplier")))</f>
        <v/>
      </c>
      <c r="S31" s="54" t="str">
        <f aca="false">IF(A31="","",IF(COUNTIF(DEP_ID,A31)&gt;1,"CHECK: duplicate ID",IF(B31="","CHECK: Supplier ID missing",IF(COUNTIF(INV_ID,B31)=0,"CHECK: Supplier ID not in inventory",IF(AND(L31&lt;&gt;"",COUNTIF(RSK_ID,L31)=0),"CHECK: Risk ID not found","OK")))))</f>
        <v/>
      </c>
    </row>
    <row r="32" customFormat="false" ht="15" hidden="false" customHeight="false" outlineLevel="0" collapsed="false">
      <c r="A32" s="50"/>
      <c r="B32" s="50"/>
      <c r="C32" s="59" t="str">
        <f aca="false">IF(B32="","",IFERROR(INDEX(INV_NAME,MATCH(B32,INV_ID,0)),"CHECK: Supplier ID not found"))</f>
        <v/>
      </c>
      <c r="D32" s="34"/>
      <c r="E32" s="34"/>
      <c r="F32" s="34"/>
      <c r="G32" s="34"/>
      <c r="H32" s="34"/>
      <c r="I32" s="34"/>
      <c r="J32" s="50"/>
      <c r="K32" s="34"/>
      <c r="L32" s="50"/>
      <c r="M32" s="34"/>
      <c r="N32" s="34"/>
      <c r="O32" s="62" t="n">
        <f aca="false">IF(OR(B32="",E32=""),0,IF(COUNTIFS($B$7:B32,B32,$E$7:E32,E32)=1,1,0))</f>
        <v>0</v>
      </c>
      <c r="P32" s="62" t="n">
        <f aca="false">IF(E32="",0,IF(COUNTIF($E$7:E32,E32)=1,1,0))</f>
        <v>0</v>
      </c>
      <c r="Q32" s="62" t="n">
        <f aca="false">IF(E32="",0,SUMIFS(DEP_FIRSTPAIR,DEP_P4,E32))</f>
        <v>0</v>
      </c>
      <c r="R32" s="54" t="str">
        <f aca="false">IF(A32="","",IF(E32="","No fourth party recorded",IF(Q32&gt;=SharedMin,"Shared dependency: "&amp;Q32&amp;" registered suppliers declare this provider (indicator only - not a risk conclusion)","Declared by one registered supplier")))</f>
        <v/>
      </c>
      <c r="S32" s="54" t="str">
        <f aca="false">IF(A32="","",IF(COUNTIF(DEP_ID,A32)&gt;1,"CHECK: duplicate ID",IF(B32="","CHECK: Supplier ID missing",IF(COUNTIF(INV_ID,B32)=0,"CHECK: Supplier ID not in inventory",IF(AND(L32&lt;&gt;"",COUNTIF(RSK_ID,L32)=0),"CHECK: Risk ID not found","OK")))))</f>
        <v/>
      </c>
    </row>
    <row r="33" customFormat="false" ht="15" hidden="false" customHeight="false" outlineLevel="0" collapsed="false">
      <c r="A33" s="50"/>
      <c r="B33" s="50"/>
      <c r="C33" s="59" t="str">
        <f aca="false">IF(B33="","",IFERROR(INDEX(INV_NAME,MATCH(B33,INV_ID,0)),"CHECK: Supplier ID not found"))</f>
        <v/>
      </c>
      <c r="D33" s="34"/>
      <c r="E33" s="34"/>
      <c r="F33" s="34"/>
      <c r="G33" s="34"/>
      <c r="H33" s="34"/>
      <c r="I33" s="34"/>
      <c r="J33" s="50"/>
      <c r="K33" s="34"/>
      <c r="L33" s="50"/>
      <c r="M33" s="34"/>
      <c r="N33" s="34"/>
      <c r="O33" s="62" t="n">
        <f aca="false">IF(OR(B33="",E33=""),0,IF(COUNTIFS($B$7:B33,B33,$E$7:E33,E33)=1,1,0))</f>
        <v>0</v>
      </c>
      <c r="P33" s="62" t="n">
        <f aca="false">IF(E33="",0,IF(COUNTIF($E$7:E33,E33)=1,1,0))</f>
        <v>0</v>
      </c>
      <c r="Q33" s="62" t="n">
        <f aca="false">IF(E33="",0,SUMIFS(DEP_FIRSTPAIR,DEP_P4,E33))</f>
        <v>0</v>
      </c>
      <c r="R33" s="54" t="str">
        <f aca="false">IF(A33="","",IF(E33="","No fourth party recorded",IF(Q33&gt;=SharedMin,"Shared dependency: "&amp;Q33&amp;" registered suppliers declare this provider (indicator only - not a risk conclusion)","Declared by one registered supplier")))</f>
        <v/>
      </c>
      <c r="S33" s="54" t="str">
        <f aca="false">IF(A33="","",IF(COUNTIF(DEP_ID,A33)&gt;1,"CHECK: duplicate ID",IF(B33="","CHECK: Supplier ID missing",IF(COUNTIF(INV_ID,B33)=0,"CHECK: Supplier ID not in inventory",IF(AND(L33&lt;&gt;"",COUNTIF(RSK_ID,L33)=0),"CHECK: Risk ID not found","OK")))))</f>
        <v/>
      </c>
    </row>
    <row r="34" customFormat="false" ht="15" hidden="false" customHeight="false" outlineLevel="0" collapsed="false">
      <c r="A34" s="50"/>
      <c r="B34" s="50"/>
      <c r="C34" s="59" t="str">
        <f aca="false">IF(B34="","",IFERROR(INDEX(INV_NAME,MATCH(B34,INV_ID,0)),"CHECK: Supplier ID not found"))</f>
        <v/>
      </c>
      <c r="D34" s="34"/>
      <c r="E34" s="34"/>
      <c r="F34" s="34"/>
      <c r="G34" s="34"/>
      <c r="H34" s="34"/>
      <c r="I34" s="34"/>
      <c r="J34" s="50"/>
      <c r="K34" s="34"/>
      <c r="L34" s="50"/>
      <c r="M34" s="34"/>
      <c r="N34" s="34"/>
      <c r="O34" s="62" t="n">
        <f aca="false">IF(OR(B34="",E34=""),0,IF(COUNTIFS($B$7:B34,B34,$E$7:E34,E34)=1,1,0))</f>
        <v>0</v>
      </c>
      <c r="P34" s="62" t="n">
        <f aca="false">IF(E34="",0,IF(COUNTIF($E$7:E34,E34)=1,1,0))</f>
        <v>0</v>
      </c>
      <c r="Q34" s="62" t="n">
        <f aca="false">IF(E34="",0,SUMIFS(DEP_FIRSTPAIR,DEP_P4,E34))</f>
        <v>0</v>
      </c>
      <c r="R34" s="54" t="str">
        <f aca="false">IF(A34="","",IF(E34="","No fourth party recorded",IF(Q34&gt;=SharedMin,"Shared dependency: "&amp;Q34&amp;" registered suppliers declare this provider (indicator only - not a risk conclusion)","Declared by one registered supplier")))</f>
        <v/>
      </c>
      <c r="S34" s="54" t="str">
        <f aca="false">IF(A34="","",IF(COUNTIF(DEP_ID,A34)&gt;1,"CHECK: duplicate ID",IF(B34="","CHECK: Supplier ID missing",IF(COUNTIF(INV_ID,B34)=0,"CHECK: Supplier ID not in inventory",IF(AND(L34&lt;&gt;"",COUNTIF(RSK_ID,L34)=0),"CHECK: Risk ID not found","OK")))))</f>
        <v/>
      </c>
    </row>
    <row r="35" customFormat="false" ht="15" hidden="false" customHeight="false" outlineLevel="0" collapsed="false">
      <c r="A35" s="50"/>
      <c r="B35" s="50"/>
      <c r="C35" s="59" t="str">
        <f aca="false">IF(B35="","",IFERROR(INDEX(INV_NAME,MATCH(B35,INV_ID,0)),"CHECK: Supplier ID not found"))</f>
        <v/>
      </c>
      <c r="D35" s="34"/>
      <c r="E35" s="34"/>
      <c r="F35" s="34"/>
      <c r="G35" s="34"/>
      <c r="H35" s="34"/>
      <c r="I35" s="34"/>
      <c r="J35" s="50"/>
      <c r="K35" s="34"/>
      <c r="L35" s="50"/>
      <c r="M35" s="34"/>
      <c r="N35" s="34"/>
      <c r="O35" s="62" t="n">
        <f aca="false">IF(OR(B35="",E35=""),0,IF(COUNTIFS($B$7:B35,B35,$E$7:E35,E35)=1,1,0))</f>
        <v>0</v>
      </c>
      <c r="P35" s="62" t="n">
        <f aca="false">IF(E35="",0,IF(COUNTIF($E$7:E35,E35)=1,1,0))</f>
        <v>0</v>
      </c>
      <c r="Q35" s="62" t="n">
        <f aca="false">IF(E35="",0,SUMIFS(DEP_FIRSTPAIR,DEP_P4,E35))</f>
        <v>0</v>
      </c>
      <c r="R35" s="54" t="str">
        <f aca="false">IF(A35="","",IF(E35="","No fourth party recorded",IF(Q35&gt;=SharedMin,"Shared dependency: "&amp;Q35&amp;" registered suppliers declare this provider (indicator only - not a risk conclusion)","Declared by one registered supplier")))</f>
        <v/>
      </c>
      <c r="S35" s="54" t="str">
        <f aca="false">IF(A35="","",IF(COUNTIF(DEP_ID,A35)&gt;1,"CHECK: duplicate ID",IF(B35="","CHECK: Supplier ID missing",IF(COUNTIF(INV_ID,B35)=0,"CHECK: Supplier ID not in inventory",IF(AND(L35&lt;&gt;"",COUNTIF(RSK_ID,L35)=0),"CHECK: Risk ID not found","OK")))))</f>
        <v/>
      </c>
    </row>
    <row r="36" customFormat="false" ht="15" hidden="false" customHeight="false" outlineLevel="0" collapsed="false">
      <c r="A36" s="50"/>
      <c r="B36" s="50"/>
      <c r="C36" s="59" t="str">
        <f aca="false">IF(B36="","",IFERROR(INDEX(INV_NAME,MATCH(B36,INV_ID,0)),"CHECK: Supplier ID not found"))</f>
        <v/>
      </c>
      <c r="D36" s="34"/>
      <c r="E36" s="34"/>
      <c r="F36" s="34"/>
      <c r="G36" s="34"/>
      <c r="H36" s="34"/>
      <c r="I36" s="34"/>
      <c r="J36" s="50"/>
      <c r="K36" s="34"/>
      <c r="L36" s="50"/>
      <c r="M36" s="34"/>
      <c r="N36" s="34"/>
      <c r="O36" s="62" t="n">
        <f aca="false">IF(OR(B36="",E36=""),0,IF(COUNTIFS($B$7:B36,B36,$E$7:E36,E36)=1,1,0))</f>
        <v>0</v>
      </c>
      <c r="P36" s="62" t="n">
        <f aca="false">IF(E36="",0,IF(COUNTIF($E$7:E36,E36)=1,1,0))</f>
        <v>0</v>
      </c>
      <c r="Q36" s="62" t="n">
        <f aca="false">IF(E36="",0,SUMIFS(DEP_FIRSTPAIR,DEP_P4,E36))</f>
        <v>0</v>
      </c>
      <c r="R36" s="54" t="str">
        <f aca="false">IF(A36="","",IF(E36="","No fourth party recorded",IF(Q36&gt;=SharedMin,"Shared dependency: "&amp;Q36&amp;" registered suppliers declare this provider (indicator only - not a risk conclusion)","Declared by one registered supplier")))</f>
        <v/>
      </c>
      <c r="S36" s="54" t="str">
        <f aca="false">IF(A36="","",IF(COUNTIF(DEP_ID,A36)&gt;1,"CHECK: duplicate ID",IF(B36="","CHECK: Supplier ID missing",IF(COUNTIF(INV_ID,B36)=0,"CHECK: Supplier ID not in inventory",IF(AND(L36&lt;&gt;"",COUNTIF(RSK_ID,L36)=0),"CHECK: Risk ID not found","OK")))))</f>
        <v/>
      </c>
    </row>
    <row r="37" customFormat="false" ht="15" hidden="false" customHeight="false" outlineLevel="0" collapsed="false">
      <c r="A37" s="50"/>
      <c r="B37" s="50"/>
      <c r="C37" s="59" t="str">
        <f aca="false">IF(B37="","",IFERROR(INDEX(INV_NAME,MATCH(B37,INV_ID,0)),"CHECK: Supplier ID not found"))</f>
        <v/>
      </c>
      <c r="D37" s="34"/>
      <c r="E37" s="34"/>
      <c r="F37" s="34"/>
      <c r="G37" s="34"/>
      <c r="H37" s="34"/>
      <c r="I37" s="34"/>
      <c r="J37" s="50"/>
      <c r="K37" s="34"/>
      <c r="L37" s="50"/>
      <c r="M37" s="34"/>
      <c r="N37" s="34"/>
      <c r="O37" s="62" t="n">
        <f aca="false">IF(OR(B37="",E37=""),0,IF(COUNTIFS($B$7:B37,B37,$E$7:E37,E37)=1,1,0))</f>
        <v>0</v>
      </c>
      <c r="P37" s="62" t="n">
        <f aca="false">IF(E37="",0,IF(COUNTIF($E$7:E37,E37)=1,1,0))</f>
        <v>0</v>
      </c>
      <c r="Q37" s="62" t="n">
        <f aca="false">IF(E37="",0,SUMIFS(DEP_FIRSTPAIR,DEP_P4,E37))</f>
        <v>0</v>
      </c>
      <c r="R37" s="54" t="str">
        <f aca="false">IF(A37="","",IF(E37="","No fourth party recorded",IF(Q37&gt;=SharedMin,"Shared dependency: "&amp;Q37&amp;" registered suppliers declare this provider (indicator only - not a risk conclusion)","Declared by one registered supplier")))</f>
        <v/>
      </c>
      <c r="S37" s="54" t="str">
        <f aca="false">IF(A37="","",IF(COUNTIF(DEP_ID,A37)&gt;1,"CHECK: duplicate ID",IF(B37="","CHECK: Supplier ID missing",IF(COUNTIF(INV_ID,B37)=0,"CHECK: Supplier ID not in inventory",IF(AND(L37&lt;&gt;"",COUNTIF(RSK_ID,L37)=0),"CHECK: Risk ID not found","OK")))))</f>
        <v/>
      </c>
    </row>
    <row r="38" customFormat="false" ht="15" hidden="false" customHeight="false" outlineLevel="0" collapsed="false">
      <c r="A38" s="50"/>
      <c r="B38" s="50"/>
      <c r="C38" s="59" t="str">
        <f aca="false">IF(B38="","",IFERROR(INDEX(INV_NAME,MATCH(B38,INV_ID,0)),"CHECK: Supplier ID not found"))</f>
        <v/>
      </c>
      <c r="D38" s="34"/>
      <c r="E38" s="34"/>
      <c r="F38" s="34"/>
      <c r="G38" s="34"/>
      <c r="H38" s="34"/>
      <c r="I38" s="34"/>
      <c r="J38" s="50"/>
      <c r="K38" s="34"/>
      <c r="L38" s="50"/>
      <c r="M38" s="34"/>
      <c r="N38" s="34"/>
      <c r="O38" s="62" t="n">
        <f aca="false">IF(OR(B38="",E38=""),0,IF(COUNTIFS($B$7:B38,B38,$E$7:E38,E38)=1,1,0))</f>
        <v>0</v>
      </c>
      <c r="P38" s="62" t="n">
        <f aca="false">IF(E38="",0,IF(COUNTIF($E$7:E38,E38)=1,1,0))</f>
        <v>0</v>
      </c>
      <c r="Q38" s="62" t="n">
        <f aca="false">IF(E38="",0,SUMIFS(DEP_FIRSTPAIR,DEP_P4,E38))</f>
        <v>0</v>
      </c>
      <c r="R38" s="54" t="str">
        <f aca="false">IF(A38="","",IF(E38="","No fourth party recorded",IF(Q38&gt;=SharedMin,"Shared dependency: "&amp;Q38&amp;" registered suppliers declare this provider (indicator only - not a risk conclusion)","Declared by one registered supplier")))</f>
        <v/>
      </c>
      <c r="S38" s="54" t="str">
        <f aca="false">IF(A38="","",IF(COUNTIF(DEP_ID,A38)&gt;1,"CHECK: duplicate ID",IF(B38="","CHECK: Supplier ID missing",IF(COUNTIF(INV_ID,B38)=0,"CHECK: Supplier ID not in inventory",IF(AND(L38&lt;&gt;"",COUNTIF(RSK_ID,L38)=0),"CHECK: Risk ID not found","OK")))))</f>
        <v/>
      </c>
    </row>
    <row r="39" customFormat="false" ht="15" hidden="false" customHeight="false" outlineLevel="0" collapsed="false">
      <c r="A39" s="50"/>
      <c r="B39" s="50"/>
      <c r="C39" s="59" t="str">
        <f aca="false">IF(B39="","",IFERROR(INDEX(INV_NAME,MATCH(B39,INV_ID,0)),"CHECK: Supplier ID not found"))</f>
        <v/>
      </c>
      <c r="D39" s="34"/>
      <c r="E39" s="34"/>
      <c r="F39" s="34"/>
      <c r="G39" s="34"/>
      <c r="H39" s="34"/>
      <c r="I39" s="34"/>
      <c r="J39" s="50"/>
      <c r="K39" s="34"/>
      <c r="L39" s="50"/>
      <c r="M39" s="34"/>
      <c r="N39" s="34"/>
      <c r="O39" s="62" t="n">
        <f aca="false">IF(OR(B39="",E39=""),0,IF(COUNTIFS($B$7:B39,B39,$E$7:E39,E39)=1,1,0))</f>
        <v>0</v>
      </c>
      <c r="P39" s="62" t="n">
        <f aca="false">IF(E39="",0,IF(COUNTIF($E$7:E39,E39)=1,1,0))</f>
        <v>0</v>
      </c>
      <c r="Q39" s="62" t="n">
        <f aca="false">IF(E39="",0,SUMIFS(DEP_FIRSTPAIR,DEP_P4,E39))</f>
        <v>0</v>
      </c>
      <c r="R39" s="54" t="str">
        <f aca="false">IF(A39="","",IF(E39="","No fourth party recorded",IF(Q39&gt;=SharedMin,"Shared dependency: "&amp;Q39&amp;" registered suppliers declare this provider (indicator only - not a risk conclusion)","Declared by one registered supplier")))</f>
        <v/>
      </c>
      <c r="S39" s="54" t="str">
        <f aca="false">IF(A39="","",IF(COUNTIF(DEP_ID,A39)&gt;1,"CHECK: duplicate ID",IF(B39="","CHECK: Supplier ID missing",IF(COUNTIF(INV_ID,B39)=0,"CHECK: Supplier ID not in inventory",IF(AND(L39&lt;&gt;"",COUNTIF(RSK_ID,L39)=0),"CHECK: Risk ID not found","OK")))))</f>
        <v/>
      </c>
    </row>
    <row r="40" customFormat="false" ht="15" hidden="false" customHeight="false" outlineLevel="0" collapsed="false">
      <c r="A40" s="50"/>
      <c r="B40" s="50"/>
      <c r="C40" s="59" t="str">
        <f aca="false">IF(B40="","",IFERROR(INDEX(INV_NAME,MATCH(B40,INV_ID,0)),"CHECK: Supplier ID not found"))</f>
        <v/>
      </c>
      <c r="D40" s="34"/>
      <c r="E40" s="34"/>
      <c r="F40" s="34"/>
      <c r="G40" s="34"/>
      <c r="H40" s="34"/>
      <c r="I40" s="34"/>
      <c r="J40" s="50"/>
      <c r="K40" s="34"/>
      <c r="L40" s="50"/>
      <c r="M40" s="34"/>
      <c r="N40" s="34"/>
      <c r="O40" s="62" t="n">
        <f aca="false">IF(OR(B40="",E40=""),0,IF(COUNTIFS($B$7:B40,B40,$E$7:E40,E40)=1,1,0))</f>
        <v>0</v>
      </c>
      <c r="P40" s="62" t="n">
        <f aca="false">IF(E40="",0,IF(COUNTIF($E$7:E40,E40)=1,1,0))</f>
        <v>0</v>
      </c>
      <c r="Q40" s="62" t="n">
        <f aca="false">IF(E40="",0,SUMIFS(DEP_FIRSTPAIR,DEP_P4,E40))</f>
        <v>0</v>
      </c>
      <c r="R40" s="54" t="str">
        <f aca="false">IF(A40="","",IF(E40="","No fourth party recorded",IF(Q40&gt;=SharedMin,"Shared dependency: "&amp;Q40&amp;" registered suppliers declare this provider (indicator only - not a risk conclusion)","Declared by one registered supplier")))</f>
        <v/>
      </c>
      <c r="S40" s="54" t="str">
        <f aca="false">IF(A40="","",IF(COUNTIF(DEP_ID,A40)&gt;1,"CHECK: duplicate ID",IF(B40="","CHECK: Supplier ID missing",IF(COUNTIF(INV_ID,B40)=0,"CHECK: Supplier ID not in inventory",IF(AND(L40&lt;&gt;"",COUNTIF(RSK_ID,L40)=0),"CHECK: Risk ID not found","OK")))))</f>
        <v/>
      </c>
    </row>
    <row r="41" customFormat="false" ht="15" hidden="false" customHeight="false" outlineLevel="0" collapsed="false">
      <c r="A41" s="50"/>
      <c r="B41" s="50"/>
      <c r="C41" s="59" t="str">
        <f aca="false">IF(B41="","",IFERROR(INDEX(INV_NAME,MATCH(B41,INV_ID,0)),"CHECK: Supplier ID not found"))</f>
        <v/>
      </c>
      <c r="D41" s="34"/>
      <c r="E41" s="34"/>
      <c r="F41" s="34"/>
      <c r="G41" s="34"/>
      <c r="H41" s="34"/>
      <c r="I41" s="34"/>
      <c r="J41" s="50"/>
      <c r="K41" s="34"/>
      <c r="L41" s="50"/>
      <c r="M41" s="34"/>
      <c r="N41" s="34"/>
      <c r="O41" s="62" t="n">
        <f aca="false">IF(OR(B41="",E41=""),0,IF(COUNTIFS($B$7:B41,B41,$E$7:E41,E41)=1,1,0))</f>
        <v>0</v>
      </c>
      <c r="P41" s="62" t="n">
        <f aca="false">IF(E41="",0,IF(COUNTIF($E$7:E41,E41)=1,1,0))</f>
        <v>0</v>
      </c>
      <c r="Q41" s="62" t="n">
        <f aca="false">IF(E41="",0,SUMIFS(DEP_FIRSTPAIR,DEP_P4,E41))</f>
        <v>0</v>
      </c>
      <c r="R41" s="54" t="str">
        <f aca="false">IF(A41="","",IF(E41="","No fourth party recorded",IF(Q41&gt;=SharedMin,"Shared dependency: "&amp;Q41&amp;" registered suppliers declare this provider (indicator only - not a risk conclusion)","Declared by one registered supplier")))</f>
        <v/>
      </c>
      <c r="S41" s="54" t="str">
        <f aca="false">IF(A41="","",IF(COUNTIF(DEP_ID,A41)&gt;1,"CHECK: duplicate ID",IF(B41="","CHECK: Supplier ID missing",IF(COUNTIF(INV_ID,B41)=0,"CHECK: Supplier ID not in inventory",IF(AND(L41&lt;&gt;"",COUNTIF(RSK_ID,L41)=0),"CHECK: Risk ID not found","OK")))))</f>
        <v/>
      </c>
    </row>
    <row r="42" customFormat="false" ht="15" hidden="false" customHeight="false" outlineLevel="0" collapsed="false">
      <c r="A42" s="50"/>
      <c r="B42" s="50"/>
      <c r="C42" s="59" t="str">
        <f aca="false">IF(B42="","",IFERROR(INDEX(INV_NAME,MATCH(B42,INV_ID,0)),"CHECK: Supplier ID not found"))</f>
        <v/>
      </c>
      <c r="D42" s="34"/>
      <c r="E42" s="34"/>
      <c r="F42" s="34"/>
      <c r="G42" s="34"/>
      <c r="H42" s="34"/>
      <c r="I42" s="34"/>
      <c r="J42" s="50"/>
      <c r="K42" s="34"/>
      <c r="L42" s="50"/>
      <c r="M42" s="34"/>
      <c r="N42" s="34"/>
      <c r="O42" s="62" t="n">
        <f aca="false">IF(OR(B42="",E42=""),0,IF(COUNTIFS($B$7:B42,B42,$E$7:E42,E42)=1,1,0))</f>
        <v>0</v>
      </c>
      <c r="P42" s="62" t="n">
        <f aca="false">IF(E42="",0,IF(COUNTIF($E$7:E42,E42)=1,1,0))</f>
        <v>0</v>
      </c>
      <c r="Q42" s="62" t="n">
        <f aca="false">IF(E42="",0,SUMIFS(DEP_FIRSTPAIR,DEP_P4,E42))</f>
        <v>0</v>
      </c>
      <c r="R42" s="54" t="str">
        <f aca="false">IF(A42="","",IF(E42="","No fourth party recorded",IF(Q42&gt;=SharedMin,"Shared dependency: "&amp;Q42&amp;" registered suppliers declare this provider (indicator only - not a risk conclusion)","Declared by one registered supplier")))</f>
        <v/>
      </c>
      <c r="S42" s="54" t="str">
        <f aca="false">IF(A42="","",IF(COUNTIF(DEP_ID,A42)&gt;1,"CHECK: duplicate ID",IF(B42="","CHECK: Supplier ID missing",IF(COUNTIF(INV_ID,B42)=0,"CHECK: Supplier ID not in inventory",IF(AND(L42&lt;&gt;"",COUNTIF(RSK_ID,L42)=0),"CHECK: Risk ID not found","OK")))))</f>
        <v/>
      </c>
    </row>
    <row r="43" customFormat="false" ht="15" hidden="false" customHeight="false" outlineLevel="0" collapsed="false">
      <c r="A43" s="50"/>
      <c r="B43" s="50"/>
      <c r="C43" s="59" t="str">
        <f aca="false">IF(B43="","",IFERROR(INDEX(INV_NAME,MATCH(B43,INV_ID,0)),"CHECK: Supplier ID not found"))</f>
        <v/>
      </c>
      <c r="D43" s="34"/>
      <c r="E43" s="34"/>
      <c r="F43" s="34"/>
      <c r="G43" s="34"/>
      <c r="H43" s="34"/>
      <c r="I43" s="34"/>
      <c r="J43" s="50"/>
      <c r="K43" s="34"/>
      <c r="L43" s="50"/>
      <c r="M43" s="34"/>
      <c r="N43" s="34"/>
      <c r="O43" s="62" t="n">
        <f aca="false">IF(OR(B43="",E43=""),0,IF(COUNTIFS($B$7:B43,B43,$E$7:E43,E43)=1,1,0))</f>
        <v>0</v>
      </c>
      <c r="P43" s="62" t="n">
        <f aca="false">IF(E43="",0,IF(COUNTIF($E$7:E43,E43)=1,1,0))</f>
        <v>0</v>
      </c>
      <c r="Q43" s="62" t="n">
        <f aca="false">IF(E43="",0,SUMIFS(DEP_FIRSTPAIR,DEP_P4,E43))</f>
        <v>0</v>
      </c>
      <c r="R43" s="54" t="str">
        <f aca="false">IF(A43="","",IF(E43="","No fourth party recorded",IF(Q43&gt;=SharedMin,"Shared dependency: "&amp;Q43&amp;" registered suppliers declare this provider (indicator only - not a risk conclusion)","Declared by one registered supplier")))</f>
        <v/>
      </c>
      <c r="S43" s="54" t="str">
        <f aca="false">IF(A43="","",IF(COUNTIF(DEP_ID,A43)&gt;1,"CHECK: duplicate ID",IF(B43="","CHECK: Supplier ID missing",IF(COUNTIF(INV_ID,B43)=0,"CHECK: Supplier ID not in inventory",IF(AND(L43&lt;&gt;"",COUNTIF(RSK_ID,L43)=0),"CHECK: Risk ID not found","OK")))))</f>
        <v/>
      </c>
    </row>
    <row r="44" customFormat="false" ht="15" hidden="false" customHeight="false" outlineLevel="0" collapsed="false">
      <c r="A44" s="50"/>
      <c r="B44" s="50"/>
      <c r="C44" s="59" t="str">
        <f aca="false">IF(B44="","",IFERROR(INDEX(INV_NAME,MATCH(B44,INV_ID,0)),"CHECK: Supplier ID not found"))</f>
        <v/>
      </c>
      <c r="D44" s="34"/>
      <c r="E44" s="34"/>
      <c r="F44" s="34"/>
      <c r="G44" s="34"/>
      <c r="H44" s="34"/>
      <c r="I44" s="34"/>
      <c r="J44" s="50"/>
      <c r="K44" s="34"/>
      <c r="L44" s="50"/>
      <c r="M44" s="34"/>
      <c r="N44" s="34"/>
      <c r="O44" s="62" t="n">
        <f aca="false">IF(OR(B44="",E44=""),0,IF(COUNTIFS($B$7:B44,B44,$E$7:E44,E44)=1,1,0))</f>
        <v>0</v>
      </c>
      <c r="P44" s="62" t="n">
        <f aca="false">IF(E44="",0,IF(COUNTIF($E$7:E44,E44)=1,1,0))</f>
        <v>0</v>
      </c>
      <c r="Q44" s="62" t="n">
        <f aca="false">IF(E44="",0,SUMIFS(DEP_FIRSTPAIR,DEP_P4,E44))</f>
        <v>0</v>
      </c>
      <c r="R44" s="54" t="str">
        <f aca="false">IF(A44="","",IF(E44="","No fourth party recorded",IF(Q44&gt;=SharedMin,"Shared dependency: "&amp;Q44&amp;" registered suppliers declare this provider (indicator only - not a risk conclusion)","Declared by one registered supplier")))</f>
        <v/>
      </c>
      <c r="S44" s="54" t="str">
        <f aca="false">IF(A44="","",IF(COUNTIF(DEP_ID,A44)&gt;1,"CHECK: duplicate ID",IF(B44="","CHECK: Supplier ID missing",IF(COUNTIF(INV_ID,B44)=0,"CHECK: Supplier ID not in inventory",IF(AND(L44&lt;&gt;"",COUNTIF(RSK_ID,L44)=0),"CHECK: Risk ID not found","OK")))))</f>
        <v/>
      </c>
    </row>
    <row r="45" customFormat="false" ht="15" hidden="false" customHeight="false" outlineLevel="0" collapsed="false">
      <c r="A45" s="50"/>
      <c r="B45" s="50"/>
      <c r="C45" s="59" t="str">
        <f aca="false">IF(B45="","",IFERROR(INDEX(INV_NAME,MATCH(B45,INV_ID,0)),"CHECK: Supplier ID not found"))</f>
        <v/>
      </c>
      <c r="D45" s="34"/>
      <c r="E45" s="34"/>
      <c r="F45" s="34"/>
      <c r="G45" s="34"/>
      <c r="H45" s="34"/>
      <c r="I45" s="34"/>
      <c r="J45" s="50"/>
      <c r="K45" s="34"/>
      <c r="L45" s="50"/>
      <c r="M45" s="34"/>
      <c r="N45" s="34"/>
      <c r="O45" s="62" t="n">
        <f aca="false">IF(OR(B45="",E45=""),0,IF(COUNTIFS($B$7:B45,B45,$E$7:E45,E45)=1,1,0))</f>
        <v>0</v>
      </c>
      <c r="P45" s="62" t="n">
        <f aca="false">IF(E45="",0,IF(COUNTIF($E$7:E45,E45)=1,1,0))</f>
        <v>0</v>
      </c>
      <c r="Q45" s="62" t="n">
        <f aca="false">IF(E45="",0,SUMIFS(DEP_FIRSTPAIR,DEP_P4,E45))</f>
        <v>0</v>
      </c>
      <c r="R45" s="54" t="str">
        <f aca="false">IF(A45="","",IF(E45="","No fourth party recorded",IF(Q45&gt;=SharedMin,"Shared dependency: "&amp;Q45&amp;" registered suppliers declare this provider (indicator only - not a risk conclusion)","Declared by one registered supplier")))</f>
        <v/>
      </c>
      <c r="S45" s="54" t="str">
        <f aca="false">IF(A45="","",IF(COUNTIF(DEP_ID,A45)&gt;1,"CHECK: duplicate ID",IF(B45="","CHECK: Supplier ID missing",IF(COUNTIF(INV_ID,B45)=0,"CHECK: Supplier ID not in inventory",IF(AND(L45&lt;&gt;"",COUNTIF(RSK_ID,L45)=0),"CHECK: Risk ID not found","OK")))))</f>
        <v/>
      </c>
    </row>
    <row r="46" customFormat="false" ht="15" hidden="false" customHeight="false" outlineLevel="0" collapsed="false">
      <c r="A46" s="50"/>
      <c r="B46" s="50"/>
      <c r="C46" s="59" t="str">
        <f aca="false">IF(B46="","",IFERROR(INDEX(INV_NAME,MATCH(B46,INV_ID,0)),"CHECK: Supplier ID not found"))</f>
        <v/>
      </c>
      <c r="D46" s="34"/>
      <c r="E46" s="34"/>
      <c r="F46" s="34"/>
      <c r="G46" s="34"/>
      <c r="H46" s="34"/>
      <c r="I46" s="34"/>
      <c r="J46" s="50"/>
      <c r="K46" s="34"/>
      <c r="L46" s="50"/>
      <c r="M46" s="34"/>
      <c r="N46" s="34"/>
      <c r="O46" s="62" t="n">
        <f aca="false">IF(OR(B46="",E46=""),0,IF(COUNTIFS($B$7:B46,B46,$E$7:E46,E46)=1,1,0))</f>
        <v>0</v>
      </c>
      <c r="P46" s="62" t="n">
        <f aca="false">IF(E46="",0,IF(COUNTIF($E$7:E46,E46)=1,1,0))</f>
        <v>0</v>
      </c>
      <c r="Q46" s="62" t="n">
        <f aca="false">IF(E46="",0,SUMIFS(DEP_FIRSTPAIR,DEP_P4,E46))</f>
        <v>0</v>
      </c>
      <c r="R46" s="54" t="str">
        <f aca="false">IF(A46="","",IF(E46="","No fourth party recorded",IF(Q46&gt;=SharedMin,"Shared dependency: "&amp;Q46&amp;" registered suppliers declare this provider (indicator only - not a risk conclusion)","Declared by one registered supplier")))</f>
        <v/>
      </c>
      <c r="S46" s="54" t="str">
        <f aca="false">IF(A46="","",IF(COUNTIF(DEP_ID,A46)&gt;1,"CHECK: duplicate ID",IF(B46="","CHECK: Supplier ID missing",IF(COUNTIF(INV_ID,B46)=0,"CHECK: Supplier ID not in inventory",IF(AND(L46&lt;&gt;"",COUNTIF(RSK_ID,L46)=0),"CHECK: Risk ID not found","OK")))))</f>
        <v/>
      </c>
    </row>
    <row r="47" customFormat="false" ht="15" hidden="false" customHeight="false" outlineLevel="0" collapsed="false">
      <c r="A47" s="50"/>
      <c r="B47" s="50"/>
      <c r="C47" s="59" t="str">
        <f aca="false">IF(B47="","",IFERROR(INDEX(INV_NAME,MATCH(B47,INV_ID,0)),"CHECK: Supplier ID not found"))</f>
        <v/>
      </c>
      <c r="D47" s="34"/>
      <c r="E47" s="34"/>
      <c r="F47" s="34"/>
      <c r="G47" s="34"/>
      <c r="H47" s="34"/>
      <c r="I47" s="34"/>
      <c r="J47" s="50"/>
      <c r="K47" s="34"/>
      <c r="L47" s="50"/>
      <c r="M47" s="34"/>
      <c r="N47" s="34"/>
      <c r="O47" s="62" t="n">
        <f aca="false">IF(OR(B47="",E47=""),0,IF(COUNTIFS($B$7:B47,B47,$E$7:E47,E47)=1,1,0))</f>
        <v>0</v>
      </c>
      <c r="P47" s="62" t="n">
        <f aca="false">IF(E47="",0,IF(COUNTIF($E$7:E47,E47)=1,1,0))</f>
        <v>0</v>
      </c>
      <c r="Q47" s="62" t="n">
        <f aca="false">IF(E47="",0,SUMIFS(DEP_FIRSTPAIR,DEP_P4,E47))</f>
        <v>0</v>
      </c>
      <c r="R47" s="54" t="str">
        <f aca="false">IF(A47="","",IF(E47="","No fourth party recorded",IF(Q47&gt;=SharedMin,"Shared dependency: "&amp;Q47&amp;" registered suppliers declare this provider (indicator only - not a risk conclusion)","Declared by one registered supplier")))</f>
        <v/>
      </c>
      <c r="S47" s="54" t="str">
        <f aca="false">IF(A47="","",IF(COUNTIF(DEP_ID,A47)&gt;1,"CHECK: duplicate ID",IF(B47="","CHECK: Supplier ID missing",IF(COUNTIF(INV_ID,B47)=0,"CHECK: Supplier ID not in inventory",IF(AND(L47&lt;&gt;"",COUNTIF(RSK_ID,L47)=0),"CHECK: Risk ID not found","OK")))))</f>
        <v/>
      </c>
    </row>
    <row r="48" customFormat="false" ht="15" hidden="false" customHeight="false" outlineLevel="0" collapsed="false">
      <c r="A48" s="50"/>
      <c r="B48" s="50"/>
      <c r="C48" s="59" t="str">
        <f aca="false">IF(B48="","",IFERROR(INDEX(INV_NAME,MATCH(B48,INV_ID,0)),"CHECK: Supplier ID not found"))</f>
        <v/>
      </c>
      <c r="D48" s="34"/>
      <c r="E48" s="34"/>
      <c r="F48" s="34"/>
      <c r="G48" s="34"/>
      <c r="H48" s="34"/>
      <c r="I48" s="34"/>
      <c r="J48" s="50"/>
      <c r="K48" s="34"/>
      <c r="L48" s="50"/>
      <c r="M48" s="34"/>
      <c r="N48" s="34"/>
      <c r="O48" s="62" t="n">
        <f aca="false">IF(OR(B48="",E48=""),0,IF(COUNTIFS($B$7:B48,B48,$E$7:E48,E48)=1,1,0))</f>
        <v>0</v>
      </c>
      <c r="P48" s="62" t="n">
        <f aca="false">IF(E48="",0,IF(COUNTIF($E$7:E48,E48)=1,1,0))</f>
        <v>0</v>
      </c>
      <c r="Q48" s="62" t="n">
        <f aca="false">IF(E48="",0,SUMIFS(DEP_FIRSTPAIR,DEP_P4,E48))</f>
        <v>0</v>
      </c>
      <c r="R48" s="54" t="str">
        <f aca="false">IF(A48="","",IF(E48="","No fourth party recorded",IF(Q48&gt;=SharedMin,"Shared dependency: "&amp;Q48&amp;" registered suppliers declare this provider (indicator only - not a risk conclusion)","Declared by one registered supplier")))</f>
        <v/>
      </c>
      <c r="S48" s="54" t="str">
        <f aca="false">IF(A48="","",IF(COUNTIF(DEP_ID,A48)&gt;1,"CHECK: duplicate ID",IF(B48="","CHECK: Supplier ID missing",IF(COUNTIF(INV_ID,B48)=0,"CHECK: Supplier ID not in inventory",IF(AND(L48&lt;&gt;"",COUNTIF(RSK_ID,L48)=0),"CHECK: Risk ID not found","OK")))))</f>
        <v/>
      </c>
    </row>
    <row r="49" customFormat="false" ht="15" hidden="false" customHeight="false" outlineLevel="0" collapsed="false">
      <c r="A49" s="50"/>
      <c r="B49" s="50"/>
      <c r="C49" s="59" t="str">
        <f aca="false">IF(B49="","",IFERROR(INDEX(INV_NAME,MATCH(B49,INV_ID,0)),"CHECK: Supplier ID not found"))</f>
        <v/>
      </c>
      <c r="D49" s="34"/>
      <c r="E49" s="34"/>
      <c r="F49" s="34"/>
      <c r="G49" s="34"/>
      <c r="H49" s="34"/>
      <c r="I49" s="34"/>
      <c r="J49" s="50"/>
      <c r="K49" s="34"/>
      <c r="L49" s="50"/>
      <c r="M49" s="34"/>
      <c r="N49" s="34"/>
      <c r="O49" s="62" t="n">
        <f aca="false">IF(OR(B49="",E49=""),0,IF(COUNTIFS($B$7:B49,B49,$E$7:E49,E49)=1,1,0))</f>
        <v>0</v>
      </c>
      <c r="P49" s="62" t="n">
        <f aca="false">IF(E49="",0,IF(COUNTIF($E$7:E49,E49)=1,1,0))</f>
        <v>0</v>
      </c>
      <c r="Q49" s="62" t="n">
        <f aca="false">IF(E49="",0,SUMIFS(DEP_FIRSTPAIR,DEP_P4,E49))</f>
        <v>0</v>
      </c>
      <c r="R49" s="54" t="str">
        <f aca="false">IF(A49="","",IF(E49="","No fourth party recorded",IF(Q49&gt;=SharedMin,"Shared dependency: "&amp;Q49&amp;" registered suppliers declare this provider (indicator only - not a risk conclusion)","Declared by one registered supplier")))</f>
        <v/>
      </c>
      <c r="S49" s="54" t="str">
        <f aca="false">IF(A49="","",IF(COUNTIF(DEP_ID,A49)&gt;1,"CHECK: duplicate ID",IF(B49="","CHECK: Supplier ID missing",IF(COUNTIF(INV_ID,B49)=0,"CHECK: Supplier ID not in inventory",IF(AND(L49&lt;&gt;"",COUNTIF(RSK_ID,L49)=0),"CHECK: Risk ID not found","OK")))))</f>
        <v/>
      </c>
    </row>
    <row r="50" customFormat="false" ht="15" hidden="false" customHeight="false" outlineLevel="0" collapsed="false">
      <c r="A50" s="50"/>
      <c r="B50" s="50"/>
      <c r="C50" s="59" t="str">
        <f aca="false">IF(B50="","",IFERROR(INDEX(INV_NAME,MATCH(B50,INV_ID,0)),"CHECK: Supplier ID not found"))</f>
        <v/>
      </c>
      <c r="D50" s="34"/>
      <c r="E50" s="34"/>
      <c r="F50" s="34"/>
      <c r="G50" s="34"/>
      <c r="H50" s="34"/>
      <c r="I50" s="34"/>
      <c r="J50" s="50"/>
      <c r="K50" s="34"/>
      <c r="L50" s="50"/>
      <c r="M50" s="34"/>
      <c r="N50" s="34"/>
      <c r="O50" s="62" t="n">
        <f aca="false">IF(OR(B50="",E50=""),0,IF(COUNTIFS($B$7:B50,B50,$E$7:E50,E50)=1,1,0))</f>
        <v>0</v>
      </c>
      <c r="P50" s="62" t="n">
        <f aca="false">IF(E50="",0,IF(COUNTIF($E$7:E50,E50)=1,1,0))</f>
        <v>0</v>
      </c>
      <c r="Q50" s="62" t="n">
        <f aca="false">IF(E50="",0,SUMIFS(DEP_FIRSTPAIR,DEP_P4,E50))</f>
        <v>0</v>
      </c>
      <c r="R50" s="54" t="str">
        <f aca="false">IF(A50="","",IF(E50="","No fourth party recorded",IF(Q50&gt;=SharedMin,"Shared dependency: "&amp;Q50&amp;" registered suppliers declare this provider (indicator only - not a risk conclusion)","Declared by one registered supplier")))</f>
        <v/>
      </c>
      <c r="S50" s="54" t="str">
        <f aca="false">IF(A50="","",IF(COUNTIF(DEP_ID,A50)&gt;1,"CHECK: duplicate ID",IF(B50="","CHECK: Supplier ID missing",IF(COUNTIF(INV_ID,B50)=0,"CHECK: Supplier ID not in inventory",IF(AND(L50&lt;&gt;"",COUNTIF(RSK_ID,L50)=0),"CHECK: Risk ID not found","OK")))))</f>
        <v/>
      </c>
    </row>
    <row r="51" customFormat="false" ht="15" hidden="false" customHeight="false" outlineLevel="0" collapsed="false">
      <c r="A51" s="50"/>
      <c r="B51" s="50"/>
      <c r="C51" s="59" t="str">
        <f aca="false">IF(B51="","",IFERROR(INDEX(INV_NAME,MATCH(B51,INV_ID,0)),"CHECK: Supplier ID not found"))</f>
        <v/>
      </c>
      <c r="D51" s="34"/>
      <c r="E51" s="34"/>
      <c r="F51" s="34"/>
      <c r="G51" s="34"/>
      <c r="H51" s="34"/>
      <c r="I51" s="34"/>
      <c r="J51" s="50"/>
      <c r="K51" s="34"/>
      <c r="L51" s="50"/>
      <c r="M51" s="34"/>
      <c r="N51" s="34"/>
      <c r="O51" s="62" t="n">
        <f aca="false">IF(OR(B51="",E51=""),0,IF(COUNTIFS($B$7:B51,B51,$E$7:E51,E51)=1,1,0))</f>
        <v>0</v>
      </c>
      <c r="P51" s="62" t="n">
        <f aca="false">IF(E51="",0,IF(COUNTIF($E$7:E51,E51)=1,1,0))</f>
        <v>0</v>
      </c>
      <c r="Q51" s="62" t="n">
        <f aca="false">IF(E51="",0,SUMIFS(DEP_FIRSTPAIR,DEP_P4,E51))</f>
        <v>0</v>
      </c>
      <c r="R51" s="54" t="str">
        <f aca="false">IF(A51="","",IF(E51="","No fourth party recorded",IF(Q51&gt;=SharedMin,"Shared dependency: "&amp;Q51&amp;" registered suppliers declare this provider (indicator only - not a risk conclusion)","Declared by one registered supplier")))</f>
        <v/>
      </c>
      <c r="S51" s="54" t="str">
        <f aca="false">IF(A51="","",IF(COUNTIF(DEP_ID,A51)&gt;1,"CHECK: duplicate ID",IF(B51="","CHECK: Supplier ID missing",IF(COUNTIF(INV_ID,B51)=0,"CHECK: Supplier ID not in inventory",IF(AND(L51&lt;&gt;"",COUNTIF(RSK_ID,L51)=0),"CHECK: Risk ID not found","OK")))))</f>
        <v/>
      </c>
    </row>
    <row r="52" customFormat="false" ht="15" hidden="false" customHeight="false" outlineLevel="0" collapsed="false">
      <c r="A52" s="50"/>
      <c r="B52" s="50"/>
      <c r="C52" s="59" t="str">
        <f aca="false">IF(B52="","",IFERROR(INDEX(INV_NAME,MATCH(B52,INV_ID,0)),"CHECK: Supplier ID not found"))</f>
        <v/>
      </c>
      <c r="D52" s="34"/>
      <c r="E52" s="34"/>
      <c r="F52" s="34"/>
      <c r="G52" s="34"/>
      <c r="H52" s="34"/>
      <c r="I52" s="34"/>
      <c r="J52" s="50"/>
      <c r="K52" s="34"/>
      <c r="L52" s="50"/>
      <c r="M52" s="34"/>
      <c r="N52" s="34"/>
      <c r="O52" s="62" t="n">
        <f aca="false">IF(OR(B52="",E52=""),0,IF(COUNTIFS($B$7:B52,B52,$E$7:E52,E52)=1,1,0))</f>
        <v>0</v>
      </c>
      <c r="P52" s="62" t="n">
        <f aca="false">IF(E52="",0,IF(COUNTIF($E$7:E52,E52)=1,1,0))</f>
        <v>0</v>
      </c>
      <c r="Q52" s="62" t="n">
        <f aca="false">IF(E52="",0,SUMIFS(DEP_FIRSTPAIR,DEP_P4,E52))</f>
        <v>0</v>
      </c>
      <c r="R52" s="54" t="str">
        <f aca="false">IF(A52="","",IF(E52="","No fourth party recorded",IF(Q52&gt;=SharedMin,"Shared dependency: "&amp;Q52&amp;" registered suppliers declare this provider (indicator only - not a risk conclusion)","Declared by one registered supplier")))</f>
        <v/>
      </c>
      <c r="S52" s="54" t="str">
        <f aca="false">IF(A52="","",IF(COUNTIF(DEP_ID,A52)&gt;1,"CHECK: duplicate ID",IF(B52="","CHECK: Supplier ID missing",IF(COUNTIF(INV_ID,B52)=0,"CHECK: Supplier ID not in inventory",IF(AND(L52&lt;&gt;"",COUNTIF(RSK_ID,L52)=0),"CHECK: Risk ID not found","OK")))))</f>
        <v/>
      </c>
    </row>
    <row r="53" customFormat="false" ht="15" hidden="false" customHeight="false" outlineLevel="0" collapsed="false">
      <c r="A53" s="50"/>
      <c r="B53" s="50"/>
      <c r="C53" s="59" t="str">
        <f aca="false">IF(B53="","",IFERROR(INDEX(INV_NAME,MATCH(B53,INV_ID,0)),"CHECK: Supplier ID not found"))</f>
        <v/>
      </c>
      <c r="D53" s="34"/>
      <c r="E53" s="34"/>
      <c r="F53" s="34"/>
      <c r="G53" s="34"/>
      <c r="H53" s="34"/>
      <c r="I53" s="34"/>
      <c r="J53" s="50"/>
      <c r="K53" s="34"/>
      <c r="L53" s="50"/>
      <c r="M53" s="34"/>
      <c r="N53" s="34"/>
      <c r="O53" s="62" t="n">
        <f aca="false">IF(OR(B53="",E53=""),0,IF(COUNTIFS($B$7:B53,B53,$E$7:E53,E53)=1,1,0))</f>
        <v>0</v>
      </c>
      <c r="P53" s="62" t="n">
        <f aca="false">IF(E53="",0,IF(COUNTIF($E$7:E53,E53)=1,1,0))</f>
        <v>0</v>
      </c>
      <c r="Q53" s="62" t="n">
        <f aca="false">IF(E53="",0,SUMIFS(DEP_FIRSTPAIR,DEP_P4,E53))</f>
        <v>0</v>
      </c>
      <c r="R53" s="54" t="str">
        <f aca="false">IF(A53="","",IF(E53="","No fourth party recorded",IF(Q53&gt;=SharedMin,"Shared dependency: "&amp;Q53&amp;" registered suppliers declare this provider (indicator only - not a risk conclusion)","Declared by one registered supplier")))</f>
        <v/>
      </c>
      <c r="S53" s="54" t="str">
        <f aca="false">IF(A53="","",IF(COUNTIF(DEP_ID,A53)&gt;1,"CHECK: duplicate ID",IF(B53="","CHECK: Supplier ID missing",IF(COUNTIF(INV_ID,B53)=0,"CHECK: Supplier ID not in inventory",IF(AND(L53&lt;&gt;"",COUNTIF(RSK_ID,L53)=0),"CHECK: Risk ID not found","OK")))))</f>
        <v/>
      </c>
    </row>
    <row r="54" customFormat="false" ht="15" hidden="false" customHeight="false" outlineLevel="0" collapsed="false">
      <c r="A54" s="50"/>
      <c r="B54" s="50"/>
      <c r="C54" s="59" t="str">
        <f aca="false">IF(B54="","",IFERROR(INDEX(INV_NAME,MATCH(B54,INV_ID,0)),"CHECK: Supplier ID not found"))</f>
        <v/>
      </c>
      <c r="D54" s="34"/>
      <c r="E54" s="34"/>
      <c r="F54" s="34"/>
      <c r="G54" s="34"/>
      <c r="H54" s="34"/>
      <c r="I54" s="34"/>
      <c r="J54" s="50"/>
      <c r="K54" s="34"/>
      <c r="L54" s="50"/>
      <c r="M54" s="34"/>
      <c r="N54" s="34"/>
      <c r="O54" s="62" t="n">
        <f aca="false">IF(OR(B54="",E54=""),0,IF(COUNTIFS($B$7:B54,B54,$E$7:E54,E54)=1,1,0))</f>
        <v>0</v>
      </c>
      <c r="P54" s="62" t="n">
        <f aca="false">IF(E54="",0,IF(COUNTIF($E$7:E54,E54)=1,1,0))</f>
        <v>0</v>
      </c>
      <c r="Q54" s="62" t="n">
        <f aca="false">IF(E54="",0,SUMIFS(DEP_FIRSTPAIR,DEP_P4,E54))</f>
        <v>0</v>
      </c>
      <c r="R54" s="54" t="str">
        <f aca="false">IF(A54="","",IF(E54="","No fourth party recorded",IF(Q54&gt;=SharedMin,"Shared dependency: "&amp;Q54&amp;" registered suppliers declare this provider (indicator only - not a risk conclusion)","Declared by one registered supplier")))</f>
        <v/>
      </c>
      <c r="S54" s="54" t="str">
        <f aca="false">IF(A54="","",IF(COUNTIF(DEP_ID,A54)&gt;1,"CHECK: duplicate ID",IF(B54="","CHECK: Supplier ID missing",IF(COUNTIF(INV_ID,B54)=0,"CHECK: Supplier ID not in inventory",IF(AND(L54&lt;&gt;"",COUNTIF(RSK_ID,L54)=0),"CHECK: Risk ID not found","OK")))))</f>
        <v/>
      </c>
    </row>
    <row r="55" customFormat="false" ht="15" hidden="false" customHeight="false" outlineLevel="0" collapsed="false">
      <c r="A55" s="50"/>
      <c r="B55" s="50"/>
      <c r="C55" s="59" t="str">
        <f aca="false">IF(B55="","",IFERROR(INDEX(INV_NAME,MATCH(B55,INV_ID,0)),"CHECK: Supplier ID not found"))</f>
        <v/>
      </c>
      <c r="D55" s="34"/>
      <c r="E55" s="34"/>
      <c r="F55" s="34"/>
      <c r="G55" s="34"/>
      <c r="H55" s="34"/>
      <c r="I55" s="34"/>
      <c r="J55" s="50"/>
      <c r="K55" s="34"/>
      <c r="L55" s="50"/>
      <c r="M55" s="34"/>
      <c r="N55" s="34"/>
      <c r="O55" s="62" t="n">
        <f aca="false">IF(OR(B55="",E55=""),0,IF(COUNTIFS($B$7:B55,B55,$E$7:E55,E55)=1,1,0))</f>
        <v>0</v>
      </c>
      <c r="P55" s="62" t="n">
        <f aca="false">IF(E55="",0,IF(COUNTIF($E$7:E55,E55)=1,1,0))</f>
        <v>0</v>
      </c>
      <c r="Q55" s="62" t="n">
        <f aca="false">IF(E55="",0,SUMIFS(DEP_FIRSTPAIR,DEP_P4,E55))</f>
        <v>0</v>
      </c>
      <c r="R55" s="54" t="str">
        <f aca="false">IF(A55="","",IF(E55="","No fourth party recorded",IF(Q55&gt;=SharedMin,"Shared dependency: "&amp;Q55&amp;" registered suppliers declare this provider (indicator only - not a risk conclusion)","Declared by one registered supplier")))</f>
        <v/>
      </c>
      <c r="S55" s="54" t="str">
        <f aca="false">IF(A55="","",IF(COUNTIF(DEP_ID,A55)&gt;1,"CHECK: duplicate ID",IF(B55="","CHECK: Supplier ID missing",IF(COUNTIF(INV_ID,B55)=0,"CHECK: Supplier ID not in inventory",IF(AND(L55&lt;&gt;"",COUNTIF(RSK_ID,L55)=0),"CHECK: Risk ID not found","OK")))))</f>
        <v/>
      </c>
    </row>
    <row r="56" customFormat="false" ht="15" hidden="false" customHeight="false" outlineLevel="0" collapsed="false">
      <c r="A56" s="50"/>
      <c r="B56" s="50"/>
      <c r="C56" s="59" t="str">
        <f aca="false">IF(B56="","",IFERROR(INDEX(INV_NAME,MATCH(B56,INV_ID,0)),"CHECK: Supplier ID not found"))</f>
        <v/>
      </c>
      <c r="D56" s="34"/>
      <c r="E56" s="34"/>
      <c r="F56" s="34"/>
      <c r="G56" s="34"/>
      <c r="H56" s="34"/>
      <c r="I56" s="34"/>
      <c r="J56" s="50"/>
      <c r="K56" s="34"/>
      <c r="L56" s="50"/>
      <c r="M56" s="34"/>
      <c r="N56" s="34"/>
      <c r="O56" s="62" t="n">
        <f aca="false">IF(OR(B56="",E56=""),0,IF(COUNTIFS($B$7:B56,B56,$E$7:E56,E56)=1,1,0))</f>
        <v>0</v>
      </c>
      <c r="P56" s="62" t="n">
        <f aca="false">IF(E56="",0,IF(COUNTIF($E$7:E56,E56)=1,1,0))</f>
        <v>0</v>
      </c>
      <c r="Q56" s="62" t="n">
        <f aca="false">IF(E56="",0,SUMIFS(DEP_FIRSTPAIR,DEP_P4,E56))</f>
        <v>0</v>
      </c>
      <c r="R56" s="54" t="str">
        <f aca="false">IF(A56="","",IF(E56="","No fourth party recorded",IF(Q56&gt;=SharedMin,"Shared dependency: "&amp;Q56&amp;" registered suppliers declare this provider (indicator only - not a risk conclusion)","Declared by one registered supplier")))</f>
        <v/>
      </c>
      <c r="S56" s="54" t="str">
        <f aca="false">IF(A56="","",IF(COUNTIF(DEP_ID,A56)&gt;1,"CHECK: duplicate ID",IF(B56="","CHECK: Supplier ID missing",IF(COUNTIF(INV_ID,B56)=0,"CHECK: Supplier ID not in inventory",IF(AND(L56&lt;&gt;"",COUNTIF(RSK_ID,L56)=0),"CHECK: Risk ID not found","OK")))))</f>
        <v/>
      </c>
    </row>
    <row r="57" customFormat="false" ht="15" hidden="false" customHeight="false" outlineLevel="0" collapsed="false">
      <c r="A57" s="50"/>
      <c r="B57" s="50"/>
      <c r="C57" s="59" t="str">
        <f aca="false">IF(B57="","",IFERROR(INDEX(INV_NAME,MATCH(B57,INV_ID,0)),"CHECK: Supplier ID not found"))</f>
        <v/>
      </c>
      <c r="D57" s="34"/>
      <c r="E57" s="34"/>
      <c r="F57" s="34"/>
      <c r="G57" s="34"/>
      <c r="H57" s="34"/>
      <c r="I57" s="34"/>
      <c r="J57" s="50"/>
      <c r="K57" s="34"/>
      <c r="L57" s="50"/>
      <c r="M57" s="34"/>
      <c r="N57" s="34"/>
      <c r="O57" s="62" t="n">
        <f aca="false">IF(OR(B57="",E57=""),0,IF(COUNTIFS($B$7:B57,B57,$E$7:E57,E57)=1,1,0))</f>
        <v>0</v>
      </c>
      <c r="P57" s="62" t="n">
        <f aca="false">IF(E57="",0,IF(COUNTIF($E$7:E57,E57)=1,1,0))</f>
        <v>0</v>
      </c>
      <c r="Q57" s="62" t="n">
        <f aca="false">IF(E57="",0,SUMIFS(DEP_FIRSTPAIR,DEP_P4,E57))</f>
        <v>0</v>
      </c>
      <c r="R57" s="54" t="str">
        <f aca="false">IF(A57="","",IF(E57="","No fourth party recorded",IF(Q57&gt;=SharedMin,"Shared dependency: "&amp;Q57&amp;" registered suppliers declare this provider (indicator only - not a risk conclusion)","Declared by one registered supplier")))</f>
        <v/>
      </c>
      <c r="S57" s="54" t="str">
        <f aca="false">IF(A57="","",IF(COUNTIF(DEP_ID,A57)&gt;1,"CHECK: duplicate ID",IF(B57="","CHECK: Supplier ID missing",IF(COUNTIF(INV_ID,B57)=0,"CHECK: Supplier ID not in inventory",IF(AND(L57&lt;&gt;"",COUNTIF(RSK_ID,L57)=0),"CHECK: Risk ID not found","OK")))))</f>
        <v/>
      </c>
    </row>
    <row r="58" customFormat="false" ht="15" hidden="false" customHeight="false" outlineLevel="0" collapsed="false">
      <c r="A58" s="50"/>
      <c r="B58" s="50"/>
      <c r="C58" s="59" t="str">
        <f aca="false">IF(B58="","",IFERROR(INDEX(INV_NAME,MATCH(B58,INV_ID,0)),"CHECK: Supplier ID not found"))</f>
        <v/>
      </c>
      <c r="D58" s="34"/>
      <c r="E58" s="34"/>
      <c r="F58" s="34"/>
      <c r="G58" s="34"/>
      <c r="H58" s="34"/>
      <c r="I58" s="34"/>
      <c r="J58" s="50"/>
      <c r="K58" s="34"/>
      <c r="L58" s="50"/>
      <c r="M58" s="34"/>
      <c r="N58" s="34"/>
      <c r="O58" s="62" t="n">
        <f aca="false">IF(OR(B58="",E58=""),0,IF(COUNTIFS($B$7:B58,B58,$E$7:E58,E58)=1,1,0))</f>
        <v>0</v>
      </c>
      <c r="P58" s="62" t="n">
        <f aca="false">IF(E58="",0,IF(COUNTIF($E$7:E58,E58)=1,1,0))</f>
        <v>0</v>
      </c>
      <c r="Q58" s="62" t="n">
        <f aca="false">IF(E58="",0,SUMIFS(DEP_FIRSTPAIR,DEP_P4,E58))</f>
        <v>0</v>
      </c>
      <c r="R58" s="54" t="str">
        <f aca="false">IF(A58="","",IF(E58="","No fourth party recorded",IF(Q58&gt;=SharedMin,"Shared dependency: "&amp;Q58&amp;" registered suppliers declare this provider (indicator only - not a risk conclusion)","Declared by one registered supplier")))</f>
        <v/>
      </c>
      <c r="S58" s="54" t="str">
        <f aca="false">IF(A58="","",IF(COUNTIF(DEP_ID,A58)&gt;1,"CHECK: duplicate ID",IF(B58="","CHECK: Supplier ID missing",IF(COUNTIF(INV_ID,B58)=0,"CHECK: Supplier ID not in inventory",IF(AND(L58&lt;&gt;"",COUNTIF(RSK_ID,L58)=0),"CHECK: Risk ID not found","OK")))))</f>
        <v/>
      </c>
    </row>
    <row r="59" customFormat="false" ht="15" hidden="false" customHeight="false" outlineLevel="0" collapsed="false">
      <c r="A59" s="50"/>
      <c r="B59" s="50"/>
      <c r="C59" s="59" t="str">
        <f aca="false">IF(B59="","",IFERROR(INDEX(INV_NAME,MATCH(B59,INV_ID,0)),"CHECK: Supplier ID not found"))</f>
        <v/>
      </c>
      <c r="D59" s="34"/>
      <c r="E59" s="34"/>
      <c r="F59" s="34"/>
      <c r="G59" s="34"/>
      <c r="H59" s="34"/>
      <c r="I59" s="34"/>
      <c r="J59" s="50"/>
      <c r="K59" s="34"/>
      <c r="L59" s="50"/>
      <c r="M59" s="34"/>
      <c r="N59" s="34"/>
      <c r="O59" s="62" t="n">
        <f aca="false">IF(OR(B59="",E59=""),0,IF(COUNTIFS($B$7:B59,B59,$E$7:E59,E59)=1,1,0))</f>
        <v>0</v>
      </c>
      <c r="P59" s="62" t="n">
        <f aca="false">IF(E59="",0,IF(COUNTIF($E$7:E59,E59)=1,1,0))</f>
        <v>0</v>
      </c>
      <c r="Q59" s="62" t="n">
        <f aca="false">IF(E59="",0,SUMIFS(DEP_FIRSTPAIR,DEP_P4,E59))</f>
        <v>0</v>
      </c>
      <c r="R59" s="54" t="str">
        <f aca="false">IF(A59="","",IF(E59="","No fourth party recorded",IF(Q59&gt;=SharedMin,"Shared dependency: "&amp;Q59&amp;" registered suppliers declare this provider (indicator only - not a risk conclusion)","Declared by one registered supplier")))</f>
        <v/>
      </c>
      <c r="S59" s="54" t="str">
        <f aca="false">IF(A59="","",IF(COUNTIF(DEP_ID,A59)&gt;1,"CHECK: duplicate ID",IF(B59="","CHECK: Supplier ID missing",IF(COUNTIF(INV_ID,B59)=0,"CHECK: Supplier ID not in inventory",IF(AND(L59&lt;&gt;"",COUNTIF(RSK_ID,L59)=0),"CHECK: Risk ID not found","OK")))))</f>
        <v/>
      </c>
    </row>
    <row r="60" customFormat="false" ht="15" hidden="false" customHeight="false" outlineLevel="0" collapsed="false">
      <c r="A60" s="50"/>
      <c r="B60" s="50"/>
      <c r="C60" s="59" t="str">
        <f aca="false">IF(B60="","",IFERROR(INDEX(INV_NAME,MATCH(B60,INV_ID,0)),"CHECK: Supplier ID not found"))</f>
        <v/>
      </c>
      <c r="D60" s="34"/>
      <c r="E60" s="34"/>
      <c r="F60" s="34"/>
      <c r="G60" s="34"/>
      <c r="H60" s="34"/>
      <c r="I60" s="34"/>
      <c r="J60" s="50"/>
      <c r="K60" s="34"/>
      <c r="L60" s="50"/>
      <c r="M60" s="34"/>
      <c r="N60" s="34"/>
      <c r="O60" s="62" t="n">
        <f aca="false">IF(OR(B60="",E60=""),0,IF(COUNTIFS($B$7:B60,B60,$E$7:E60,E60)=1,1,0))</f>
        <v>0</v>
      </c>
      <c r="P60" s="62" t="n">
        <f aca="false">IF(E60="",0,IF(COUNTIF($E$7:E60,E60)=1,1,0))</f>
        <v>0</v>
      </c>
      <c r="Q60" s="62" t="n">
        <f aca="false">IF(E60="",0,SUMIFS(DEP_FIRSTPAIR,DEP_P4,E60))</f>
        <v>0</v>
      </c>
      <c r="R60" s="54" t="str">
        <f aca="false">IF(A60="","",IF(E60="","No fourth party recorded",IF(Q60&gt;=SharedMin,"Shared dependency: "&amp;Q60&amp;" registered suppliers declare this provider (indicator only - not a risk conclusion)","Declared by one registered supplier")))</f>
        <v/>
      </c>
      <c r="S60" s="54" t="str">
        <f aca="false">IF(A60="","",IF(COUNTIF(DEP_ID,A60)&gt;1,"CHECK: duplicate ID",IF(B60="","CHECK: Supplier ID missing",IF(COUNTIF(INV_ID,B60)=0,"CHECK: Supplier ID not in inventory",IF(AND(L60&lt;&gt;"",COUNTIF(RSK_ID,L60)=0),"CHECK: Risk ID not found","OK")))))</f>
        <v/>
      </c>
    </row>
    <row r="61" customFormat="false" ht="15" hidden="false" customHeight="false" outlineLevel="0" collapsed="false">
      <c r="A61" s="50"/>
      <c r="B61" s="50"/>
      <c r="C61" s="59" t="str">
        <f aca="false">IF(B61="","",IFERROR(INDEX(INV_NAME,MATCH(B61,INV_ID,0)),"CHECK: Supplier ID not found"))</f>
        <v/>
      </c>
      <c r="D61" s="34"/>
      <c r="E61" s="34"/>
      <c r="F61" s="34"/>
      <c r="G61" s="34"/>
      <c r="H61" s="34"/>
      <c r="I61" s="34"/>
      <c r="J61" s="50"/>
      <c r="K61" s="34"/>
      <c r="L61" s="50"/>
      <c r="M61" s="34"/>
      <c r="N61" s="34"/>
      <c r="O61" s="62" t="n">
        <f aca="false">IF(OR(B61="",E61=""),0,IF(COUNTIFS($B$7:B61,B61,$E$7:E61,E61)=1,1,0))</f>
        <v>0</v>
      </c>
      <c r="P61" s="62" t="n">
        <f aca="false">IF(E61="",0,IF(COUNTIF($E$7:E61,E61)=1,1,0))</f>
        <v>0</v>
      </c>
      <c r="Q61" s="62" t="n">
        <f aca="false">IF(E61="",0,SUMIFS(DEP_FIRSTPAIR,DEP_P4,E61))</f>
        <v>0</v>
      </c>
      <c r="R61" s="54" t="str">
        <f aca="false">IF(A61="","",IF(E61="","No fourth party recorded",IF(Q61&gt;=SharedMin,"Shared dependency: "&amp;Q61&amp;" registered suppliers declare this provider (indicator only - not a risk conclusion)","Declared by one registered supplier")))</f>
        <v/>
      </c>
      <c r="S61" s="54" t="str">
        <f aca="false">IF(A61="","",IF(COUNTIF(DEP_ID,A61)&gt;1,"CHECK: duplicate ID",IF(B61="","CHECK: Supplier ID missing",IF(COUNTIF(INV_ID,B61)=0,"CHECK: Supplier ID not in inventory",IF(AND(L61&lt;&gt;"",COUNTIF(RSK_ID,L61)=0),"CHECK: Risk ID not found","OK")))))</f>
        <v/>
      </c>
    </row>
    <row r="62" customFormat="false" ht="15" hidden="false" customHeight="false" outlineLevel="0" collapsed="false">
      <c r="A62" s="50"/>
      <c r="B62" s="50"/>
      <c r="C62" s="59" t="str">
        <f aca="false">IF(B62="","",IFERROR(INDEX(INV_NAME,MATCH(B62,INV_ID,0)),"CHECK: Supplier ID not found"))</f>
        <v/>
      </c>
      <c r="D62" s="34"/>
      <c r="E62" s="34"/>
      <c r="F62" s="34"/>
      <c r="G62" s="34"/>
      <c r="H62" s="34"/>
      <c r="I62" s="34"/>
      <c r="J62" s="50"/>
      <c r="K62" s="34"/>
      <c r="L62" s="50"/>
      <c r="M62" s="34"/>
      <c r="N62" s="34"/>
      <c r="O62" s="62" t="n">
        <f aca="false">IF(OR(B62="",E62=""),0,IF(COUNTIFS($B$7:B62,B62,$E$7:E62,E62)=1,1,0))</f>
        <v>0</v>
      </c>
      <c r="P62" s="62" t="n">
        <f aca="false">IF(E62="",0,IF(COUNTIF($E$7:E62,E62)=1,1,0))</f>
        <v>0</v>
      </c>
      <c r="Q62" s="62" t="n">
        <f aca="false">IF(E62="",0,SUMIFS(DEP_FIRSTPAIR,DEP_P4,E62))</f>
        <v>0</v>
      </c>
      <c r="R62" s="54" t="str">
        <f aca="false">IF(A62="","",IF(E62="","No fourth party recorded",IF(Q62&gt;=SharedMin,"Shared dependency: "&amp;Q62&amp;" registered suppliers declare this provider (indicator only - not a risk conclusion)","Declared by one registered supplier")))</f>
        <v/>
      </c>
      <c r="S62" s="54" t="str">
        <f aca="false">IF(A62="","",IF(COUNTIF(DEP_ID,A62)&gt;1,"CHECK: duplicate ID",IF(B62="","CHECK: Supplier ID missing",IF(COUNTIF(INV_ID,B62)=0,"CHECK: Supplier ID not in inventory",IF(AND(L62&lt;&gt;"",COUNTIF(RSK_ID,L62)=0),"CHECK: Risk ID not found","OK")))))</f>
        <v/>
      </c>
    </row>
    <row r="63" customFormat="false" ht="15" hidden="false" customHeight="false" outlineLevel="0" collapsed="false">
      <c r="A63" s="50"/>
      <c r="B63" s="50"/>
      <c r="C63" s="59" t="str">
        <f aca="false">IF(B63="","",IFERROR(INDEX(INV_NAME,MATCH(B63,INV_ID,0)),"CHECK: Supplier ID not found"))</f>
        <v/>
      </c>
      <c r="D63" s="34"/>
      <c r="E63" s="34"/>
      <c r="F63" s="34"/>
      <c r="G63" s="34"/>
      <c r="H63" s="34"/>
      <c r="I63" s="34"/>
      <c r="J63" s="50"/>
      <c r="K63" s="34"/>
      <c r="L63" s="50"/>
      <c r="M63" s="34"/>
      <c r="N63" s="34"/>
      <c r="O63" s="62" t="n">
        <f aca="false">IF(OR(B63="",E63=""),0,IF(COUNTIFS($B$7:B63,B63,$E$7:E63,E63)=1,1,0))</f>
        <v>0</v>
      </c>
      <c r="P63" s="62" t="n">
        <f aca="false">IF(E63="",0,IF(COUNTIF($E$7:E63,E63)=1,1,0))</f>
        <v>0</v>
      </c>
      <c r="Q63" s="62" t="n">
        <f aca="false">IF(E63="",0,SUMIFS(DEP_FIRSTPAIR,DEP_P4,E63))</f>
        <v>0</v>
      </c>
      <c r="R63" s="54" t="str">
        <f aca="false">IF(A63="","",IF(E63="","No fourth party recorded",IF(Q63&gt;=SharedMin,"Shared dependency: "&amp;Q63&amp;" registered suppliers declare this provider (indicator only - not a risk conclusion)","Declared by one registered supplier")))</f>
        <v/>
      </c>
      <c r="S63" s="54" t="str">
        <f aca="false">IF(A63="","",IF(COUNTIF(DEP_ID,A63)&gt;1,"CHECK: duplicate ID",IF(B63="","CHECK: Supplier ID missing",IF(COUNTIF(INV_ID,B63)=0,"CHECK: Supplier ID not in inventory",IF(AND(L63&lt;&gt;"",COUNTIF(RSK_ID,L63)=0),"CHECK: Risk ID not found","OK")))))</f>
        <v/>
      </c>
    </row>
    <row r="64" customFormat="false" ht="15" hidden="false" customHeight="false" outlineLevel="0" collapsed="false">
      <c r="A64" s="50"/>
      <c r="B64" s="50"/>
      <c r="C64" s="59" t="str">
        <f aca="false">IF(B64="","",IFERROR(INDEX(INV_NAME,MATCH(B64,INV_ID,0)),"CHECK: Supplier ID not found"))</f>
        <v/>
      </c>
      <c r="D64" s="34"/>
      <c r="E64" s="34"/>
      <c r="F64" s="34"/>
      <c r="G64" s="34"/>
      <c r="H64" s="34"/>
      <c r="I64" s="34"/>
      <c r="J64" s="50"/>
      <c r="K64" s="34"/>
      <c r="L64" s="50"/>
      <c r="M64" s="34"/>
      <c r="N64" s="34"/>
      <c r="O64" s="62" t="n">
        <f aca="false">IF(OR(B64="",E64=""),0,IF(COUNTIFS($B$7:B64,B64,$E$7:E64,E64)=1,1,0))</f>
        <v>0</v>
      </c>
      <c r="P64" s="62" t="n">
        <f aca="false">IF(E64="",0,IF(COUNTIF($E$7:E64,E64)=1,1,0))</f>
        <v>0</v>
      </c>
      <c r="Q64" s="62" t="n">
        <f aca="false">IF(E64="",0,SUMIFS(DEP_FIRSTPAIR,DEP_P4,E64))</f>
        <v>0</v>
      </c>
      <c r="R64" s="54" t="str">
        <f aca="false">IF(A64="","",IF(E64="","No fourth party recorded",IF(Q64&gt;=SharedMin,"Shared dependency: "&amp;Q64&amp;" registered suppliers declare this provider (indicator only - not a risk conclusion)","Declared by one registered supplier")))</f>
        <v/>
      </c>
      <c r="S64" s="54" t="str">
        <f aca="false">IF(A64="","",IF(COUNTIF(DEP_ID,A64)&gt;1,"CHECK: duplicate ID",IF(B64="","CHECK: Supplier ID missing",IF(COUNTIF(INV_ID,B64)=0,"CHECK: Supplier ID not in inventory",IF(AND(L64&lt;&gt;"",COUNTIF(RSK_ID,L64)=0),"CHECK: Risk ID not found","OK")))))</f>
        <v/>
      </c>
    </row>
    <row r="65" customFormat="false" ht="15" hidden="false" customHeight="false" outlineLevel="0" collapsed="false">
      <c r="A65" s="50"/>
      <c r="B65" s="50"/>
      <c r="C65" s="59" t="str">
        <f aca="false">IF(B65="","",IFERROR(INDEX(INV_NAME,MATCH(B65,INV_ID,0)),"CHECK: Supplier ID not found"))</f>
        <v/>
      </c>
      <c r="D65" s="34"/>
      <c r="E65" s="34"/>
      <c r="F65" s="34"/>
      <c r="G65" s="34"/>
      <c r="H65" s="34"/>
      <c r="I65" s="34"/>
      <c r="J65" s="50"/>
      <c r="K65" s="34"/>
      <c r="L65" s="50"/>
      <c r="M65" s="34"/>
      <c r="N65" s="34"/>
      <c r="O65" s="62" t="n">
        <f aca="false">IF(OR(B65="",E65=""),0,IF(COUNTIFS($B$7:B65,B65,$E$7:E65,E65)=1,1,0))</f>
        <v>0</v>
      </c>
      <c r="P65" s="62" t="n">
        <f aca="false">IF(E65="",0,IF(COUNTIF($E$7:E65,E65)=1,1,0))</f>
        <v>0</v>
      </c>
      <c r="Q65" s="62" t="n">
        <f aca="false">IF(E65="",0,SUMIFS(DEP_FIRSTPAIR,DEP_P4,E65))</f>
        <v>0</v>
      </c>
      <c r="R65" s="54" t="str">
        <f aca="false">IF(A65="","",IF(E65="","No fourth party recorded",IF(Q65&gt;=SharedMin,"Shared dependency: "&amp;Q65&amp;" registered suppliers declare this provider (indicator only - not a risk conclusion)","Declared by one registered supplier")))</f>
        <v/>
      </c>
      <c r="S65" s="54" t="str">
        <f aca="false">IF(A65="","",IF(COUNTIF(DEP_ID,A65)&gt;1,"CHECK: duplicate ID",IF(B65="","CHECK: Supplier ID missing",IF(COUNTIF(INV_ID,B65)=0,"CHECK: Supplier ID not in inventory",IF(AND(L65&lt;&gt;"",COUNTIF(RSK_ID,L65)=0),"CHECK: Risk ID not found","OK")))))</f>
        <v/>
      </c>
    </row>
    <row r="66" customFormat="false" ht="15" hidden="false" customHeight="false" outlineLevel="0" collapsed="false">
      <c r="A66" s="50"/>
      <c r="B66" s="50"/>
      <c r="C66" s="59" t="str">
        <f aca="false">IF(B66="","",IFERROR(INDEX(INV_NAME,MATCH(B66,INV_ID,0)),"CHECK: Supplier ID not found"))</f>
        <v/>
      </c>
      <c r="D66" s="34"/>
      <c r="E66" s="34"/>
      <c r="F66" s="34"/>
      <c r="G66" s="34"/>
      <c r="H66" s="34"/>
      <c r="I66" s="34"/>
      <c r="J66" s="50"/>
      <c r="K66" s="34"/>
      <c r="L66" s="50"/>
      <c r="M66" s="34"/>
      <c r="N66" s="34"/>
      <c r="O66" s="62" t="n">
        <f aca="false">IF(OR(B66="",E66=""),0,IF(COUNTIFS($B$7:B66,B66,$E$7:E66,E66)=1,1,0))</f>
        <v>0</v>
      </c>
      <c r="P66" s="62" t="n">
        <f aca="false">IF(E66="",0,IF(COUNTIF($E$7:E66,E66)=1,1,0))</f>
        <v>0</v>
      </c>
      <c r="Q66" s="62" t="n">
        <f aca="false">IF(E66="",0,SUMIFS(DEP_FIRSTPAIR,DEP_P4,E66))</f>
        <v>0</v>
      </c>
      <c r="R66" s="54" t="str">
        <f aca="false">IF(A66="","",IF(E66="","No fourth party recorded",IF(Q66&gt;=SharedMin,"Shared dependency: "&amp;Q66&amp;" registered suppliers declare this provider (indicator only - not a risk conclusion)","Declared by one registered supplier")))</f>
        <v/>
      </c>
      <c r="S66" s="54" t="str">
        <f aca="false">IF(A66="","",IF(COUNTIF(DEP_ID,A66)&gt;1,"CHECK: duplicate ID",IF(B66="","CHECK: Supplier ID missing",IF(COUNTIF(INV_ID,B66)=0,"CHECK: Supplier ID not in inventory",IF(AND(L66&lt;&gt;"",COUNTIF(RSK_ID,L66)=0),"CHECK: Risk ID not found","OK")))))</f>
        <v/>
      </c>
    </row>
    <row r="67" customFormat="false" ht="15" hidden="false" customHeight="false" outlineLevel="0" collapsed="false">
      <c r="A67" s="50"/>
      <c r="B67" s="50"/>
      <c r="C67" s="59" t="str">
        <f aca="false">IF(B67="","",IFERROR(INDEX(INV_NAME,MATCH(B67,INV_ID,0)),"CHECK: Supplier ID not found"))</f>
        <v/>
      </c>
      <c r="D67" s="34"/>
      <c r="E67" s="34"/>
      <c r="F67" s="34"/>
      <c r="G67" s="34"/>
      <c r="H67" s="34"/>
      <c r="I67" s="34"/>
      <c r="J67" s="50"/>
      <c r="K67" s="34"/>
      <c r="L67" s="50"/>
      <c r="M67" s="34"/>
      <c r="N67" s="34"/>
      <c r="O67" s="62" t="n">
        <f aca="false">IF(OR(B67="",E67=""),0,IF(COUNTIFS($B$7:B67,B67,$E$7:E67,E67)=1,1,0))</f>
        <v>0</v>
      </c>
      <c r="P67" s="62" t="n">
        <f aca="false">IF(E67="",0,IF(COUNTIF($E$7:E67,E67)=1,1,0))</f>
        <v>0</v>
      </c>
      <c r="Q67" s="62" t="n">
        <f aca="false">IF(E67="",0,SUMIFS(DEP_FIRSTPAIR,DEP_P4,E67))</f>
        <v>0</v>
      </c>
      <c r="R67" s="54" t="str">
        <f aca="false">IF(A67="","",IF(E67="","No fourth party recorded",IF(Q67&gt;=SharedMin,"Shared dependency: "&amp;Q67&amp;" registered suppliers declare this provider (indicator only - not a risk conclusion)","Declared by one registered supplier")))</f>
        <v/>
      </c>
      <c r="S67" s="54" t="str">
        <f aca="false">IF(A67="","",IF(COUNTIF(DEP_ID,A67)&gt;1,"CHECK: duplicate ID",IF(B67="","CHECK: Supplier ID missing",IF(COUNTIF(INV_ID,B67)=0,"CHECK: Supplier ID not in inventory",IF(AND(L67&lt;&gt;"",COUNTIF(RSK_ID,L67)=0),"CHECK: Risk ID not found","OK")))))</f>
        <v/>
      </c>
    </row>
    <row r="68" customFormat="false" ht="15" hidden="false" customHeight="false" outlineLevel="0" collapsed="false">
      <c r="A68" s="50"/>
      <c r="B68" s="50"/>
      <c r="C68" s="59" t="str">
        <f aca="false">IF(B68="","",IFERROR(INDEX(INV_NAME,MATCH(B68,INV_ID,0)),"CHECK: Supplier ID not found"))</f>
        <v/>
      </c>
      <c r="D68" s="34"/>
      <c r="E68" s="34"/>
      <c r="F68" s="34"/>
      <c r="G68" s="34"/>
      <c r="H68" s="34"/>
      <c r="I68" s="34"/>
      <c r="J68" s="50"/>
      <c r="K68" s="34"/>
      <c r="L68" s="50"/>
      <c r="M68" s="34"/>
      <c r="N68" s="34"/>
      <c r="O68" s="62" t="n">
        <f aca="false">IF(OR(B68="",E68=""),0,IF(COUNTIFS($B$7:B68,B68,$E$7:E68,E68)=1,1,0))</f>
        <v>0</v>
      </c>
      <c r="P68" s="62" t="n">
        <f aca="false">IF(E68="",0,IF(COUNTIF($E$7:E68,E68)=1,1,0))</f>
        <v>0</v>
      </c>
      <c r="Q68" s="62" t="n">
        <f aca="false">IF(E68="",0,SUMIFS(DEP_FIRSTPAIR,DEP_P4,E68))</f>
        <v>0</v>
      </c>
      <c r="R68" s="54" t="str">
        <f aca="false">IF(A68="","",IF(E68="","No fourth party recorded",IF(Q68&gt;=SharedMin,"Shared dependency: "&amp;Q68&amp;" registered suppliers declare this provider (indicator only - not a risk conclusion)","Declared by one registered supplier")))</f>
        <v/>
      </c>
      <c r="S68" s="54" t="str">
        <f aca="false">IF(A68="","",IF(COUNTIF(DEP_ID,A68)&gt;1,"CHECK: duplicate ID",IF(B68="","CHECK: Supplier ID missing",IF(COUNTIF(INV_ID,B68)=0,"CHECK: Supplier ID not in inventory",IF(AND(L68&lt;&gt;"",COUNTIF(RSK_ID,L68)=0),"CHECK: Risk ID not found","OK")))))</f>
        <v/>
      </c>
    </row>
    <row r="69" customFormat="false" ht="15" hidden="false" customHeight="false" outlineLevel="0" collapsed="false">
      <c r="A69" s="50"/>
      <c r="B69" s="50"/>
      <c r="C69" s="59" t="str">
        <f aca="false">IF(B69="","",IFERROR(INDEX(INV_NAME,MATCH(B69,INV_ID,0)),"CHECK: Supplier ID not found"))</f>
        <v/>
      </c>
      <c r="D69" s="34"/>
      <c r="E69" s="34"/>
      <c r="F69" s="34"/>
      <c r="G69" s="34"/>
      <c r="H69" s="34"/>
      <c r="I69" s="34"/>
      <c r="J69" s="50"/>
      <c r="K69" s="34"/>
      <c r="L69" s="50"/>
      <c r="M69" s="34"/>
      <c r="N69" s="34"/>
      <c r="O69" s="62" t="n">
        <f aca="false">IF(OR(B69="",E69=""),0,IF(COUNTIFS($B$7:B69,B69,$E$7:E69,E69)=1,1,0))</f>
        <v>0</v>
      </c>
      <c r="P69" s="62" t="n">
        <f aca="false">IF(E69="",0,IF(COUNTIF($E$7:E69,E69)=1,1,0))</f>
        <v>0</v>
      </c>
      <c r="Q69" s="62" t="n">
        <f aca="false">IF(E69="",0,SUMIFS(DEP_FIRSTPAIR,DEP_P4,E69))</f>
        <v>0</v>
      </c>
      <c r="R69" s="54" t="str">
        <f aca="false">IF(A69="","",IF(E69="","No fourth party recorded",IF(Q69&gt;=SharedMin,"Shared dependency: "&amp;Q69&amp;" registered suppliers declare this provider (indicator only - not a risk conclusion)","Declared by one registered supplier")))</f>
        <v/>
      </c>
      <c r="S69" s="54" t="str">
        <f aca="false">IF(A69="","",IF(COUNTIF(DEP_ID,A69)&gt;1,"CHECK: duplicate ID",IF(B69="","CHECK: Supplier ID missing",IF(COUNTIF(INV_ID,B69)=0,"CHECK: Supplier ID not in inventory",IF(AND(L69&lt;&gt;"",COUNTIF(RSK_ID,L69)=0),"CHECK: Risk ID not found","OK")))))</f>
        <v/>
      </c>
    </row>
    <row r="70" customFormat="false" ht="15" hidden="false" customHeight="false" outlineLevel="0" collapsed="false">
      <c r="A70" s="50"/>
      <c r="B70" s="50"/>
      <c r="C70" s="59" t="str">
        <f aca="false">IF(B70="","",IFERROR(INDEX(INV_NAME,MATCH(B70,INV_ID,0)),"CHECK: Supplier ID not found"))</f>
        <v/>
      </c>
      <c r="D70" s="34"/>
      <c r="E70" s="34"/>
      <c r="F70" s="34"/>
      <c r="G70" s="34"/>
      <c r="H70" s="34"/>
      <c r="I70" s="34"/>
      <c r="J70" s="50"/>
      <c r="K70" s="34"/>
      <c r="L70" s="50"/>
      <c r="M70" s="34"/>
      <c r="N70" s="34"/>
      <c r="O70" s="62" t="n">
        <f aca="false">IF(OR(B70="",E70=""),0,IF(COUNTIFS($B$7:B70,B70,$E$7:E70,E70)=1,1,0))</f>
        <v>0</v>
      </c>
      <c r="P70" s="62" t="n">
        <f aca="false">IF(E70="",0,IF(COUNTIF($E$7:E70,E70)=1,1,0))</f>
        <v>0</v>
      </c>
      <c r="Q70" s="62" t="n">
        <f aca="false">IF(E70="",0,SUMIFS(DEP_FIRSTPAIR,DEP_P4,E70))</f>
        <v>0</v>
      </c>
      <c r="R70" s="54" t="str">
        <f aca="false">IF(A70="","",IF(E70="","No fourth party recorded",IF(Q70&gt;=SharedMin,"Shared dependency: "&amp;Q70&amp;" registered suppliers declare this provider (indicator only - not a risk conclusion)","Declared by one registered supplier")))</f>
        <v/>
      </c>
      <c r="S70" s="54" t="str">
        <f aca="false">IF(A70="","",IF(COUNTIF(DEP_ID,A70)&gt;1,"CHECK: duplicate ID",IF(B70="","CHECK: Supplier ID missing",IF(COUNTIF(INV_ID,B70)=0,"CHECK: Supplier ID not in inventory",IF(AND(L70&lt;&gt;"",COUNTIF(RSK_ID,L70)=0),"CHECK: Risk ID not found","OK")))))</f>
        <v/>
      </c>
    </row>
    <row r="71" customFormat="false" ht="15" hidden="false" customHeight="false" outlineLevel="0" collapsed="false">
      <c r="A71" s="50"/>
      <c r="B71" s="50"/>
      <c r="C71" s="59" t="str">
        <f aca="false">IF(B71="","",IFERROR(INDEX(INV_NAME,MATCH(B71,INV_ID,0)),"CHECK: Supplier ID not found"))</f>
        <v/>
      </c>
      <c r="D71" s="34"/>
      <c r="E71" s="34"/>
      <c r="F71" s="34"/>
      <c r="G71" s="34"/>
      <c r="H71" s="34"/>
      <c r="I71" s="34"/>
      <c r="J71" s="50"/>
      <c r="K71" s="34"/>
      <c r="L71" s="50"/>
      <c r="M71" s="34"/>
      <c r="N71" s="34"/>
      <c r="O71" s="62" t="n">
        <f aca="false">IF(OR(B71="",E71=""),0,IF(COUNTIFS($B$7:B71,B71,$E$7:E71,E71)=1,1,0))</f>
        <v>0</v>
      </c>
      <c r="P71" s="62" t="n">
        <f aca="false">IF(E71="",0,IF(COUNTIF($E$7:E71,E71)=1,1,0))</f>
        <v>0</v>
      </c>
      <c r="Q71" s="62" t="n">
        <f aca="false">IF(E71="",0,SUMIFS(DEP_FIRSTPAIR,DEP_P4,E71))</f>
        <v>0</v>
      </c>
      <c r="R71" s="54" t="str">
        <f aca="false">IF(A71="","",IF(E71="","No fourth party recorded",IF(Q71&gt;=SharedMin,"Shared dependency: "&amp;Q71&amp;" registered suppliers declare this provider (indicator only - not a risk conclusion)","Declared by one registered supplier")))</f>
        <v/>
      </c>
      <c r="S71" s="54" t="str">
        <f aca="false">IF(A71="","",IF(COUNTIF(DEP_ID,A71)&gt;1,"CHECK: duplicate ID",IF(B71="","CHECK: Supplier ID missing",IF(COUNTIF(INV_ID,B71)=0,"CHECK: Supplier ID not in inventory",IF(AND(L71&lt;&gt;"",COUNTIF(RSK_ID,L71)=0),"CHECK: Risk ID not found","OK")))))</f>
        <v/>
      </c>
    </row>
    <row r="72" customFormat="false" ht="15" hidden="false" customHeight="false" outlineLevel="0" collapsed="false">
      <c r="A72" s="50"/>
      <c r="B72" s="50"/>
      <c r="C72" s="59" t="str">
        <f aca="false">IF(B72="","",IFERROR(INDEX(INV_NAME,MATCH(B72,INV_ID,0)),"CHECK: Supplier ID not found"))</f>
        <v/>
      </c>
      <c r="D72" s="34"/>
      <c r="E72" s="34"/>
      <c r="F72" s="34"/>
      <c r="G72" s="34"/>
      <c r="H72" s="34"/>
      <c r="I72" s="34"/>
      <c r="J72" s="50"/>
      <c r="K72" s="34"/>
      <c r="L72" s="50"/>
      <c r="M72" s="34"/>
      <c r="N72" s="34"/>
      <c r="O72" s="62" t="n">
        <f aca="false">IF(OR(B72="",E72=""),0,IF(COUNTIFS($B$7:B72,B72,$E$7:E72,E72)=1,1,0))</f>
        <v>0</v>
      </c>
      <c r="P72" s="62" t="n">
        <f aca="false">IF(E72="",0,IF(COUNTIF($E$7:E72,E72)=1,1,0))</f>
        <v>0</v>
      </c>
      <c r="Q72" s="62" t="n">
        <f aca="false">IF(E72="",0,SUMIFS(DEP_FIRSTPAIR,DEP_P4,E72))</f>
        <v>0</v>
      </c>
      <c r="R72" s="54" t="str">
        <f aca="false">IF(A72="","",IF(E72="","No fourth party recorded",IF(Q72&gt;=SharedMin,"Shared dependency: "&amp;Q72&amp;" registered suppliers declare this provider (indicator only - not a risk conclusion)","Declared by one registered supplier")))</f>
        <v/>
      </c>
      <c r="S72" s="54" t="str">
        <f aca="false">IF(A72="","",IF(COUNTIF(DEP_ID,A72)&gt;1,"CHECK: duplicate ID",IF(B72="","CHECK: Supplier ID missing",IF(COUNTIF(INV_ID,B72)=0,"CHECK: Supplier ID not in inventory",IF(AND(L72&lt;&gt;"",COUNTIF(RSK_ID,L72)=0),"CHECK: Risk ID not found","OK")))))</f>
        <v/>
      </c>
    </row>
    <row r="73" customFormat="false" ht="15" hidden="false" customHeight="false" outlineLevel="0" collapsed="false">
      <c r="A73" s="50"/>
      <c r="B73" s="50"/>
      <c r="C73" s="59" t="str">
        <f aca="false">IF(B73="","",IFERROR(INDEX(INV_NAME,MATCH(B73,INV_ID,0)),"CHECK: Supplier ID not found"))</f>
        <v/>
      </c>
      <c r="D73" s="34"/>
      <c r="E73" s="34"/>
      <c r="F73" s="34"/>
      <c r="G73" s="34"/>
      <c r="H73" s="34"/>
      <c r="I73" s="34"/>
      <c r="J73" s="50"/>
      <c r="K73" s="34"/>
      <c r="L73" s="50"/>
      <c r="M73" s="34"/>
      <c r="N73" s="34"/>
      <c r="O73" s="62" t="n">
        <f aca="false">IF(OR(B73="",E73=""),0,IF(COUNTIFS($B$7:B73,B73,$E$7:E73,E73)=1,1,0))</f>
        <v>0</v>
      </c>
      <c r="P73" s="62" t="n">
        <f aca="false">IF(E73="",0,IF(COUNTIF($E$7:E73,E73)=1,1,0))</f>
        <v>0</v>
      </c>
      <c r="Q73" s="62" t="n">
        <f aca="false">IF(E73="",0,SUMIFS(DEP_FIRSTPAIR,DEP_P4,E73))</f>
        <v>0</v>
      </c>
      <c r="R73" s="54" t="str">
        <f aca="false">IF(A73="","",IF(E73="","No fourth party recorded",IF(Q73&gt;=SharedMin,"Shared dependency: "&amp;Q73&amp;" registered suppliers declare this provider (indicator only - not a risk conclusion)","Declared by one registered supplier")))</f>
        <v/>
      </c>
      <c r="S73" s="54" t="str">
        <f aca="false">IF(A73="","",IF(COUNTIF(DEP_ID,A73)&gt;1,"CHECK: duplicate ID",IF(B73="","CHECK: Supplier ID missing",IF(COUNTIF(INV_ID,B73)=0,"CHECK: Supplier ID not in inventory",IF(AND(L73&lt;&gt;"",COUNTIF(RSK_ID,L73)=0),"CHECK: Risk ID not found","OK")))))</f>
        <v/>
      </c>
    </row>
    <row r="74" customFormat="false" ht="15" hidden="false" customHeight="false" outlineLevel="0" collapsed="false">
      <c r="A74" s="50"/>
      <c r="B74" s="50"/>
      <c r="C74" s="59" t="str">
        <f aca="false">IF(B74="","",IFERROR(INDEX(INV_NAME,MATCH(B74,INV_ID,0)),"CHECK: Supplier ID not found"))</f>
        <v/>
      </c>
      <c r="D74" s="34"/>
      <c r="E74" s="34"/>
      <c r="F74" s="34"/>
      <c r="G74" s="34"/>
      <c r="H74" s="34"/>
      <c r="I74" s="34"/>
      <c r="J74" s="50"/>
      <c r="K74" s="34"/>
      <c r="L74" s="50"/>
      <c r="M74" s="34"/>
      <c r="N74" s="34"/>
      <c r="O74" s="62" t="n">
        <f aca="false">IF(OR(B74="",E74=""),0,IF(COUNTIFS($B$7:B74,B74,$E$7:E74,E74)=1,1,0))</f>
        <v>0</v>
      </c>
      <c r="P74" s="62" t="n">
        <f aca="false">IF(E74="",0,IF(COUNTIF($E$7:E74,E74)=1,1,0))</f>
        <v>0</v>
      </c>
      <c r="Q74" s="62" t="n">
        <f aca="false">IF(E74="",0,SUMIFS(DEP_FIRSTPAIR,DEP_P4,E74))</f>
        <v>0</v>
      </c>
      <c r="R74" s="54" t="str">
        <f aca="false">IF(A74="","",IF(E74="","No fourth party recorded",IF(Q74&gt;=SharedMin,"Shared dependency: "&amp;Q74&amp;" registered suppliers declare this provider (indicator only - not a risk conclusion)","Declared by one registered supplier")))</f>
        <v/>
      </c>
      <c r="S74" s="54" t="str">
        <f aca="false">IF(A74="","",IF(COUNTIF(DEP_ID,A74)&gt;1,"CHECK: duplicate ID",IF(B74="","CHECK: Supplier ID missing",IF(COUNTIF(INV_ID,B74)=0,"CHECK: Supplier ID not in inventory",IF(AND(L74&lt;&gt;"",COUNTIF(RSK_ID,L74)=0),"CHECK: Risk ID not found","OK")))))</f>
        <v/>
      </c>
    </row>
    <row r="75" customFormat="false" ht="15" hidden="false" customHeight="false" outlineLevel="0" collapsed="false">
      <c r="A75" s="50"/>
      <c r="B75" s="50"/>
      <c r="C75" s="59" t="str">
        <f aca="false">IF(B75="","",IFERROR(INDEX(INV_NAME,MATCH(B75,INV_ID,0)),"CHECK: Supplier ID not found"))</f>
        <v/>
      </c>
      <c r="D75" s="34"/>
      <c r="E75" s="34"/>
      <c r="F75" s="34"/>
      <c r="G75" s="34"/>
      <c r="H75" s="34"/>
      <c r="I75" s="34"/>
      <c r="J75" s="50"/>
      <c r="K75" s="34"/>
      <c r="L75" s="50"/>
      <c r="M75" s="34"/>
      <c r="N75" s="34"/>
      <c r="O75" s="62" t="n">
        <f aca="false">IF(OR(B75="",E75=""),0,IF(COUNTIFS($B$7:B75,B75,$E$7:E75,E75)=1,1,0))</f>
        <v>0</v>
      </c>
      <c r="P75" s="62" t="n">
        <f aca="false">IF(E75="",0,IF(COUNTIF($E$7:E75,E75)=1,1,0))</f>
        <v>0</v>
      </c>
      <c r="Q75" s="62" t="n">
        <f aca="false">IF(E75="",0,SUMIFS(DEP_FIRSTPAIR,DEP_P4,E75))</f>
        <v>0</v>
      </c>
      <c r="R75" s="54" t="str">
        <f aca="false">IF(A75="","",IF(E75="","No fourth party recorded",IF(Q75&gt;=SharedMin,"Shared dependency: "&amp;Q75&amp;" registered suppliers declare this provider (indicator only - not a risk conclusion)","Declared by one registered supplier")))</f>
        <v/>
      </c>
      <c r="S75" s="54" t="str">
        <f aca="false">IF(A75="","",IF(COUNTIF(DEP_ID,A75)&gt;1,"CHECK: duplicate ID",IF(B75="","CHECK: Supplier ID missing",IF(COUNTIF(INV_ID,B75)=0,"CHECK: Supplier ID not in inventory",IF(AND(L75&lt;&gt;"",COUNTIF(RSK_ID,L75)=0),"CHECK: Risk ID not found","OK")))))</f>
        <v/>
      </c>
    </row>
    <row r="76" customFormat="false" ht="15" hidden="false" customHeight="false" outlineLevel="0" collapsed="false">
      <c r="A76" s="50"/>
      <c r="B76" s="50"/>
      <c r="C76" s="59" t="str">
        <f aca="false">IF(B76="","",IFERROR(INDEX(INV_NAME,MATCH(B76,INV_ID,0)),"CHECK: Supplier ID not found"))</f>
        <v/>
      </c>
      <c r="D76" s="34"/>
      <c r="E76" s="34"/>
      <c r="F76" s="34"/>
      <c r="G76" s="34"/>
      <c r="H76" s="34"/>
      <c r="I76" s="34"/>
      <c r="J76" s="50"/>
      <c r="K76" s="34"/>
      <c r="L76" s="50"/>
      <c r="M76" s="34"/>
      <c r="N76" s="34"/>
      <c r="O76" s="62" t="n">
        <f aca="false">IF(OR(B76="",E76=""),0,IF(COUNTIFS($B$7:B76,B76,$E$7:E76,E76)=1,1,0))</f>
        <v>0</v>
      </c>
      <c r="P76" s="62" t="n">
        <f aca="false">IF(E76="",0,IF(COUNTIF($E$7:E76,E76)=1,1,0))</f>
        <v>0</v>
      </c>
      <c r="Q76" s="62" t="n">
        <f aca="false">IF(E76="",0,SUMIFS(DEP_FIRSTPAIR,DEP_P4,E76))</f>
        <v>0</v>
      </c>
      <c r="R76" s="54" t="str">
        <f aca="false">IF(A76="","",IF(E76="","No fourth party recorded",IF(Q76&gt;=SharedMin,"Shared dependency: "&amp;Q76&amp;" registered suppliers declare this provider (indicator only - not a risk conclusion)","Declared by one registered supplier")))</f>
        <v/>
      </c>
      <c r="S76" s="54" t="str">
        <f aca="false">IF(A76="","",IF(COUNTIF(DEP_ID,A76)&gt;1,"CHECK: duplicate ID",IF(B76="","CHECK: Supplier ID missing",IF(COUNTIF(INV_ID,B76)=0,"CHECK: Supplier ID not in inventory",IF(AND(L76&lt;&gt;"",COUNTIF(RSK_ID,L76)=0),"CHECK: Risk ID not found","OK")))))</f>
        <v/>
      </c>
    </row>
    <row r="77" customFormat="false" ht="15" hidden="false" customHeight="false" outlineLevel="0" collapsed="false">
      <c r="A77" s="50"/>
      <c r="B77" s="50"/>
      <c r="C77" s="59" t="str">
        <f aca="false">IF(B77="","",IFERROR(INDEX(INV_NAME,MATCH(B77,INV_ID,0)),"CHECK: Supplier ID not found"))</f>
        <v/>
      </c>
      <c r="D77" s="34"/>
      <c r="E77" s="34"/>
      <c r="F77" s="34"/>
      <c r="G77" s="34"/>
      <c r="H77" s="34"/>
      <c r="I77" s="34"/>
      <c r="J77" s="50"/>
      <c r="K77" s="34"/>
      <c r="L77" s="50"/>
      <c r="M77" s="34"/>
      <c r="N77" s="34"/>
      <c r="O77" s="62" t="n">
        <f aca="false">IF(OR(B77="",E77=""),0,IF(COUNTIFS($B$7:B77,B77,$E$7:E77,E77)=1,1,0))</f>
        <v>0</v>
      </c>
      <c r="P77" s="62" t="n">
        <f aca="false">IF(E77="",0,IF(COUNTIF($E$7:E77,E77)=1,1,0))</f>
        <v>0</v>
      </c>
      <c r="Q77" s="62" t="n">
        <f aca="false">IF(E77="",0,SUMIFS(DEP_FIRSTPAIR,DEP_P4,E77))</f>
        <v>0</v>
      </c>
      <c r="R77" s="54" t="str">
        <f aca="false">IF(A77="","",IF(E77="","No fourth party recorded",IF(Q77&gt;=SharedMin,"Shared dependency: "&amp;Q77&amp;" registered suppliers declare this provider (indicator only - not a risk conclusion)","Declared by one registered supplier")))</f>
        <v/>
      </c>
      <c r="S77" s="54" t="str">
        <f aca="false">IF(A77="","",IF(COUNTIF(DEP_ID,A77)&gt;1,"CHECK: duplicate ID",IF(B77="","CHECK: Supplier ID missing",IF(COUNTIF(INV_ID,B77)=0,"CHECK: Supplier ID not in inventory",IF(AND(L77&lt;&gt;"",COUNTIF(RSK_ID,L77)=0),"CHECK: Risk ID not found","OK")))))</f>
        <v/>
      </c>
    </row>
    <row r="78" customFormat="false" ht="15" hidden="false" customHeight="false" outlineLevel="0" collapsed="false">
      <c r="A78" s="50"/>
      <c r="B78" s="50"/>
      <c r="C78" s="59" t="str">
        <f aca="false">IF(B78="","",IFERROR(INDEX(INV_NAME,MATCH(B78,INV_ID,0)),"CHECK: Supplier ID not found"))</f>
        <v/>
      </c>
      <c r="D78" s="34"/>
      <c r="E78" s="34"/>
      <c r="F78" s="34"/>
      <c r="G78" s="34"/>
      <c r="H78" s="34"/>
      <c r="I78" s="34"/>
      <c r="J78" s="50"/>
      <c r="K78" s="34"/>
      <c r="L78" s="50"/>
      <c r="M78" s="34"/>
      <c r="N78" s="34"/>
      <c r="O78" s="62" t="n">
        <f aca="false">IF(OR(B78="",E78=""),0,IF(COUNTIFS($B$7:B78,B78,$E$7:E78,E78)=1,1,0))</f>
        <v>0</v>
      </c>
      <c r="P78" s="62" t="n">
        <f aca="false">IF(E78="",0,IF(COUNTIF($E$7:E78,E78)=1,1,0))</f>
        <v>0</v>
      </c>
      <c r="Q78" s="62" t="n">
        <f aca="false">IF(E78="",0,SUMIFS(DEP_FIRSTPAIR,DEP_P4,E78))</f>
        <v>0</v>
      </c>
      <c r="R78" s="54" t="str">
        <f aca="false">IF(A78="","",IF(E78="","No fourth party recorded",IF(Q78&gt;=SharedMin,"Shared dependency: "&amp;Q78&amp;" registered suppliers declare this provider (indicator only - not a risk conclusion)","Declared by one registered supplier")))</f>
        <v/>
      </c>
      <c r="S78" s="54" t="str">
        <f aca="false">IF(A78="","",IF(COUNTIF(DEP_ID,A78)&gt;1,"CHECK: duplicate ID",IF(B78="","CHECK: Supplier ID missing",IF(COUNTIF(INV_ID,B78)=0,"CHECK: Supplier ID not in inventory",IF(AND(L78&lt;&gt;"",COUNTIF(RSK_ID,L78)=0),"CHECK: Risk ID not found","OK")))))</f>
        <v/>
      </c>
    </row>
    <row r="79" customFormat="false" ht="15" hidden="false" customHeight="false" outlineLevel="0" collapsed="false">
      <c r="A79" s="50"/>
      <c r="B79" s="50"/>
      <c r="C79" s="59" t="str">
        <f aca="false">IF(B79="","",IFERROR(INDEX(INV_NAME,MATCH(B79,INV_ID,0)),"CHECK: Supplier ID not found"))</f>
        <v/>
      </c>
      <c r="D79" s="34"/>
      <c r="E79" s="34"/>
      <c r="F79" s="34"/>
      <c r="G79" s="34"/>
      <c r="H79" s="34"/>
      <c r="I79" s="34"/>
      <c r="J79" s="50"/>
      <c r="K79" s="34"/>
      <c r="L79" s="50"/>
      <c r="M79" s="34"/>
      <c r="N79" s="34"/>
      <c r="O79" s="62" t="n">
        <f aca="false">IF(OR(B79="",E79=""),0,IF(COUNTIFS($B$7:B79,B79,$E$7:E79,E79)=1,1,0))</f>
        <v>0</v>
      </c>
      <c r="P79" s="62" t="n">
        <f aca="false">IF(E79="",0,IF(COUNTIF($E$7:E79,E79)=1,1,0))</f>
        <v>0</v>
      </c>
      <c r="Q79" s="62" t="n">
        <f aca="false">IF(E79="",0,SUMIFS(DEP_FIRSTPAIR,DEP_P4,E79))</f>
        <v>0</v>
      </c>
      <c r="R79" s="54" t="str">
        <f aca="false">IF(A79="","",IF(E79="","No fourth party recorded",IF(Q79&gt;=SharedMin,"Shared dependency: "&amp;Q79&amp;" registered suppliers declare this provider (indicator only - not a risk conclusion)","Declared by one registered supplier")))</f>
        <v/>
      </c>
      <c r="S79" s="54" t="str">
        <f aca="false">IF(A79="","",IF(COUNTIF(DEP_ID,A79)&gt;1,"CHECK: duplicate ID",IF(B79="","CHECK: Supplier ID missing",IF(COUNTIF(INV_ID,B79)=0,"CHECK: Supplier ID not in inventory",IF(AND(L79&lt;&gt;"",COUNTIF(RSK_ID,L79)=0),"CHECK: Risk ID not found","OK")))))</f>
        <v/>
      </c>
    </row>
    <row r="80" customFormat="false" ht="15" hidden="false" customHeight="false" outlineLevel="0" collapsed="false">
      <c r="A80" s="50"/>
      <c r="B80" s="50"/>
      <c r="C80" s="59" t="str">
        <f aca="false">IF(B80="","",IFERROR(INDEX(INV_NAME,MATCH(B80,INV_ID,0)),"CHECK: Supplier ID not found"))</f>
        <v/>
      </c>
      <c r="D80" s="34"/>
      <c r="E80" s="34"/>
      <c r="F80" s="34"/>
      <c r="G80" s="34"/>
      <c r="H80" s="34"/>
      <c r="I80" s="34"/>
      <c r="J80" s="50"/>
      <c r="K80" s="34"/>
      <c r="L80" s="50"/>
      <c r="M80" s="34"/>
      <c r="N80" s="34"/>
      <c r="O80" s="62" t="n">
        <f aca="false">IF(OR(B80="",E80=""),0,IF(COUNTIFS($B$7:B80,B80,$E$7:E80,E80)=1,1,0))</f>
        <v>0</v>
      </c>
      <c r="P80" s="62" t="n">
        <f aca="false">IF(E80="",0,IF(COUNTIF($E$7:E80,E80)=1,1,0))</f>
        <v>0</v>
      </c>
      <c r="Q80" s="62" t="n">
        <f aca="false">IF(E80="",0,SUMIFS(DEP_FIRSTPAIR,DEP_P4,E80))</f>
        <v>0</v>
      </c>
      <c r="R80" s="54" t="str">
        <f aca="false">IF(A80="","",IF(E80="","No fourth party recorded",IF(Q80&gt;=SharedMin,"Shared dependency: "&amp;Q80&amp;" registered suppliers declare this provider (indicator only - not a risk conclusion)","Declared by one registered supplier")))</f>
        <v/>
      </c>
      <c r="S80" s="54" t="str">
        <f aca="false">IF(A80="","",IF(COUNTIF(DEP_ID,A80)&gt;1,"CHECK: duplicate ID",IF(B80="","CHECK: Supplier ID missing",IF(COUNTIF(INV_ID,B80)=0,"CHECK: Supplier ID not in inventory",IF(AND(L80&lt;&gt;"",COUNTIF(RSK_ID,L80)=0),"CHECK: Risk ID not found","OK")))))</f>
        <v/>
      </c>
    </row>
    <row r="81" customFormat="false" ht="15" hidden="false" customHeight="false" outlineLevel="0" collapsed="false">
      <c r="A81" s="50"/>
      <c r="B81" s="50"/>
      <c r="C81" s="59" t="str">
        <f aca="false">IF(B81="","",IFERROR(INDEX(INV_NAME,MATCH(B81,INV_ID,0)),"CHECK: Supplier ID not found"))</f>
        <v/>
      </c>
      <c r="D81" s="34"/>
      <c r="E81" s="34"/>
      <c r="F81" s="34"/>
      <c r="G81" s="34"/>
      <c r="H81" s="34"/>
      <c r="I81" s="34"/>
      <c r="J81" s="50"/>
      <c r="K81" s="34"/>
      <c r="L81" s="50"/>
      <c r="M81" s="34"/>
      <c r="N81" s="34"/>
      <c r="O81" s="62" t="n">
        <f aca="false">IF(OR(B81="",E81=""),0,IF(COUNTIFS($B$7:B81,B81,$E$7:E81,E81)=1,1,0))</f>
        <v>0</v>
      </c>
      <c r="P81" s="62" t="n">
        <f aca="false">IF(E81="",0,IF(COUNTIF($E$7:E81,E81)=1,1,0))</f>
        <v>0</v>
      </c>
      <c r="Q81" s="62" t="n">
        <f aca="false">IF(E81="",0,SUMIFS(DEP_FIRSTPAIR,DEP_P4,E81))</f>
        <v>0</v>
      </c>
      <c r="R81" s="54" t="str">
        <f aca="false">IF(A81="","",IF(E81="","No fourth party recorded",IF(Q81&gt;=SharedMin,"Shared dependency: "&amp;Q81&amp;" registered suppliers declare this provider (indicator only - not a risk conclusion)","Declared by one registered supplier")))</f>
        <v/>
      </c>
      <c r="S81" s="54" t="str">
        <f aca="false">IF(A81="","",IF(COUNTIF(DEP_ID,A81)&gt;1,"CHECK: duplicate ID",IF(B81="","CHECK: Supplier ID missing",IF(COUNTIF(INV_ID,B81)=0,"CHECK: Supplier ID not in inventory",IF(AND(L81&lt;&gt;"",COUNTIF(RSK_ID,L81)=0),"CHECK: Risk ID not found","OK")))))</f>
        <v/>
      </c>
    </row>
    <row r="82" customFormat="false" ht="15" hidden="false" customHeight="false" outlineLevel="0" collapsed="false">
      <c r="A82" s="50"/>
      <c r="B82" s="50"/>
      <c r="C82" s="59" t="str">
        <f aca="false">IF(B82="","",IFERROR(INDEX(INV_NAME,MATCH(B82,INV_ID,0)),"CHECK: Supplier ID not found"))</f>
        <v/>
      </c>
      <c r="D82" s="34"/>
      <c r="E82" s="34"/>
      <c r="F82" s="34"/>
      <c r="G82" s="34"/>
      <c r="H82" s="34"/>
      <c r="I82" s="34"/>
      <c r="J82" s="50"/>
      <c r="K82" s="34"/>
      <c r="L82" s="50"/>
      <c r="M82" s="34"/>
      <c r="N82" s="34"/>
      <c r="O82" s="62" t="n">
        <f aca="false">IF(OR(B82="",E82=""),0,IF(COUNTIFS($B$7:B82,B82,$E$7:E82,E82)=1,1,0))</f>
        <v>0</v>
      </c>
      <c r="P82" s="62" t="n">
        <f aca="false">IF(E82="",0,IF(COUNTIF($E$7:E82,E82)=1,1,0))</f>
        <v>0</v>
      </c>
      <c r="Q82" s="62" t="n">
        <f aca="false">IF(E82="",0,SUMIFS(DEP_FIRSTPAIR,DEP_P4,E82))</f>
        <v>0</v>
      </c>
      <c r="R82" s="54" t="str">
        <f aca="false">IF(A82="","",IF(E82="","No fourth party recorded",IF(Q82&gt;=SharedMin,"Shared dependency: "&amp;Q82&amp;" registered suppliers declare this provider (indicator only - not a risk conclusion)","Declared by one registered supplier")))</f>
        <v/>
      </c>
      <c r="S82" s="54" t="str">
        <f aca="false">IF(A82="","",IF(COUNTIF(DEP_ID,A82)&gt;1,"CHECK: duplicate ID",IF(B82="","CHECK: Supplier ID missing",IF(COUNTIF(INV_ID,B82)=0,"CHECK: Supplier ID not in inventory",IF(AND(L82&lt;&gt;"",COUNTIF(RSK_ID,L82)=0),"CHECK: Risk ID not found","OK")))))</f>
        <v/>
      </c>
    </row>
    <row r="83" customFormat="false" ht="15" hidden="false" customHeight="false" outlineLevel="0" collapsed="false">
      <c r="A83" s="50"/>
      <c r="B83" s="50"/>
      <c r="C83" s="59" t="str">
        <f aca="false">IF(B83="","",IFERROR(INDEX(INV_NAME,MATCH(B83,INV_ID,0)),"CHECK: Supplier ID not found"))</f>
        <v/>
      </c>
      <c r="D83" s="34"/>
      <c r="E83" s="34"/>
      <c r="F83" s="34"/>
      <c r="G83" s="34"/>
      <c r="H83" s="34"/>
      <c r="I83" s="34"/>
      <c r="J83" s="50"/>
      <c r="K83" s="34"/>
      <c r="L83" s="50"/>
      <c r="M83" s="34"/>
      <c r="N83" s="34"/>
      <c r="O83" s="62" t="n">
        <f aca="false">IF(OR(B83="",E83=""),0,IF(COUNTIFS($B$7:B83,B83,$E$7:E83,E83)=1,1,0))</f>
        <v>0</v>
      </c>
      <c r="P83" s="62" t="n">
        <f aca="false">IF(E83="",0,IF(COUNTIF($E$7:E83,E83)=1,1,0))</f>
        <v>0</v>
      </c>
      <c r="Q83" s="62" t="n">
        <f aca="false">IF(E83="",0,SUMIFS(DEP_FIRSTPAIR,DEP_P4,E83))</f>
        <v>0</v>
      </c>
      <c r="R83" s="54" t="str">
        <f aca="false">IF(A83="","",IF(E83="","No fourth party recorded",IF(Q83&gt;=SharedMin,"Shared dependency: "&amp;Q83&amp;" registered suppliers declare this provider (indicator only - not a risk conclusion)","Declared by one registered supplier")))</f>
        <v/>
      </c>
      <c r="S83" s="54" t="str">
        <f aca="false">IF(A83="","",IF(COUNTIF(DEP_ID,A83)&gt;1,"CHECK: duplicate ID",IF(B83="","CHECK: Supplier ID missing",IF(COUNTIF(INV_ID,B83)=0,"CHECK: Supplier ID not in inventory",IF(AND(L83&lt;&gt;"",COUNTIF(RSK_ID,L83)=0),"CHECK: Risk ID not found","OK")))))</f>
        <v/>
      </c>
    </row>
    <row r="84" customFormat="false" ht="15" hidden="false" customHeight="false" outlineLevel="0" collapsed="false">
      <c r="A84" s="50"/>
      <c r="B84" s="50"/>
      <c r="C84" s="59" t="str">
        <f aca="false">IF(B84="","",IFERROR(INDEX(INV_NAME,MATCH(B84,INV_ID,0)),"CHECK: Supplier ID not found"))</f>
        <v/>
      </c>
      <c r="D84" s="34"/>
      <c r="E84" s="34"/>
      <c r="F84" s="34"/>
      <c r="G84" s="34"/>
      <c r="H84" s="34"/>
      <c r="I84" s="34"/>
      <c r="J84" s="50"/>
      <c r="K84" s="34"/>
      <c r="L84" s="50"/>
      <c r="M84" s="34"/>
      <c r="N84" s="34"/>
      <c r="O84" s="62" t="n">
        <f aca="false">IF(OR(B84="",E84=""),0,IF(COUNTIFS($B$7:B84,B84,$E$7:E84,E84)=1,1,0))</f>
        <v>0</v>
      </c>
      <c r="P84" s="62" t="n">
        <f aca="false">IF(E84="",0,IF(COUNTIF($E$7:E84,E84)=1,1,0))</f>
        <v>0</v>
      </c>
      <c r="Q84" s="62" t="n">
        <f aca="false">IF(E84="",0,SUMIFS(DEP_FIRSTPAIR,DEP_P4,E84))</f>
        <v>0</v>
      </c>
      <c r="R84" s="54" t="str">
        <f aca="false">IF(A84="","",IF(E84="","No fourth party recorded",IF(Q84&gt;=SharedMin,"Shared dependency: "&amp;Q84&amp;" registered suppliers declare this provider (indicator only - not a risk conclusion)","Declared by one registered supplier")))</f>
        <v/>
      </c>
      <c r="S84" s="54" t="str">
        <f aca="false">IF(A84="","",IF(COUNTIF(DEP_ID,A84)&gt;1,"CHECK: duplicate ID",IF(B84="","CHECK: Supplier ID missing",IF(COUNTIF(INV_ID,B84)=0,"CHECK: Supplier ID not in inventory",IF(AND(L84&lt;&gt;"",COUNTIF(RSK_ID,L84)=0),"CHECK: Risk ID not found","OK")))))</f>
        <v/>
      </c>
    </row>
    <row r="85" customFormat="false" ht="15" hidden="false" customHeight="false" outlineLevel="0" collapsed="false">
      <c r="A85" s="50"/>
      <c r="B85" s="50"/>
      <c r="C85" s="59" t="str">
        <f aca="false">IF(B85="","",IFERROR(INDEX(INV_NAME,MATCH(B85,INV_ID,0)),"CHECK: Supplier ID not found"))</f>
        <v/>
      </c>
      <c r="D85" s="34"/>
      <c r="E85" s="34"/>
      <c r="F85" s="34"/>
      <c r="G85" s="34"/>
      <c r="H85" s="34"/>
      <c r="I85" s="34"/>
      <c r="J85" s="50"/>
      <c r="K85" s="34"/>
      <c r="L85" s="50"/>
      <c r="M85" s="34"/>
      <c r="N85" s="34"/>
      <c r="O85" s="62" t="n">
        <f aca="false">IF(OR(B85="",E85=""),0,IF(COUNTIFS($B$7:B85,B85,$E$7:E85,E85)=1,1,0))</f>
        <v>0</v>
      </c>
      <c r="P85" s="62" t="n">
        <f aca="false">IF(E85="",0,IF(COUNTIF($E$7:E85,E85)=1,1,0))</f>
        <v>0</v>
      </c>
      <c r="Q85" s="62" t="n">
        <f aca="false">IF(E85="",0,SUMIFS(DEP_FIRSTPAIR,DEP_P4,E85))</f>
        <v>0</v>
      </c>
      <c r="R85" s="54" t="str">
        <f aca="false">IF(A85="","",IF(E85="","No fourth party recorded",IF(Q85&gt;=SharedMin,"Shared dependency: "&amp;Q85&amp;" registered suppliers declare this provider (indicator only - not a risk conclusion)","Declared by one registered supplier")))</f>
        <v/>
      </c>
      <c r="S85" s="54" t="str">
        <f aca="false">IF(A85="","",IF(COUNTIF(DEP_ID,A85)&gt;1,"CHECK: duplicate ID",IF(B85="","CHECK: Supplier ID missing",IF(COUNTIF(INV_ID,B85)=0,"CHECK: Supplier ID not in inventory",IF(AND(L85&lt;&gt;"",COUNTIF(RSK_ID,L85)=0),"CHECK: Risk ID not found","OK")))))</f>
        <v/>
      </c>
    </row>
    <row r="86" customFormat="false" ht="15" hidden="false" customHeight="false" outlineLevel="0" collapsed="false">
      <c r="A86" s="50"/>
      <c r="B86" s="50"/>
      <c r="C86" s="59" t="str">
        <f aca="false">IF(B86="","",IFERROR(INDEX(INV_NAME,MATCH(B86,INV_ID,0)),"CHECK: Supplier ID not found"))</f>
        <v/>
      </c>
      <c r="D86" s="34"/>
      <c r="E86" s="34"/>
      <c r="F86" s="34"/>
      <c r="G86" s="34"/>
      <c r="H86" s="34"/>
      <c r="I86" s="34"/>
      <c r="J86" s="50"/>
      <c r="K86" s="34"/>
      <c r="L86" s="50"/>
      <c r="M86" s="34"/>
      <c r="N86" s="34"/>
      <c r="O86" s="62" t="n">
        <f aca="false">IF(OR(B86="",E86=""),0,IF(COUNTIFS($B$7:B86,B86,$E$7:E86,E86)=1,1,0))</f>
        <v>0</v>
      </c>
      <c r="P86" s="62" t="n">
        <f aca="false">IF(E86="",0,IF(COUNTIF($E$7:E86,E86)=1,1,0))</f>
        <v>0</v>
      </c>
      <c r="Q86" s="62" t="n">
        <f aca="false">IF(E86="",0,SUMIFS(DEP_FIRSTPAIR,DEP_P4,E86))</f>
        <v>0</v>
      </c>
      <c r="R86" s="54" t="str">
        <f aca="false">IF(A86="","",IF(E86="","No fourth party recorded",IF(Q86&gt;=SharedMin,"Shared dependency: "&amp;Q86&amp;" registered suppliers declare this provider (indicator only - not a risk conclusion)","Declared by one registered supplier")))</f>
        <v/>
      </c>
      <c r="S86" s="54" t="str">
        <f aca="false">IF(A86="","",IF(COUNTIF(DEP_ID,A86)&gt;1,"CHECK: duplicate ID",IF(B86="","CHECK: Supplier ID missing",IF(COUNTIF(INV_ID,B86)=0,"CHECK: Supplier ID not in inventory",IF(AND(L86&lt;&gt;"",COUNTIF(RSK_ID,L86)=0),"CHECK: Risk ID not found","OK")))))</f>
        <v/>
      </c>
    </row>
    <row r="87" customFormat="false" ht="15" hidden="false" customHeight="false" outlineLevel="0" collapsed="false">
      <c r="A87" s="50"/>
      <c r="B87" s="50"/>
      <c r="C87" s="59" t="str">
        <f aca="false">IF(B87="","",IFERROR(INDEX(INV_NAME,MATCH(B87,INV_ID,0)),"CHECK: Supplier ID not found"))</f>
        <v/>
      </c>
      <c r="D87" s="34"/>
      <c r="E87" s="34"/>
      <c r="F87" s="34"/>
      <c r="G87" s="34"/>
      <c r="H87" s="34"/>
      <c r="I87" s="34"/>
      <c r="J87" s="50"/>
      <c r="K87" s="34"/>
      <c r="L87" s="50"/>
      <c r="M87" s="34"/>
      <c r="N87" s="34"/>
      <c r="O87" s="62" t="n">
        <f aca="false">IF(OR(B87="",E87=""),0,IF(COUNTIFS($B$7:B87,B87,$E$7:E87,E87)=1,1,0))</f>
        <v>0</v>
      </c>
      <c r="P87" s="62" t="n">
        <f aca="false">IF(E87="",0,IF(COUNTIF($E$7:E87,E87)=1,1,0))</f>
        <v>0</v>
      </c>
      <c r="Q87" s="62" t="n">
        <f aca="false">IF(E87="",0,SUMIFS(DEP_FIRSTPAIR,DEP_P4,E87))</f>
        <v>0</v>
      </c>
      <c r="R87" s="54" t="str">
        <f aca="false">IF(A87="","",IF(E87="","No fourth party recorded",IF(Q87&gt;=SharedMin,"Shared dependency: "&amp;Q87&amp;" registered suppliers declare this provider (indicator only - not a risk conclusion)","Declared by one registered supplier")))</f>
        <v/>
      </c>
      <c r="S87" s="54" t="str">
        <f aca="false">IF(A87="","",IF(COUNTIF(DEP_ID,A87)&gt;1,"CHECK: duplicate ID",IF(B87="","CHECK: Supplier ID missing",IF(COUNTIF(INV_ID,B87)=0,"CHECK: Supplier ID not in inventory",IF(AND(L87&lt;&gt;"",COUNTIF(RSK_ID,L87)=0),"CHECK: Risk ID not found","OK")))))</f>
        <v/>
      </c>
    </row>
    <row r="88" customFormat="false" ht="15" hidden="false" customHeight="false" outlineLevel="0" collapsed="false">
      <c r="A88" s="50"/>
      <c r="B88" s="50"/>
      <c r="C88" s="59" t="str">
        <f aca="false">IF(B88="","",IFERROR(INDEX(INV_NAME,MATCH(B88,INV_ID,0)),"CHECK: Supplier ID not found"))</f>
        <v/>
      </c>
      <c r="D88" s="34"/>
      <c r="E88" s="34"/>
      <c r="F88" s="34"/>
      <c r="G88" s="34"/>
      <c r="H88" s="34"/>
      <c r="I88" s="34"/>
      <c r="J88" s="50"/>
      <c r="K88" s="34"/>
      <c r="L88" s="50"/>
      <c r="M88" s="34"/>
      <c r="N88" s="34"/>
      <c r="O88" s="62" t="n">
        <f aca="false">IF(OR(B88="",E88=""),0,IF(COUNTIFS($B$7:B88,B88,$E$7:E88,E88)=1,1,0))</f>
        <v>0</v>
      </c>
      <c r="P88" s="62" t="n">
        <f aca="false">IF(E88="",0,IF(COUNTIF($E$7:E88,E88)=1,1,0))</f>
        <v>0</v>
      </c>
      <c r="Q88" s="62" t="n">
        <f aca="false">IF(E88="",0,SUMIFS(DEP_FIRSTPAIR,DEP_P4,E88))</f>
        <v>0</v>
      </c>
      <c r="R88" s="54" t="str">
        <f aca="false">IF(A88="","",IF(E88="","No fourth party recorded",IF(Q88&gt;=SharedMin,"Shared dependency: "&amp;Q88&amp;" registered suppliers declare this provider (indicator only - not a risk conclusion)","Declared by one registered supplier")))</f>
        <v/>
      </c>
      <c r="S88" s="54" t="str">
        <f aca="false">IF(A88="","",IF(COUNTIF(DEP_ID,A88)&gt;1,"CHECK: duplicate ID",IF(B88="","CHECK: Supplier ID missing",IF(COUNTIF(INV_ID,B88)=0,"CHECK: Supplier ID not in inventory",IF(AND(L88&lt;&gt;"",COUNTIF(RSK_ID,L88)=0),"CHECK: Risk ID not found","OK")))))</f>
        <v/>
      </c>
    </row>
    <row r="89" customFormat="false" ht="15" hidden="false" customHeight="false" outlineLevel="0" collapsed="false">
      <c r="A89" s="50"/>
      <c r="B89" s="50"/>
      <c r="C89" s="59" t="str">
        <f aca="false">IF(B89="","",IFERROR(INDEX(INV_NAME,MATCH(B89,INV_ID,0)),"CHECK: Supplier ID not found"))</f>
        <v/>
      </c>
      <c r="D89" s="34"/>
      <c r="E89" s="34"/>
      <c r="F89" s="34"/>
      <c r="G89" s="34"/>
      <c r="H89" s="34"/>
      <c r="I89" s="34"/>
      <c r="J89" s="50"/>
      <c r="K89" s="34"/>
      <c r="L89" s="50"/>
      <c r="M89" s="34"/>
      <c r="N89" s="34"/>
      <c r="O89" s="62" t="n">
        <f aca="false">IF(OR(B89="",E89=""),0,IF(COUNTIFS($B$7:B89,B89,$E$7:E89,E89)=1,1,0))</f>
        <v>0</v>
      </c>
      <c r="P89" s="62" t="n">
        <f aca="false">IF(E89="",0,IF(COUNTIF($E$7:E89,E89)=1,1,0))</f>
        <v>0</v>
      </c>
      <c r="Q89" s="62" t="n">
        <f aca="false">IF(E89="",0,SUMIFS(DEP_FIRSTPAIR,DEP_P4,E89))</f>
        <v>0</v>
      </c>
      <c r="R89" s="54" t="str">
        <f aca="false">IF(A89="","",IF(E89="","No fourth party recorded",IF(Q89&gt;=SharedMin,"Shared dependency: "&amp;Q89&amp;" registered suppliers declare this provider (indicator only - not a risk conclusion)","Declared by one registered supplier")))</f>
        <v/>
      </c>
      <c r="S89" s="54" t="str">
        <f aca="false">IF(A89="","",IF(COUNTIF(DEP_ID,A89)&gt;1,"CHECK: duplicate ID",IF(B89="","CHECK: Supplier ID missing",IF(COUNTIF(INV_ID,B89)=0,"CHECK: Supplier ID not in inventory",IF(AND(L89&lt;&gt;"",COUNTIF(RSK_ID,L89)=0),"CHECK: Risk ID not found","OK")))))</f>
        <v/>
      </c>
    </row>
    <row r="90" customFormat="false" ht="15" hidden="false" customHeight="false" outlineLevel="0" collapsed="false">
      <c r="A90" s="50"/>
      <c r="B90" s="50"/>
      <c r="C90" s="59" t="str">
        <f aca="false">IF(B90="","",IFERROR(INDEX(INV_NAME,MATCH(B90,INV_ID,0)),"CHECK: Supplier ID not found"))</f>
        <v/>
      </c>
      <c r="D90" s="34"/>
      <c r="E90" s="34"/>
      <c r="F90" s="34"/>
      <c r="G90" s="34"/>
      <c r="H90" s="34"/>
      <c r="I90" s="34"/>
      <c r="J90" s="50"/>
      <c r="K90" s="34"/>
      <c r="L90" s="50"/>
      <c r="M90" s="34"/>
      <c r="N90" s="34"/>
      <c r="O90" s="62" t="n">
        <f aca="false">IF(OR(B90="",E90=""),0,IF(COUNTIFS($B$7:B90,B90,$E$7:E90,E90)=1,1,0))</f>
        <v>0</v>
      </c>
      <c r="P90" s="62" t="n">
        <f aca="false">IF(E90="",0,IF(COUNTIF($E$7:E90,E90)=1,1,0))</f>
        <v>0</v>
      </c>
      <c r="Q90" s="62" t="n">
        <f aca="false">IF(E90="",0,SUMIFS(DEP_FIRSTPAIR,DEP_P4,E90))</f>
        <v>0</v>
      </c>
      <c r="R90" s="54" t="str">
        <f aca="false">IF(A90="","",IF(E90="","No fourth party recorded",IF(Q90&gt;=SharedMin,"Shared dependency: "&amp;Q90&amp;" registered suppliers declare this provider (indicator only - not a risk conclusion)","Declared by one registered supplier")))</f>
        <v/>
      </c>
      <c r="S90" s="54" t="str">
        <f aca="false">IF(A90="","",IF(COUNTIF(DEP_ID,A90)&gt;1,"CHECK: duplicate ID",IF(B90="","CHECK: Supplier ID missing",IF(COUNTIF(INV_ID,B90)=0,"CHECK: Supplier ID not in inventory",IF(AND(L90&lt;&gt;"",COUNTIF(RSK_ID,L90)=0),"CHECK: Risk ID not found","OK")))))</f>
        <v/>
      </c>
    </row>
    <row r="91" customFormat="false" ht="15" hidden="false" customHeight="false" outlineLevel="0" collapsed="false">
      <c r="A91" s="50"/>
      <c r="B91" s="50"/>
      <c r="C91" s="59" t="str">
        <f aca="false">IF(B91="","",IFERROR(INDEX(INV_NAME,MATCH(B91,INV_ID,0)),"CHECK: Supplier ID not found"))</f>
        <v/>
      </c>
      <c r="D91" s="34"/>
      <c r="E91" s="34"/>
      <c r="F91" s="34"/>
      <c r="G91" s="34"/>
      <c r="H91" s="34"/>
      <c r="I91" s="34"/>
      <c r="J91" s="50"/>
      <c r="K91" s="34"/>
      <c r="L91" s="50"/>
      <c r="M91" s="34"/>
      <c r="N91" s="34"/>
      <c r="O91" s="62" t="n">
        <f aca="false">IF(OR(B91="",E91=""),0,IF(COUNTIFS($B$7:B91,B91,$E$7:E91,E91)=1,1,0))</f>
        <v>0</v>
      </c>
      <c r="P91" s="62" t="n">
        <f aca="false">IF(E91="",0,IF(COUNTIF($E$7:E91,E91)=1,1,0))</f>
        <v>0</v>
      </c>
      <c r="Q91" s="62" t="n">
        <f aca="false">IF(E91="",0,SUMIFS(DEP_FIRSTPAIR,DEP_P4,E91))</f>
        <v>0</v>
      </c>
      <c r="R91" s="54" t="str">
        <f aca="false">IF(A91="","",IF(E91="","No fourth party recorded",IF(Q91&gt;=SharedMin,"Shared dependency: "&amp;Q91&amp;" registered suppliers declare this provider (indicator only - not a risk conclusion)","Declared by one registered supplier")))</f>
        <v/>
      </c>
      <c r="S91" s="54" t="str">
        <f aca="false">IF(A91="","",IF(COUNTIF(DEP_ID,A91)&gt;1,"CHECK: duplicate ID",IF(B91="","CHECK: Supplier ID missing",IF(COUNTIF(INV_ID,B91)=0,"CHECK: Supplier ID not in inventory",IF(AND(L91&lt;&gt;"",COUNTIF(RSK_ID,L91)=0),"CHECK: Risk ID not found","OK")))))</f>
        <v/>
      </c>
    </row>
    <row r="92" customFormat="false" ht="15" hidden="false" customHeight="false" outlineLevel="0" collapsed="false">
      <c r="A92" s="50"/>
      <c r="B92" s="50"/>
      <c r="C92" s="59" t="str">
        <f aca="false">IF(B92="","",IFERROR(INDEX(INV_NAME,MATCH(B92,INV_ID,0)),"CHECK: Supplier ID not found"))</f>
        <v/>
      </c>
      <c r="D92" s="34"/>
      <c r="E92" s="34"/>
      <c r="F92" s="34"/>
      <c r="G92" s="34"/>
      <c r="H92" s="34"/>
      <c r="I92" s="34"/>
      <c r="J92" s="50"/>
      <c r="K92" s="34"/>
      <c r="L92" s="50"/>
      <c r="M92" s="34"/>
      <c r="N92" s="34"/>
      <c r="O92" s="62" t="n">
        <f aca="false">IF(OR(B92="",E92=""),0,IF(COUNTIFS($B$7:B92,B92,$E$7:E92,E92)=1,1,0))</f>
        <v>0</v>
      </c>
      <c r="P92" s="62" t="n">
        <f aca="false">IF(E92="",0,IF(COUNTIF($E$7:E92,E92)=1,1,0))</f>
        <v>0</v>
      </c>
      <c r="Q92" s="62" t="n">
        <f aca="false">IF(E92="",0,SUMIFS(DEP_FIRSTPAIR,DEP_P4,E92))</f>
        <v>0</v>
      </c>
      <c r="R92" s="54" t="str">
        <f aca="false">IF(A92="","",IF(E92="","No fourth party recorded",IF(Q92&gt;=SharedMin,"Shared dependency: "&amp;Q92&amp;" registered suppliers declare this provider (indicator only - not a risk conclusion)","Declared by one registered supplier")))</f>
        <v/>
      </c>
      <c r="S92" s="54" t="str">
        <f aca="false">IF(A92="","",IF(COUNTIF(DEP_ID,A92)&gt;1,"CHECK: duplicate ID",IF(B92="","CHECK: Supplier ID missing",IF(COUNTIF(INV_ID,B92)=0,"CHECK: Supplier ID not in inventory",IF(AND(L92&lt;&gt;"",COUNTIF(RSK_ID,L92)=0),"CHECK: Risk ID not found","OK")))))</f>
        <v/>
      </c>
    </row>
    <row r="93" customFormat="false" ht="15" hidden="false" customHeight="false" outlineLevel="0" collapsed="false">
      <c r="A93" s="50"/>
      <c r="B93" s="50"/>
      <c r="C93" s="59" t="str">
        <f aca="false">IF(B93="","",IFERROR(INDEX(INV_NAME,MATCH(B93,INV_ID,0)),"CHECK: Supplier ID not found"))</f>
        <v/>
      </c>
      <c r="D93" s="34"/>
      <c r="E93" s="34"/>
      <c r="F93" s="34"/>
      <c r="G93" s="34"/>
      <c r="H93" s="34"/>
      <c r="I93" s="34"/>
      <c r="J93" s="50"/>
      <c r="K93" s="34"/>
      <c r="L93" s="50"/>
      <c r="M93" s="34"/>
      <c r="N93" s="34"/>
      <c r="O93" s="62" t="n">
        <f aca="false">IF(OR(B93="",E93=""),0,IF(COUNTIFS($B$7:B93,B93,$E$7:E93,E93)=1,1,0))</f>
        <v>0</v>
      </c>
      <c r="P93" s="62" t="n">
        <f aca="false">IF(E93="",0,IF(COUNTIF($E$7:E93,E93)=1,1,0))</f>
        <v>0</v>
      </c>
      <c r="Q93" s="62" t="n">
        <f aca="false">IF(E93="",0,SUMIFS(DEP_FIRSTPAIR,DEP_P4,E93))</f>
        <v>0</v>
      </c>
      <c r="R93" s="54" t="str">
        <f aca="false">IF(A93="","",IF(E93="","No fourth party recorded",IF(Q93&gt;=SharedMin,"Shared dependency: "&amp;Q93&amp;" registered suppliers declare this provider (indicator only - not a risk conclusion)","Declared by one registered supplier")))</f>
        <v/>
      </c>
      <c r="S93" s="54" t="str">
        <f aca="false">IF(A93="","",IF(COUNTIF(DEP_ID,A93)&gt;1,"CHECK: duplicate ID",IF(B93="","CHECK: Supplier ID missing",IF(COUNTIF(INV_ID,B93)=0,"CHECK: Supplier ID not in inventory",IF(AND(L93&lt;&gt;"",COUNTIF(RSK_ID,L93)=0),"CHECK: Risk ID not found","OK")))))</f>
        <v/>
      </c>
    </row>
    <row r="94" customFormat="false" ht="15" hidden="false" customHeight="false" outlineLevel="0" collapsed="false">
      <c r="A94" s="50"/>
      <c r="B94" s="50"/>
      <c r="C94" s="59" t="str">
        <f aca="false">IF(B94="","",IFERROR(INDEX(INV_NAME,MATCH(B94,INV_ID,0)),"CHECK: Supplier ID not found"))</f>
        <v/>
      </c>
      <c r="D94" s="34"/>
      <c r="E94" s="34"/>
      <c r="F94" s="34"/>
      <c r="G94" s="34"/>
      <c r="H94" s="34"/>
      <c r="I94" s="34"/>
      <c r="J94" s="50"/>
      <c r="K94" s="34"/>
      <c r="L94" s="50"/>
      <c r="M94" s="34"/>
      <c r="N94" s="34"/>
      <c r="O94" s="62" t="n">
        <f aca="false">IF(OR(B94="",E94=""),0,IF(COUNTIFS($B$7:B94,B94,$E$7:E94,E94)=1,1,0))</f>
        <v>0</v>
      </c>
      <c r="P94" s="62" t="n">
        <f aca="false">IF(E94="",0,IF(COUNTIF($E$7:E94,E94)=1,1,0))</f>
        <v>0</v>
      </c>
      <c r="Q94" s="62" t="n">
        <f aca="false">IF(E94="",0,SUMIFS(DEP_FIRSTPAIR,DEP_P4,E94))</f>
        <v>0</v>
      </c>
      <c r="R94" s="54" t="str">
        <f aca="false">IF(A94="","",IF(E94="","No fourth party recorded",IF(Q94&gt;=SharedMin,"Shared dependency: "&amp;Q94&amp;" registered suppliers declare this provider (indicator only - not a risk conclusion)","Declared by one registered supplier")))</f>
        <v/>
      </c>
      <c r="S94" s="54" t="str">
        <f aca="false">IF(A94="","",IF(COUNTIF(DEP_ID,A94)&gt;1,"CHECK: duplicate ID",IF(B94="","CHECK: Supplier ID missing",IF(COUNTIF(INV_ID,B94)=0,"CHECK: Supplier ID not in inventory",IF(AND(L94&lt;&gt;"",COUNTIF(RSK_ID,L94)=0),"CHECK: Risk ID not found","OK")))))</f>
        <v/>
      </c>
    </row>
    <row r="95" customFormat="false" ht="15" hidden="false" customHeight="false" outlineLevel="0" collapsed="false">
      <c r="A95" s="50"/>
      <c r="B95" s="50"/>
      <c r="C95" s="59" t="str">
        <f aca="false">IF(B95="","",IFERROR(INDEX(INV_NAME,MATCH(B95,INV_ID,0)),"CHECK: Supplier ID not found"))</f>
        <v/>
      </c>
      <c r="D95" s="34"/>
      <c r="E95" s="34"/>
      <c r="F95" s="34"/>
      <c r="G95" s="34"/>
      <c r="H95" s="34"/>
      <c r="I95" s="34"/>
      <c r="J95" s="50"/>
      <c r="K95" s="34"/>
      <c r="L95" s="50"/>
      <c r="M95" s="34"/>
      <c r="N95" s="34"/>
      <c r="O95" s="62" t="n">
        <f aca="false">IF(OR(B95="",E95=""),0,IF(COUNTIFS($B$7:B95,B95,$E$7:E95,E95)=1,1,0))</f>
        <v>0</v>
      </c>
      <c r="P95" s="62" t="n">
        <f aca="false">IF(E95="",0,IF(COUNTIF($E$7:E95,E95)=1,1,0))</f>
        <v>0</v>
      </c>
      <c r="Q95" s="62" t="n">
        <f aca="false">IF(E95="",0,SUMIFS(DEP_FIRSTPAIR,DEP_P4,E95))</f>
        <v>0</v>
      </c>
      <c r="R95" s="54" t="str">
        <f aca="false">IF(A95="","",IF(E95="","No fourth party recorded",IF(Q95&gt;=SharedMin,"Shared dependency: "&amp;Q95&amp;" registered suppliers declare this provider (indicator only - not a risk conclusion)","Declared by one registered supplier")))</f>
        <v/>
      </c>
      <c r="S95" s="54" t="str">
        <f aca="false">IF(A95="","",IF(COUNTIF(DEP_ID,A95)&gt;1,"CHECK: duplicate ID",IF(B95="","CHECK: Supplier ID missing",IF(COUNTIF(INV_ID,B95)=0,"CHECK: Supplier ID not in inventory",IF(AND(L95&lt;&gt;"",COUNTIF(RSK_ID,L95)=0),"CHECK: Risk ID not found","OK")))))</f>
        <v/>
      </c>
    </row>
    <row r="96" customFormat="false" ht="15" hidden="false" customHeight="false" outlineLevel="0" collapsed="false">
      <c r="A96" s="50"/>
      <c r="B96" s="50"/>
      <c r="C96" s="59" t="str">
        <f aca="false">IF(B96="","",IFERROR(INDEX(INV_NAME,MATCH(B96,INV_ID,0)),"CHECK: Supplier ID not found"))</f>
        <v/>
      </c>
      <c r="D96" s="34"/>
      <c r="E96" s="34"/>
      <c r="F96" s="34"/>
      <c r="G96" s="34"/>
      <c r="H96" s="34"/>
      <c r="I96" s="34"/>
      <c r="J96" s="50"/>
      <c r="K96" s="34"/>
      <c r="L96" s="50"/>
      <c r="M96" s="34"/>
      <c r="N96" s="34"/>
      <c r="O96" s="62" t="n">
        <f aca="false">IF(OR(B96="",E96=""),0,IF(COUNTIFS($B$7:B96,B96,$E$7:E96,E96)=1,1,0))</f>
        <v>0</v>
      </c>
      <c r="P96" s="62" t="n">
        <f aca="false">IF(E96="",0,IF(COUNTIF($E$7:E96,E96)=1,1,0))</f>
        <v>0</v>
      </c>
      <c r="Q96" s="62" t="n">
        <f aca="false">IF(E96="",0,SUMIFS(DEP_FIRSTPAIR,DEP_P4,E96))</f>
        <v>0</v>
      </c>
      <c r="R96" s="54" t="str">
        <f aca="false">IF(A96="","",IF(E96="","No fourth party recorded",IF(Q96&gt;=SharedMin,"Shared dependency: "&amp;Q96&amp;" registered suppliers declare this provider (indicator only - not a risk conclusion)","Declared by one registered supplier")))</f>
        <v/>
      </c>
      <c r="S96" s="54" t="str">
        <f aca="false">IF(A96="","",IF(COUNTIF(DEP_ID,A96)&gt;1,"CHECK: duplicate ID",IF(B96="","CHECK: Supplier ID missing",IF(COUNTIF(INV_ID,B96)=0,"CHECK: Supplier ID not in inventory",IF(AND(L96&lt;&gt;"",COUNTIF(RSK_ID,L96)=0),"CHECK: Risk ID not found","OK")))))</f>
        <v/>
      </c>
    </row>
    <row r="97" customFormat="false" ht="15" hidden="false" customHeight="false" outlineLevel="0" collapsed="false">
      <c r="A97" s="50"/>
      <c r="B97" s="50"/>
      <c r="C97" s="59" t="str">
        <f aca="false">IF(B97="","",IFERROR(INDEX(INV_NAME,MATCH(B97,INV_ID,0)),"CHECK: Supplier ID not found"))</f>
        <v/>
      </c>
      <c r="D97" s="34"/>
      <c r="E97" s="34"/>
      <c r="F97" s="34"/>
      <c r="G97" s="34"/>
      <c r="H97" s="34"/>
      <c r="I97" s="34"/>
      <c r="J97" s="50"/>
      <c r="K97" s="34"/>
      <c r="L97" s="50"/>
      <c r="M97" s="34"/>
      <c r="N97" s="34"/>
      <c r="O97" s="62" t="n">
        <f aca="false">IF(OR(B97="",E97=""),0,IF(COUNTIFS($B$7:B97,B97,$E$7:E97,E97)=1,1,0))</f>
        <v>0</v>
      </c>
      <c r="P97" s="62" t="n">
        <f aca="false">IF(E97="",0,IF(COUNTIF($E$7:E97,E97)=1,1,0))</f>
        <v>0</v>
      </c>
      <c r="Q97" s="62" t="n">
        <f aca="false">IF(E97="",0,SUMIFS(DEP_FIRSTPAIR,DEP_P4,E97))</f>
        <v>0</v>
      </c>
      <c r="R97" s="54" t="str">
        <f aca="false">IF(A97="","",IF(E97="","No fourth party recorded",IF(Q97&gt;=SharedMin,"Shared dependency: "&amp;Q97&amp;" registered suppliers declare this provider (indicator only - not a risk conclusion)","Declared by one registered supplier")))</f>
        <v/>
      </c>
      <c r="S97" s="54" t="str">
        <f aca="false">IF(A97="","",IF(COUNTIF(DEP_ID,A97)&gt;1,"CHECK: duplicate ID",IF(B97="","CHECK: Supplier ID missing",IF(COUNTIF(INV_ID,B97)=0,"CHECK: Supplier ID not in inventory",IF(AND(L97&lt;&gt;"",COUNTIF(RSK_ID,L97)=0),"CHECK: Risk ID not found","OK")))))</f>
        <v/>
      </c>
    </row>
    <row r="98" customFormat="false" ht="15" hidden="false" customHeight="false" outlineLevel="0" collapsed="false">
      <c r="A98" s="50"/>
      <c r="B98" s="50"/>
      <c r="C98" s="59" t="str">
        <f aca="false">IF(B98="","",IFERROR(INDEX(INV_NAME,MATCH(B98,INV_ID,0)),"CHECK: Supplier ID not found"))</f>
        <v/>
      </c>
      <c r="D98" s="34"/>
      <c r="E98" s="34"/>
      <c r="F98" s="34"/>
      <c r="G98" s="34"/>
      <c r="H98" s="34"/>
      <c r="I98" s="34"/>
      <c r="J98" s="50"/>
      <c r="K98" s="34"/>
      <c r="L98" s="50"/>
      <c r="M98" s="34"/>
      <c r="N98" s="34"/>
      <c r="O98" s="62" t="n">
        <f aca="false">IF(OR(B98="",E98=""),0,IF(COUNTIFS($B$7:B98,B98,$E$7:E98,E98)=1,1,0))</f>
        <v>0</v>
      </c>
      <c r="P98" s="62" t="n">
        <f aca="false">IF(E98="",0,IF(COUNTIF($E$7:E98,E98)=1,1,0))</f>
        <v>0</v>
      </c>
      <c r="Q98" s="62" t="n">
        <f aca="false">IF(E98="",0,SUMIFS(DEP_FIRSTPAIR,DEP_P4,E98))</f>
        <v>0</v>
      </c>
      <c r="R98" s="54" t="str">
        <f aca="false">IF(A98="","",IF(E98="","No fourth party recorded",IF(Q98&gt;=SharedMin,"Shared dependency: "&amp;Q98&amp;" registered suppliers declare this provider (indicator only - not a risk conclusion)","Declared by one registered supplier")))</f>
        <v/>
      </c>
      <c r="S98" s="54" t="str">
        <f aca="false">IF(A98="","",IF(COUNTIF(DEP_ID,A98)&gt;1,"CHECK: duplicate ID",IF(B98="","CHECK: Supplier ID missing",IF(COUNTIF(INV_ID,B98)=0,"CHECK: Supplier ID not in inventory",IF(AND(L98&lt;&gt;"",COUNTIF(RSK_ID,L98)=0),"CHECK: Risk ID not found","OK")))))</f>
        <v/>
      </c>
    </row>
    <row r="99" customFormat="false" ht="15" hidden="false" customHeight="false" outlineLevel="0" collapsed="false">
      <c r="A99" s="50"/>
      <c r="B99" s="50"/>
      <c r="C99" s="59" t="str">
        <f aca="false">IF(B99="","",IFERROR(INDEX(INV_NAME,MATCH(B99,INV_ID,0)),"CHECK: Supplier ID not found"))</f>
        <v/>
      </c>
      <c r="D99" s="34"/>
      <c r="E99" s="34"/>
      <c r="F99" s="34"/>
      <c r="G99" s="34"/>
      <c r="H99" s="34"/>
      <c r="I99" s="34"/>
      <c r="J99" s="50"/>
      <c r="K99" s="34"/>
      <c r="L99" s="50"/>
      <c r="M99" s="34"/>
      <c r="N99" s="34"/>
      <c r="O99" s="62" t="n">
        <f aca="false">IF(OR(B99="",E99=""),0,IF(COUNTIFS($B$7:B99,B99,$E$7:E99,E99)=1,1,0))</f>
        <v>0</v>
      </c>
      <c r="P99" s="62" t="n">
        <f aca="false">IF(E99="",0,IF(COUNTIF($E$7:E99,E99)=1,1,0))</f>
        <v>0</v>
      </c>
      <c r="Q99" s="62" t="n">
        <f aca="false">IF(E99="",0,SUMIFS(DEP_FIRSTPAIR,DEP_P4,E99))</f>
        <v>0</v>
      </c>
      <c r="R99" s="54" t="str">
        <f aca="false">IF(A99="","",IF(E99="","No fourth party recorded",IF(Q99&gt;=SharedMin,"Shared dependency: "&amp;Q99&amp;" registered suppliers declare this provider (indicator only - not a risk conclusion)","Declared by one registered supplier")))</f>
        <v/>
      </c>
      <c r="S99" s="54" t="str">
        <f aca="false">IF(A99="","",IF(COUNTIF(DEP_ID,A99)&gt;1,"CHECK: duplicate ID",IF(B99="","CHECK: Supplier ID missing",IF(COUNTIF(INV_ID,B99)=0,"CHECK: Supplier ID not in inventory",IF(AND(L99&lt;&gt;"",COUNTIF(RSK_ID,L99)=0),"CHECK: Risk ID not found","OK")))))</f>
        <v/>
      </c>
    </row>
    <row r="100" customFormat="false" ht="15" hidden="false" customHeight="false" outlineLevel="0" collapsed="false">
      <c r="A100" s="50"/>
      <c r="B100" s="50"/>
      <c r="C100" s="59" t="str">
        <f aca="false">IF(B100="","",IFERROR(INDEX(INV_NAME,MATCH(B100,INV_ID,0)),"CHECK: Supplier ID not found"))</f>
        <v/>
      </c>
      <c r="D100" s="34"/>
      <c r="E100" s="34"/>
      <c r="F100" s="34"/>
      <c r="G100" s="34"/>
      <c r="H100" s="34"/>
      <c r="I100" s="34"/>
      <c r="J100" s="50"/>
      <c r="K100" s="34"/>
      <c r="L100" s="50"/>
      <c r="M100" s="34"/>
      <c r="N100" s="34"/>
      <c r="O100" s="62" t="n">
        <f aca="false">IF(OR(B100="",E100=""),0,IF(COUNTIFS($B$7:B100,B100,$E$7:E100,E100)=1,1,0))</f>
        <v>0</v>
      </c>
      <c r="P100" s="62" t="n">
        <f aca="false">IF(E100="",0,IF(COUNTIF($E$7:E100,E100)=1,1,0))</f>
        <v>0</v>
      </c>
      <c r="Q100" s="62" t="n">
        <f aca="false">IF(E100="",0,SUMIFS(DEP_FIRSTPAIR,DEP_P4,E100))</f>
        <v>0</v>
      </c>
      <c r="R100" s="54" t="str">
        <f aca="false">IF(A100="","",IF(E100="","No fourth party recorded",IF(Q100&gt;=SharedMin,"Shared dependency: "&amp;Q100&amp;" registered suppliers declare this provider (indicator only - not a risk conclusion)","Declared by one registered supplier")))</f>
        <v/>
      </c>
      <c r="S100" s="54" t="str">
        <f aca="false">IF(A100="","",IF(COUNTIF(DEP_ID,A100)&gt;1,"CHECK: duplicate ID",IF(B100="","CHECK: Supplier ID missing",IF(COUNTIF(INV_ID,B100)=0,"CHECK: Supplier ID not in inventory",IF(AND(L100&lt;&gt;"",COUNTIF(RSK_ID,L100)=0),"CHECK: Risk ID not found","OK")))))</f>
        <v/>
      </c>
    </row>
    <row r="101" customFormat="false" ht="15" hidden="false" customHeight="false" outlineLevel="0" collapsed="false">
      <c r="A101" s="50"/>
      <c r="B101" s="50"/>
      <c r="C101" s="59" t="str">
        <f aca="false">IF(B101="","",IFERROR(INDEX(INV_NAME,MATCH(B101,INV_ID,0)),"CHECK: Supplier ID not found"))</f>
        <v/>
      </c>
      <c r="D101" s="34"/>
      <c r="E101" s="34"/>
      <c r="F101" s="34"/>
      <c r="G101" s="34"/>
      <c r="H101" s="34"/>
      <c r="I101" s="34"/>
      <c r="J101" s="50"/>
      <c r="K101" s="34"/>
      <c r="L101" s="50"/>
      <c r="M101" s="34"/>
      <c r="N101" s="34"/>
      <c r="O101" s="62" t="n">
        <f aca="false">IF(OR(B101="",E101=""),0,IF(COUNTIFS($B$7:B101,B101,$E$7:E101,E101)=1,1,0))</f>
        <v>0</v>
      </c>
      <c r="P101" s="62" t="n">
        <f aca="false">IF(E101="",0,IF(COUNTIF($E$7:E101,E101)=1,1,0))</f>
        <v>0</v>
      </c>
      <c r="Q101" s="62" t="n">
        <f aca="false">IF(E101="",0,SUMIFS(DEP_FIRSTPAIR,DEP_P4,E101))</f>
        <v>0</v>
      </c>
      <c r="R101" s="54" t="str">
        <f aca="false">IF(A101="","",IF(E101="","No fourth party recorded",IF(Q101&gt;=SharedMin,"Shared dependency: "&amp;Q101&amp;" registered suppliers declare this provider (indicator only - not a risk conclusion)","Declared by one registered supplier")))</f>
        <v/>
      </c>
      <c r="S101" s="54" t="str">
        <f aca="false">IF(A101="","",IF(COUNTIF(DEP_ID,A101)&gt;1,"CHECK: duplicate ID",IF(B101="","CHECK: Supplier ID missing",IF(COUNTIF(INV_ID,B101)=0,"CHECK: Supplier ID not in inventory",IF(AND(L101&lt;&gt;"",COUNTIF(RSK_ID,L101)=0),"CHECK: Risk ID not found","OK")))))</f>
        <v/>
      </c>
    </row>
    <row r="102" customFormat="false" ht="15" hidden="false" customHeight="false" outlineLevel="0" collapsed="false">
      <c r="A102" s="50"/>
      <c r="B102" s="50"/>
      <c r="C102" s="59" t="str">
        <f aca="false">IF(B102="","",IFERROR(INDEX(INV_NAME,MATCH(B102,INV_ID,0)),"CHECK: Supplier ID not found"))</f>
        <v/>
      </c>
      <c r="D102" s="34"/>
      <c r="E102" s="34"/>
      <c r="F102" s="34"/>
      <c r="G102" s="34"/>
      <c r="H102" s="34"/>
      <c r="I102" s="34"/>
      <c r="J102" s="50"/>
      <c r="K102" s="34"/>
      <c r="L102" s="50"/>
      <c r="M102" s="34"/>
      <c r="N102" s="34"/>
      <c r="O102" s="62" t="n">
        <f aca="false">IF(OR(B102="",E102=""),0,IF(COUNTIFS($B$7:B102,B102,$E$7:E102,E102)=1,1,0))</f>
        <v>0</v>
      </c>
      <c r="P102" s="62" t="n">
        <f aca="false">IF(E102="",0,IF(COUNTIF($E$7:E102,E102)=1,1,0))</f>
        <v>0</v>
      </c>
      <c r="Q102" s="62" t="n">
        <f aca="false">IF(E102="",0,SUMIFS(DEP_FIRSTPAIR,DEP_P4,E102))</f>
        <v>0</v>
      </c>
      <c r="R102" s="54" t="str">
        <f aca="false">IF(A102="","",IF(E102="","No fourth party recorded",IF(Q102&gt;=SharedMin,"Shared dependency: "&amp;Q102&amp;" registered suppliers declare this provider (indicator only - not a risk conclusion)","Declared by one registered supplier")))</f>
        <v/>
      </c>
      <c r="S102" s="54" t="str">
        <f aca="false">IF(A102="","",IF(COUNTIF(DEP_ID,A102)&gt;1,"CHECK: duplicate ID",IF(B102="","CHECK: Supplier ID missing",IF(COUNTIF(INV_ID,B102)=0,"CHECK: Supplier ID not in inventory",IF(AND(L102&lt;&gt;"",COUNTIF(RSK_ID,L102)=0),"CHECK: Risk ID not found","OK")))))</f>
        <v/>
      </c>
    </row>
    <row r="103" customFormat="false" ht="15" hidden="false" customHeight="false" outlineLevel="0" collapsed="false">
      <c r="A103" s="50"/>
      <c r="B103" s="50"/>
      <c r="C103" s="59" t="str">
        <f aca="false">IF(B103="","",IFERROR(INDEX(INV_NAME,MATCH(B103,INV_ID,0)),"CHECK: Supplier ID not found"))</f>
        <v/>
      </c>
      <c r="D103" s="34"/>
      <c r="E103" s="34"/>
      <c r="F103" s="34"/>
      <c r="G103" s="34"/>
      <c r="H103" s="34"/>
      <c r="I103" s="34"/>
      <c r="J103" s="50"/>
      <c r="K103" s="34"/>
      <c r="L103" s="50"/>
      <c r="M103" s="34"/>
      <c r="N103" s="34"/>
      <c r="O103" s="62" t="n">
        <f aca="false">IF(OR(B103="",E103=""),0,IF(COUNTIFS($B$7:B103,B103,$E$7:E103,E103)=1,1,0))</f>
        <v>0</v>
      </c>
      <c r="P103" s="62" t="n">
        <f aca="false">IF(E103="",0,IF(COUNTIF($E$7:E103,E103)=1,1,0))</f>
        <v>0</v>
      </c>
      <c r="Q103" s="62" t="n">
        <f aca="false">IF(E103="",0,SUMIFS(DEP_FIRSTPAIR,DEP_P4,E103))</f>
        <v>0</v>
      </c>
      <c r="R103" s="54" t="str">
        <f aca="false">IF(A103="","",IF(E103="","No fourth party recorded",IF(Q103&gt;=SharedMin,"Shared dependency: "&amp;Q103&amp;" registered suppliers declare this provider (indicator only - not a risk conclusion)","Declared by one registered supplier")))</f>
        <v/>
      </c>
      <c r="S103" s="54" t="str">
        <f aca="false">IF(A103="","",IF(COUNTIF(DEP_ID,A103)&gt;1,"CHECK: duplicate ID",IF(B103="","CHECK: Supplier ID missing",IF(COUNTIF(INV_ID,B103)=0,"CHECK: Supplier ID not in inventory",IF(AND(L103&lt;&gt;"",COUNTIF(RSK_ID,L103)=0),"CHECK: Risk ID not found","OK")))))</f>
        <v/>
      </c>
    </row>
    <row r="104" customFormat="false" ht="15" hidden="false" customHeight="false" outlineLevel="0" collapsed="false">
      <c r="A104" s="50"/>
      <c r="B104" s="50"/>
      <c r="C104" s="59" t="str">
        <f aca="false">IF(B104="","",IFERROR(INDEX(INV_NAME,MATCH(B104,INV_ID,0)),"CHECK: Supplier ID not found"))</f>
        <v/>
      </c>
      <c r="D104" s="34"/>
      <c r="E104" s="34"/>
      <c r="F104" s="34"/>
      <c r="G104" s="34"/>
      <c r="H104" s="34"/>
      <c r="I104" s="34"/>
      <c r="J104" s="50"/>
      <c r="K104" s="34"/>
      <c r="L104" s="50"/>
      <c r="M104" s="34"/>
      <c r="N104" s="34"/>
      <c r="O104" s="62" t="n">
        <f aca="false">IF(OR(B104="",E104=""),0,IF(COUNTIFS($B$7:B104,B104,$E$7:E104,E104)=1,1,0))</f>
        <v>0</v>
      </c>
      <c r="P104" s="62" t="n">
        <f aca="false">IF(E104="",0,IF(COUNTIF($E$7:E104,E104)=1,1,0))</f>
        <v>0</v>
      </c>
      <c r="Q104" s="62" t="n">
        <f aca="false">IF(E104="",0,SUMIFS(DEP_FIRSTPAIR,DEP_P4,E104))</f>
        <v>0</v>
      </c>
      <c r="R104" s="54" t="str">
        <f aca="false">IF(A104="","",IF(E104="","No fourth party recorded",IF(Q104&gt;=SharedMin,"Shared dependency: "&amp;Q104&amp;" registered suppliers declare this provider (indicator only - not a risk conclusion)","Declared by one registered supplier")))</f>
        <v/>
      </c>
      <c r="S104" s="54" t="str">
        <f aca="false">IF(A104="","",IF(COUNTIF(DEP_ID,A104)&gt;1,"CHECK: duplicate ID",IF(B104="","CHECK: Supplier ID missing",IF(COUNTIF(INV_ID,B104)=0,"CHECK: Supplier ID not in inventory",IF(AND(L104&lt;&gt;"",COUNTIF(RSK_ID,L104)=0),"CHECK: Risk ID not found","OK")))))</f>
        <v/>
      </c>
    </row>
    <row r="105" customFormat="false" ht="15" hidden="false" customHeight="false" outlineLevel="0" collapsed="false">
      <c r="A105" s="50"/>
      <c r="B105" s="50"/>
      <c r="C105" s="59" t="str">
        <f aca="false">IF(B105="","",IFERROR(INDEX(INV_NAME,MATCH(B105,INV_ID,0)),"CHECK: Supplier ID not found"))</f>
        <v/>
      </c>
      <c r="D105" s="34"/>
      <c r="E105" s="34"/>
      <c r="F105" s="34"/>
      <c r="G105" s="34"/>
      <c r="H105" s="34"/>
      <c r="I105" s="34"/>
      <c r="J105" s="50"/>
      <c r="K105" s="34"/>
      <c r="L105" s="50"/>
      <c r="M105" s="34"/>
      <c r="N105" s="34"/>
      <c r="O105" s="62" t="n">
        <f aca="false">IF(OR(B105="",E105=""),0,IF(COUNTIFS($B$7:B105,B105,$E$7:E105,E105)=1,1,0))</f>
        <v>0</v>
      </c>
      <c r="P105" s="62" t="n">
        <f aca="false">IF(E105="",0,IF(COUNTIF($E$7:E105,E105)=1,1,0))</f>
        <v>0</v>
      </c>
      <c r="Q105" s="62" t="n">
        <f aca="false">IF(E105="",0,SUMIFS(DEP_FIRSTPAIR,DEP_P4,E105))</f>
        <v>0</v>
      </c>
      <c r="R105" s="54" t="str">
        <f aca="false">IF(A105="","",IF(E105="","No fourth party recorded",IF(Q105&gt;=SharedMin,"Shared dependency: "&amp;Q105&amp;" registered suppliers declare this provider (indicator only - not a risk conclusion)","Declared by one registered supplier")))</f>
        <v/>
      </c>
      <c r="S105" s="54" t="str">
        <f aca="false">IF(A105="","",IF(COUNTIF(DEP_ID,A105)&gt;1,"CHECK: duplicate ID",IF(B105="","CHECK: Supplier ID missing",IF(COUNTIF(INV_ID,B105)=0,"CHECK: Supplier ID not in inventory",IF(AND(L105&lt;&gt;"",COUNTIF(RSK_ID,L105)=0),"CHECK: Risk ID not found","OK")))))</f>
        <v/>
      </c>
    </row>
    <row r="106" customFormat="false" ht="15" hidden="false" customHeight="false" outlineLevel="0" collapsed="false">
      <c r="A106" s="50"/>
      <c r="B106" s="50"/>
      <c r="C106" s="59" t="str">
        <f aca="false">IF(B106="","",IFERROR(INDEX(INV_NAME,MATCH(B106,INV_ID,0)),"CHECK: Supplier ID not found"))</f>
        <v/>
      </c>
      <c r="D106" s="34"/>
      <c r="E106" s="34"/>
      <c r="F106" s="34"/>
      <c r="G106" s="34"/>
      <c r="H106" s="34"/>
      <c r="I106" s="34"/>
      <c r="J106" s="50"/>
      <c r="K106" s="34"/>
      <c r="L106" s="50"/>
      <c r="M106" s="34"/>
      <c r="N106" s="34"/>
      <c r="O106" s="62" t="n">
        <f aca="false">IF(OR(B106="",E106=""),0,IF(COUNTIFS($B$7:B106,B106,$E$7:E106,E106)=1,1,0))</f>
        <v>0</v>
      </c>
      <c r="P106" s="62" t="n">
        <f aca="false">IF(E106="",0,IF(COUNTIF($E$7:E106,E106)=1,1,0))</f>
        <v>0</v>
      </c>
      <c r="Q106" s="62" t="n">
        <f aca="false">IF(E106="",0,SUMIFS(DEP_FIRSTPAIR,DEP_P4,E106))</f>
        <v>0</v>
      </c>
      <c r="R106" s="54" t="str">
        <f aca="false">IF(A106="","",IF(E106="","No fourth party recorded",IF(Q106&gt;=SharedMin,"Shared dependency: "&amp;Q106&amp;" registered suppliers declare this provider (indicator only - not a risk conclusion)","Declared by one registered supplier")))</f>
        <v/>
      </c>
      <c r="S106" s="54" t="str">
        <f aca="false">IF(A106="","",IF(COUNTIF(DEP_ID,A106)&gt;1,"CHECK: duplicate ID",IF(B106="","CHECK: Supplier ID missing",IF(COUNTIF(INV_ID,B106)=0,"CHECK: Supplier ID not in inventory",IF(AND(L106&lt;&gt;"",COUNTIF(RSK_ID,L106)=0),"CHECK: Risk ID not found","OK")))))</f>
        <v/>
      </c>
    </row>
    <row r="107" customFormat="false" ht="15" hidden="false" customHeight="false" outlineLevel="0" collapsed="false">
      <c r="A107" s="50"/>
      <c r="B107" s="50"/>
      <c r="C107" s="59" t="str">
        <f aca="false">IF(B107="","",IFERROR(INDEX(INV_NAME,MATCH(B107,INV_ID,0)),"CHECK: Supplier ID not found"))</f>
        <v/>
      </c>
      <c r="D107" s="34"/>
      <c r="E107" s="34"/>
      <c r="F107" s="34"/>
      <c r="G107" s="34"/>
      <c r="H107" s="34"/>
      <c r="I107" s="34"/>
      <c r="J107" s="50"/>
      <c r="K107" s="34"/>
      <c r="L107" s="50"/>
      <c r="M107" s="34"/>
      <c r="N107" s="34"/>
      <c r="O107" s="62" t="n">
        <f aca="false">IF(OR(B107="",E107=""),0,IF(COUNTIFS($B$7:B107,B107,$E$7:E107,E107)=1,1,0))</f>
        <v>0</v>
      </c>
      <c r="P107" s="62" t="n">
        <f aca="false">IF(E107="",0,IF(COUNTIF($E$7:E107,E107)=1,1,0))</f>
        <v>0</v>
      </c>
      <c r="Q107" s="62" t="n">
        <f aca="false">IF(E107="",0,SUMIFS(DEP_FIRSTPAIR,DEP_P4,E107))</f>
        <v>0</v>
      </c>
      <c r="R107" s="54" t="str">
        <f aca="false">IF(A107="","",IF(E107="","No fourth party recorded",IF(Q107&gt;=SharedMin,"Shared dependency: "&amp;Q107&amp;" registered suppliers declare this provider (indicator only - not a risk conclusion)","Declared by one registered supplier")))</f>
        <v/>
      </c>
      <c r="S107" s="54" t="str">
        <f aca="false">IF(A107="","",IF(COUNTIF(DEP_ID,A107)&gt;1,"CHECK: duplicate ID",IF(B107="","CHECK: Supplier ID missing",IF(COUNTIF(INV_ID,B107)=0,"CHECK: Supplier ID not in inventory",IF(AND(L107&lt;&gt;"",COUNTIF(RSK_ID,L107)=0),"CHECK: Risk ID not found","OK")))))</f>
        <v/>
      </c>
    </row>
    <row r="108" customFormat="false" ht="15" hidden="false" customHeight="false" outlineLevel="0" collapsed="false">
      <c r="A108" s="50"/>
      <c r="B108" s="50"/>
      <c r="C108" s="59" t="str">
        <f aca="false">IF(B108="","",IFERROR(INDEX(INV_NAME,MATCH(B108,INV_ID,0)),"CHECK: Supplier ID not found"))</f>
        <v/>
      </c>
      <c r="D108" s="34"/>
      <c r="E108" s="34"/>
      <c r="F108" s="34"/>
      <c r="G108" s="34"/>
      <c r="H108" s="34"/>
      <c r="I108" s="34"/>
      <c r="J108" s="50"/>
      <c r="K108" s="34"/>
      <c r="L108" s="50"/>
      <c r="M108" s="34"/>
      <c r="N108" s="34"/>
      <c r="O108" s="62" t="n">
        <f aca="false">IF(OR(B108="",E108=""),0,IF(COUNTIFS($B$7:B108,B108,$E$7:E108,E108)=1,1,0))</f>
        <v>0</v>
      </c>
      <c r="P108" s="62" t="n">
        <f aca="false">IF(E108="",0,IF(COUNTIF($E$7:E108,E108)=1,1,0))</f>
        <v>0</v>
      </c>
      <c r="Q108" s="62" t="n">
        <f aca="false">IF(E108="",0,SUMIFS(DEP_FIRSTPAIR,DEP_P4,E108))</f>
        <v>0</v>
      </c>
      <c r="R108" s="54" t="str">
        <f aca="false">IF(A108="","",IF(E108="","No fourth party recorded",IF(Q108&gt;=SharedMin,"Shared dependency: "&amp;Q108&amp;" registered suppliers declare this provider (indicator only - not a risk conclusion)","Declared by one registered supplier")))</f>
        <v/>
      </c>
      <c r="S108" s="54" t="str">
        <f aca="false">IF(A108="","",IF(COUNTIF(DEP_ID,A108)&gt;1,"CHECK: duplicate ID",IF(B108="","CHECK: Supplier ID missing",IF(COUNTIF(INV_ID,B108)=0,"CHECK: Supplier ID not in inventory",IF(AND(L108&lt;&gt;"",COUNTIF(RSK_ID,L108)=0),"CHECK: Risk ID not found","OK")))))</f>
        <v/>
      </c>
    </row>
    <row r="109" customFormat="false" ht="15" hidden="false" customHeight="false" outlineLevel="0" collapsed="false">
      <c r="A109" s="50"/>
      <c r="B109" s="50"/>
      <c r="C109" s="59" t="str">
        <f aca="false">IF(B109="","",IFERROR(INDEX(INV_NAME,MATCH(B109,INV_ID,0)),"CHECK: Supplier ID not found"))</f>
        <v/>
      </c>
      <c r="D109" s="34"/>
      <c r="E109" s="34"/>
      <c r="F109" s="34"/>
      <c r="G109" s="34"/>
      <c r="H109" s="34"/>
      <c r="I109" s="34"/>
      <c r="J109" s="50"/>
      <c r="K109" s="34"/>
      <c r="L109" s="50"/>
      <c r="M109" s="34"/>
      <c r="N109" s="34"/>
      <c r="O109" s="62" t="n">
        <f aca="false">IF(OR(B109="",E109=""),0,IF(COUNTIFS($B$7:B109,B109,$E$7:E109,E109)=1,1,0))</f>
        <v>0</v>
      </c>
      <c r="P109" s="62" t="n">
        <f aca="false">IF(E109="",0,IF(COUNTIF($E$7:E109,E109)=1,1,0))</f>
        <v>0</v>
      </c>
      <c r="Q109" s="62" t="n">
        <f aca="false">IF(E109="",0,SUMIFS(DEP_FIRSTPAIR,DEP_P4,E109))</f>
        <v>0</v>
      </c>
      <c r="R109" s="54" t="str">
        <f aca="false">IF(A109="","",IF(E109="","No fourth party recorded",IF(Q109&gt;=SharedMin,"Shared dependency: "&amp;Q109&amp;" registered suppliers declare this provider (indicator only - not a risk conclusion)","Declared by one registered supplier")))</f>
        <v/>
      </c>
      <c r="S109" s="54" t="str">
        <f aca="false">IF(A109="","",IF(COUNTIF(DEP_ID,A109)&gt;1,"CHECK: duplicate ID",IF(B109="","CHECK: Supplier ID missing",IF(COUNTIF(INV_ID,B109)=0,"CHECK: Supplier ID not in inventory",IF(AND(L109&lt;&gt;"",COUNTIF(RSK_ID,L109)=0),"CHECK: Risk ID not found","OK")))))</f>
        <v/>
      </c>
    </row>
    <row r="110" customFormat="false" ht="15" hidden="false" customHeight="false" outlineLevel="0" collapsed="false">
      <c r="A110" s="50"/>
      <c r="B110" s="50"/>
      <c r="C110" s="59" t="str">
        <f aca="false">IF(B110="","",IFERROR(INDEX(INV_NAME,MATCH(B110,INV_ID,0)),"CHECK: Supplier ID not found"))</f>
        <v/>
      </c>
      <c r="D110" s="34"/>
      <c r="E110" s="34"/>
      <c r="F110" s="34"/>
      <c r="G110" s="34"/>
      <c r="H110" s="34"/>
      <c r="I110" s="34"/>
      <c r="J110" s="50"/>
      <c r="K110" s="34"/>
      <c r="L110" s="50"/>
      <c r="M110" s="34"/>
      <c r="N110" s="34"/>
      <c r="O110" s="62" t="n">
        <f aca="false">IF(OR(B110="",E110=""),0,IF(COUNTIFS($B$7:B110,B110,$E$7:E110,E110)=1,1,0))</f>
        <v>0</v>
      </c>
      <c r="P110" s="62" t="n">
        <f aca="false">IF(E110="",0,IF(COUNTIF($E$7:E110,E110)=1,1,0))</f>
        <v>0</v>
      </c>
      <c r="Q110" s="62" t="n">
        <f aca="false">IF(E110="",0,SUMIFS(DEP_FIRSTPAIR,DEP_P4,E110))</f>
        <v>0</v>
      </c>
      <c r="R110" s="54" t="str">
        <f aca="false">IF(A110="","",IF(E110="","No fourth party recorded",IF(Q110&gt;=SharedMin,"Shared dependency: "&amp;Q110&amp;" registered suppliers declare this provider (indicator only - not a risk conclusion)","Declared by one registered supplier")))</f>
        <v/>
      </c>
      <c r="S110" s="54" t="str">
        <f aca="false">IF(A110="","",IF(COUNTIF(DEP_ID,A110)&gt;1,"CHECK: duplicate ID",IF(B110="","CHECK: Supplier ID missing",IF(COUNTIF(INV_ID,B110)=0,"CHECK: Supplier ID not in inventory",IF(AND(L110&lt;&gt;"",COUNTIF(RSK_ID,L110)=0),"CHECK: Risk ID not found","OK")))))</f>
        <v/>
      </c>
    </row>
    <row r="111" customFormat="false" ht="15" hidden="false" customHeight="false" outlineLevel="0" collapsed="false">
      <c r="A111" s="50"/>
      <c r="B111" s="50"/>
      <c r="C111" s="59" t="str">
        <f aca="false">IF(B111="","",IFERROR(INDEX(INV_NAME,MATCH(B111,INV_ID,0)),"CHECK: Supplier ID not found"))</f>
        <v/>
      </c>
      <c r="D111" s="34"/>
      <c r="E111" s="34"/>
      <c r="F111" s="34"/>
      <c r="G111" s="34"/>
      <c r="H111" s="34"/>
      <c r="I111" s="34"/>
      <c r="J111" s="50"/>
      <c r="K111" s="34"/>
      <c r="L111" s="50"/>
      <c r="M111" s="34"/>
      <c r="N111" s="34"/>
      <c r="O111" s="62" t="n">
        <f aca="false">IF(OR(B111="",E111=""),0,IF(COUNTIFS($B$7:B111,B111,$E$7:E111,E111)=1,1,0))</f>
        <v>0</v>
      </c>
      <c r="P111" s="62" t="n">
        <f aca="false">IF(E111="",0,IF(COUNTIF($E$7:E111,E111)=1,1,0))</f>
        <v>0</v>
      </c>
      <c r="Q111" s="62" t="n">
        <f aca="false">IF(E111="",0,SUMIFS(DEP_FIRSTPAIR,DEP_P4,E111))</f>
        <v>0</v>
      </c>
      <c r="R111" s="54" t="str">
        <f aca="false">IF(A111="","",IF(E111="","No fourth party recorded",IF(Q111&gt;=SharedMin,"Shared dependency: "&amp;Q111&amp;" registered suppliers declare this provider (indicator only - not a risk conclusion)","Declared by one registered supplier")))</f>
        <v/>
      </c>
      <c r="S111" s="54" t="str">
        <f aca="false">IF(A111="","",IF(COUNTIF(DEP_ID,A111)&gt;1,"CHECK: duplicate ID",IF(B111="","CHECK: Supplier ID missing",IF(COUNTIF(INV_ID,B111)=0,"CHECK: Supplier ID not in inventory",IF(AND(L111&lt;&gt;"",COUNTIF(RSK_ID,L111)=0),"CHECK: Risk ID not found","OK")))))</f>
        <v/>
      </c>
    </row>
    <row r="112" customFormat="false" ht="15" hidden="false" customHeight="false" outlineLevel="0" collapsed="false">
      <c r="A112" s="50"/>
      <c r="B112" s="50"/>
      <c r="C112" s="59" t="str">
        <f aca="false">IF(B112="","",IFERROR(INDEX(INV_NAME,MATCH(B112,INV_ID,0)),"CHECK: Supplier ID not found"))</f>
        <v/>
      </c>
      <c r="D112" s="34"/>
      <c r="E112" s="34"/>
      <c r="F112" s="34"/>
      <c r="G112" s="34"/>
      <c r="H112" s="34"/>
      <c r="I112" s="34"/>
      <c r="J112" s="50"/>
      <c r="K112" s="34"/>
      <c r="L112" s="50"/>
      <c r="M112" s="34"/>
      <c r="N112" s="34"/>
      <c r="O112" s="62" t="n">
        <f aca="false">IF(OR(B112="",E112=""),0,IF(COUNTIFS($B$7:B112,B112,$E$7:E112,E112)=1,1,0))</f>
        <v>0</v>
      </c>
      <c r="P112" s="62" t="n">
        <f aca="false">IF(E112="",0,IF(COUNTIF($E$7:E112,E112)=1,1,0))</f>
        <v>0</v>
      </c>
      <c r="Q112" s="62" t="n">
        <f aca="false">IF(E112="",0,SUMIFS(DEP_FIRSTPAIR,DEP_P4,E112))</f>
        <v>0</v>
      </c>
      <c r="R112" s="54" t="str">
        <f aca="false">IF(A112="","",IF(E112="","No fourth party recorded",IF(Q112&gt;=SharedMin,"Shared dependency: "&amp;Q112&amp;" registered suppliers declare this provider (indicator only - not a risk conclusion)","Declared by one registered supplier")))</f>
        <v/>
      </c>
      <c r="S112" s="54" t="str">
        <f aca="false">IF(A112="","",IF(COUNTIF(DEP_ID,A112)&gt;1,"CHECK: duplicate ID",IF(B112="","CHECK: Supplier ID missing",IF(COUNTIF(INV_ID,B112)=0,"CHECK: Supplier ID not in inventory",IF(AND(L112&lt;&gt;"",COUNTIF(RSK_ID,L112)=0),"CHECK: Risk ID not found","OK")))))</f>
        <v/>
      </c>
    </row>
    <row r="113" customFormat="false" ht="15" hidden="false" customHeight="false" outlineLevel="0" collapsed="false">
      <c r="A113" s="50"/>
      <c r="B113" s="50"/>
      <c r="C113" s="59" t="str">
        <f aca="false">IF(B113="","",IFERROR(INDEX(INV_NAME,MATCH(B113,INV_ID,0)),"CHECK: Supplier ID not found"))</f>
        <v/>
      </c>
      <c r="D113" s="34"/>
      <c r="E113" s="34"/>
      <c r="F113" s="34"/>
      <c r="G113" s="34"/>
      <c r="H113" s="34"/>
      <c r="I113" s="34"/>
      <c r="J113" s="50"/>
      <c r="K113" s="34"/>
      <c r="L113" s="50"/>
      <c r="M113" s="34"/>
      <c r="N113" s="34"/>
      <c r="O113" s="62" t="n">
        <f aca="false">IF(OR(B113="",E113=""),0,IF(COUNTIFS($B$7:B113,B113,$E$7:E113,E113)=1,1,0))</f>
        <v>0</v>
      </c>
      <c r="P113" s="62" t="n">
        <f aca="false">IF(E113="",0,IF(COUNTIF($E$7:E113,E113)=1,1,0))</f>
        <v>0</v>
      </c>
      <c r="Q113" s="62" t="n">
        <f aca="false">IF(E113="",0,SUMIFS(DEP_FIRSTPAIR,DEP_P4,E113))</f>
        <v>0</v>
      </c>
      <c r="R113" s="54" t="str">
        <f aca="false">IF(A113="","",IF(E113="","No fourth party recorded",IF(Q113&gt;=SharedMin,"Shared dependency: "&amp;Q113&amp;" registered suppliers declare this provider (indicator only - not a risk conclusion)","Declared by one registered supplier")))</f>
        <v/>
      </c>
      <c r="S113" s="54" t="str">
        <f aca="false">IF(A113="","",IF(COUNTIF(DEP_ID,A113)&gt;1,"CHECK: duplicate ID",IF(B113="","CHECK: Supplier ID missing",IF(COUNTIF(INV_ID,B113)=0,"CHECK: Supplier ID not in inventory",IF(AND(L113&lt;&gt;"",COUNTIF(RSK_ID,L113)=0),"CHECK: Risk ID not found","OK")))))</f>
        <v/>
      </c>
    </row>
    <row r="114" customFormat="false" ht="15" hidden="false" customHeight="false" outlineLevel="0" collapsed="false">
      <c r="A114" s="50"/>
      <c r="B114" s="50"/>
      <c r="C114" s="59" t="str">
        <f aca="false">IF(B114="","",IFERROR(INDEX(INV_NAME,MATCH(B114,INV_ID,0)),"CHECK: Supplier ID not found"))</f>
        <v/>
      </c>
      <c r="D114" s="34"/>
      <c r="E114" s="34"/>
      <c r="F114" s="34"/>
      <c r="G114" s="34"/>
      <c r="H114" s="34"/>
      <c r="I114" s="34"/>
      <c r="J114" s="50"/>
      <c r="K114" s="34"/>
      <c r="L114" s="50"/>
      <c r="M114" s="34"/>
      <c r="N114" s="34"/>
      <c r="O114" s="62" t="n">
        <f aca="false">IF(OR(B114="",E114=""),0,IF(COUNTIFS($B$7:B114,B114,$E$7:E114,E114)=1,1,0))</f>
        <v>0</v>
      </c>
      <c r="P114" s="62" t="n">
        <f aca="false">IF(E114="",0,IF(COUNTIF($E$7:E114,E114)=1,1,0))</f>
        <v>0</v>
      </c>
      <c r="Q114" s="62" t="n">
        <f aca="false">IF(E114="",0,SUMIFS(DEP_FIRSTPAIR,DEP_P4,E114))</f>
        <v>0</v>
      </c>
      <c r="R114" s="54" t="str">
        <f aca="false">IF(A114="","",IF(E114="","No fourth party recorded",IF(Q114&gt;=SharedMin,"Shared dependency: "&amp;Q114&amp;" registered suppliers declare this provider (indicator only - not a risk conclusion)","Declared by one registered supplier")))</f>
        <v/>
      </c>
      <c r="S114" s="54" t="str">
        <f aca="false">IF(A114="","",IF(COUNTIF(DEP_ID,A114)&gt;1,"CHECK: duplicate ID",IF(B114="","CHECK: Supplier ID missing",IF(COUNTIF(INV_ID,B114)=0,"CHECK: Supplier ID not in inventory",IF(AND(L114&lt;&gt;"",COUNTIF(RSK_ID,L114)=0),"CHECK: Risk ID not found","OK")))))</f>
        <v/>
      </c>
    </row>
    <row r="115" customFormat="false" ht="15" hidden="false" customHeight="false" outlineLevel="0" collapsed="false">
      <c r="A115" s="50"/>
      <c r="B115" s="50"/>
      <c r="C115" s="59" t="str">
        <f aca="false">IF(B115="","",IFERROR(INDEX(INV_NAME,MATCH(B115,INV_ID,0)),"CHECK: Supplier ID not found"))</f>
        <v/>
      </c>
      <c r="D115" s="34"/>
      <c r="E115" s="34"/>
      <c r="F115" s="34"/>
      <c r="G115" s="34"/>
      <c r="H115" s="34"/>
      <c r="I115" s="34"/>
      <c r="J115" s="50"/>
      <c r="K115" s="34"/>
      <c r="L115" s="50"/>
      <c r="M115" s="34"/>
      <c r="N115" s="34"/>
      <c r="O115" s="62" t="n">
        <f aca="false">IF(OR(B115="",E115=""),0,IF(COUNTIFS($B$7:B115,B115,$E$7:E115,E115)=1,1,0))</f>
        <v>0</v>
      </c>
      <c r="P115" s="62" t="n">
        <f aca="false">IF(E115="",0,IF(COUNTIF($E$7:E115,E115)=1,1,0))</f>
        <v>0</v>
      </c>
      <c r="Q115" s="62" t="n">
        <f aca="false">IF(E115="",0,SUMIFS(DEP_FIRSTPAIR,DEP_P4,E115))</f>
        <v>0</v>
      </c>
      <c r="R115" s="54" t="str">
        <f aca="false">IF(A115="","",IF(E115="","No fourth party recorded",IF(Q115&gt;=SharedMin,"Shared dependency: "&amp;Q115&amp;" registered suppliers declare this provider (indicator only - not a risk conclusion)","Declared by one registered supplier")))</f>
        <v/>
      </c>
      <c r="S115" s="54" t="str">
        <f aca="false">IF(A115="","",IF(COUNTIF(DEP_ID,A115)&gt;1,"CHECK: duplicate ID",IF(B115="","CHECK: Supplier ID missing",IF(COUNTIF(INV_ID,B115)=0,"CHECK: Supplier ID not in inventory",IF(AND(L115&lt;&gt;"",COUNTIF(RSK_ID,L115)=0),"CHECK: Risk ID not found","OK")))))</f>
        <v/>
      </c>
    </row>
    <row r="116" customFormat="false" ht="15" hidden="false" customHeight="false" outlineLevel="0" collapsed="false">
      <c r="A116" s="50"/>
      <c r="B116" s="50"/>
      <c r="C116" s="59" t="str">
        <f aca="false">IF(B116="","",IFERROR(INDEX(INV_NAME,MATCH(B116,INV_ID,0)),"CHECK: Supplier ID not found"))</f>
        <v/>
      </c>
      <c r="D116" s="34"/>
      <c r="E116" s="34"/>
      <c r="F116" s="34"/>
      <c r="G116" s="34"/>
      <c r="H116" s="34"/>
      <c r="I116" s="34"/>
      <c r="J116" s="50"/>
      <c r="K116" s="34"/>
      <c r="L116" s="50"/>
      <c r="M116" s="34"/>
      <c r="N116" s="34"/>
      <c r="O116" s="62" t="n">
        <f aca="false">IF(OR(B116="",E116=""),0,IF(COUNTIFS($B$7:B116,B116,$E$7:E116,E116)=1,1,0))</f>
        <v>0</v>
      </c>
      <c r="P116" s="62" t="n">
        <f aca="false">IF(E116="",0,IF(COUNTIF($E$7:E116,E116)=1,1,0))</f>
        <v>0</v>
      </c>
      <c r="Q116" s="62" t="n">
        <f aca="false">IF(E116="",0,SUMIFS(DEP_FIRSTPAIR,DEP_P4,E116))</f>
        <v>0</v>
      </c>
      <c r="R116" s="54" t="str">
        <f aca="false">IF(A116="","",IF(E116="","No fourth party recorded",IF(Q116&gt;=SharedMin,"Shared dependency: "&amp;Q116&amp;" registered suppliers declare this provider (indicator only - not a risk conclusion)","Declared by one registered supplier")))</f>
        <v/>
      </c>
      <c r="S116" s="54" t="str">
        <f aca="false">IF(A116="","",IF(COUNTIF(DEP_ID,A116)&gt;1,"CHECK: duplicate ID",IF(B116="","CHECK: Supplier ID missing",IF(COUNTIF(INV_ID,B116)=0,"CHECK: Supplier ID not in inventory",IF(AND(L116&lt;&gt;"",COUNTIF(RSK_ID,L116)=0),"CHECK: Risk ID not found","OK")))))</f>
        <v/>
      </c>
    </row>
    <row r="117" customFormat="false" ht="15" hidden="false" customHeight="false" outlineLevel="0" collapsed="false">
      <c r="A117" s="50"/>
      <c r="B117" s="50"/>
      <c r="C117" s="59" t="str">
        <f aca="false">IF(B117="","",IFERROR(INDEX(INV_NAME,MATCH(B117,INV_ID,0)),"CHECK: Supplier ID not found"))</f>
        <v/>
      </c>
      <c r="D117" s="34"/>
      <c r="E117" s="34"/>
      <c r="F117" s="34"/>
      <c r="G117" s="34"/>
      <c r="H117" s="34"/>
      <c r="I117" s="34"/>
      <c r="J117" s="50"/>
      <c r="K117" s="34"/>
      <c r="L117" s="50"/>
      <c r="M117" s="34"/>
      <c r="N117" s="34"/>
      <c r="O117" s="62" t="n">
        <f aca="false">IF(OR(B117="",E117=""),0,IF(COUNTIFS($B$7:B117,B117,$E$7:E117,E117)=1,1,0))</f>
        <v>0</v>
      </c>
      <c r="P117" s="62" t="n">
        <f aca="false">IF(E117="",0,IF(COUNTIF($E$7:E117,E117)=1,1,0))</f>
        <v>0</v>
      </c>
      <c r="Q117" s="62" t="n">
        <f aca="false">IF(E117="",0,SUMIFS(DEP_FIRSTPAIR,DEP_P4,E117))</f>
        <v>0</v>
      </c>
      <c r="R117" s="54" t="str">
        <f aca="false">IF(A117="","",IF(E117="","No fourth party recorded",IF(Q117&gt;=SharedMin,"Shared dependency: "&amp;Q117&amp;" registered suppliers declare this provider (indicator only - not a risk conclusion)","Declared by one registered supplier")))</f>
        <v/>
      </c>
      <c r="S117" s="54" t="str">
        <f aca="false">IF(A117="","",IF(COUNTIF(DEP_ID,A117)&gt;1,"CHECK: duplicate ID",IF(B117="","CHECK: Supplier ID missing",IF(COUNTIF(INV_ID,B117)=0,"CHECK: Supplier ID not in inventory",IF(AND(L117&lt;&gt;"",COUNTIF(RSK_ID,L117)=0),"CHECK: Risk ID not found","OK")))))</f>
        <v/>
      </c>
    </row>
    <row r="118" customFormat="false" ht="15" hidden="false" customHeight="false" outlineLevel="0" collapsed="false">
      <c r="A118" s="50"/>
      <c r="B118" s="50"/>
      <c r="C118" s="59" t="str">
        <f aca="false">IF(B118="","",IFERROR(INDEX(INV_NAME,MATCH(B118,INV_ID,0)),"CHECK: Supplier ID not found"))</f>
        <v/>
      </c>
      <c r="D118" s="34"/>
      <c r="E118" s="34"/>
      <c r="F118" s="34"/>
      <c r="G118" s="34"/>
      <c r="H118" s="34"/>
      <c r="I118" s="34"/>
      <c r="J118" s="50"/>
      <c r="K118" s="34"/>
      <c r="L118" s="50"/>
      <c r="M118" s="34"/>
      <c r="N118" s="34"/>
      <c r="O118" s="62" t="n">
        <f aca="false">IF(OR(B118="",E118=""),0,IF(COUNTIFS($B$7:B118,B118,$E$7:E118,E118)=1,1,0))</f>
        <v>0</v>
      </c>
      <c r="P118" s="62" t="n">
        <f aca="false">IF(E118="",0,IF(COUNTIF($E$7:E118,E118)=1,1,0))</f>
        <v>0</v>
      </c>
      <c r="Q118" s="62" t="n">
        <f aca="false">IF(E118="",0,SUMIFS(DEP_FIRSTPAIR,DEP_P4,E118))</f>
        <v>0</v>
      </c>
      <c r="R118" s="54" t="str">
        <f aca="false">IF(A118="","",IF(E118="","No fourth party recorded",IF(Q118&gt;=SharedMin,"Shared dependency: "&amp;Q118&amp;" registered suppliers declare this provider (indicator only - not a risk conclusion)","Declared by one registered supplier")))</f>
        <v/>
      </c>
      <c r="S118" s="54" t="str">
        <f aca="false">IF(A118="","",IF(COUNTIF(DEP_ID,A118)&gt;1,"CHECK: duplicate ID",IF(B118="","CHECK: Supplier ID missing",IF(COUNTIF(INV_ID,B118)=0,"CHECK: Supplier ID not in inventory",IF(AND(L118&lt;&gt;"",COUNTIF(RSK_ID,L118)=0),"CHECK: Risk ID not found","OK")))))</f>
        <v/>
      </c>
    </row>
    <row r="119" customFormat="false" ht="15" hidden="false" customHeight="false" outlineLevel="0" collapsed="false">
      <c r="A119" s="50"/>
      <c r="B119" s="50"/>
      <c r="C119" s="59" t="str">
        <f aca="false">IF(B119="","",IFERROR(INDEX(INV_NAME,MATCH(B119,INV_ID,0)),"CHECK: Supplier ID not found"))</f>
        <v/>
      </c>
      <c r="D119" s="34"/>
      <c r="E119" s="34"/>
      <c r="F119" s="34"/>
      <c r="G119" s="34"/>
      <c r="H119" s="34"/>
      <c r="I119" s="34"/>
      <c r="J119" s="50"/>
      <c r="K119" s="34"/>
      <c r="L119" s="50"/>
      <c r="M119" s="34"/>
      <c r="N119" s="34"/>
      <c r="O119" s="62" t="n">
        <f aca="false">IF(OR(B119="",E119=""),0,IF(COUNTIFS($B$7:B119,B119,$E$7:E119,E119)=1,1,0))</f>
        <v>0</v>
      </c>
      <c r="P119" s="62" t="n">
        <f aca="false">IF(E119="",0,IF(COUNTIF($E$7:E119,E119)=1,1,0))</f>
        <v>0</v>
      </c>
      <c r="Q119" s="62" t="n">
        <f aca="false">IF(E119="",0,SUMIFS(DEP_FIRSTPAIR,DEP_P4,E119))</f>
        <v>0</v>
      </c>
      <c r="R119" s="54" t="str">
        <f aca="false">IF(A119="","",IF(E119="","No fourth party recorded",IF(Q119&gt;=SharedMin,"Shared dependency: "&amp;Q119&amp;" registered suppliers declare this provider (indicator only - not a risk conclusion)","Declared by one registered supplier")))</f>
        <v/>
      </c>
      <c r="S119" s="54" t="str">
        <f aca="false">IF(A119="","",IF(COUNTIF(DEP_ID,A119)&gt;1,"CHECK: duplicate ID",IF(B119="","CHECK: Supplier ID missing",IF(COUNTIF(INV_ID,B119)=0,"CHECK: Supplier ID not in inventory",IF(AND(L119&lt;&gt;"",COUNTIF(RSK_ID,L119)=0),"CHECK: Risk ID not found","OK")))))</f>
        <v/>
      </c>
    </row>
    <row r="120" customFormat="false" ht="15" hidden="false" customHeight="false" outlineLevel="0" collapsed="false">
      <c r="A120" s="50"/>
      <c r="B120" s="50"/>
      <c r="C120" s="59" t="str">
        <f aca="false">IF(B120="","",IFERROR(INDEX(INV_NAME,MATCH(B120,INV_ID,0)),"CHECK: Supplier ID not found"))</f>
        <v/>
      </c>
      <c r="D120" s="34"/>
      <c r="E120" s="34"/>
      <c r="F120" s="34"/>
      <c r="G120" s="34"/>
      <c r="H120" s="34"/>
      <c r="I120" s="34"/>
      <c r="J120" s="50"/>
      <c r="K120" s="34"/>
      <c r="L120" s="50"/>
      <c r="M120" s="34"/>
      <c r="N120" s="34"/>
      <c r="O120" s="62" t="n">
        <f aca="false">IF(OR(B120="",E120=""),0,IF(COUNTIFS($B$7:B120,B120,$E$7:E120,E120)=1,1,0))</f>
        <v>0</v>
      </c>
      <c r="P120" s="62" t="n">
        <f aca="false">IF(E120="",0,IF(COUNTIF($E$7:E120,E120)=1,1,0))</f>
        <v>0</v>
      </c>
      <c r="Q120" s="62" t="n">
        <f aca="false">IF(E120="",0,SUMIFS(DEP_FIRSTPAIR,DEP_P4,E120))</f>
        <v>0</v>
      </c>
      <c r="R120" s="54" t="str">
        <f aca="false">IF(A120="","",IF(E120="","No fourth party recorded",IF(Q120&gt;=SharedMin,"Shared dependency: "&amp;Q120&amp;" registered suppliers declare this provider (indicator only - not a risk conclusion)","Declared by one registered supplier")))</f>
        <v/>
      </c>
      <c r="S120" s="54" t="str">
        <f aca="false">IF(A120="","",IF(COUNTIF(DEP_ID,A120)&gt;1,"CHECK: duplicate ID",IF(B120="","CHECK: Supplier ID missing",IF(COUNTIF(INV_ID,B120)=0,"CHECK: Supplier ID not in inventory",IF(AND(L120&lt;&gt;"",COUNTIF(RSK_ID,L120)=0),"CHECK: Risk ID not found","OK")))))</f>
        <v/>
      </c>
    </row>
    <row r="121" customFormat="false" ht="15" hidden="false" customHeight="false" outlineLevel="0" collapsed="false">
      <c r="A121" s="50"/>
      <c r="B121" s="50"/>
      <c r="C121" s="59" t="str">
        <f aca="false">IF(B121="","",IFERROR(INDEX(INV_NAME,MATCH(B121,INV_ID,0)),"CHECK: Supplier ID not found"))</f>
        <v/>
      </c>
      <c r="D121" s="34"/>
      <c r="E121" s="34"/>
      <c r="F121" s="34"/>
      <c r="G121" s="34"/>
      <c r="H121" s="34"/>
      <c r="I121" s="34"/>
      <c r="J121" s="50"/>
      <c r="K121" s="34"/>
      <c r="L121" s="50"/>
      <c r="M121" s="34"/>
      <c r="N121" s="34"/>
      <c r="O121" s="62" t="n">
        <f aca="false">IF(OR(B121="",E121=""),0,IF(COUNTIFS($B$7:B121,B121,$E$7:E121,E121)=1,1,0))</f>
        <v>0</v>
      </c>
      <c r="P121" s="62" t="n">
        <f aca="false">IF(E121="",0,IF(COUNTIF($E$7:E121,E121)=1,1,0))</f>
        <v>0</v>
      </c>
      <c r="Q121" s="62" t="n">
        <f aca="false">IF(E121="",0,SUMIFS(DEP_FIRSTPAIR,DEP_P4,E121))</f>
        <v>0</v>
      </c>
      <c r="R121" s="54" t="str">
        <f aca="false">IF(A121="","",IF(E121="","No fourth party recorded",IF(Q121&gt;=SharedMin,"Shared dependency: "&amp;Q121&amp;" registered suppliers declare this provider (indicator only - not a risk conclusion)","Declared by one registered supplier")))</f>
        <v/>
      </c>
      <c r="S121" s="54" t="str">
        <f aca="false">IF(A121="","",IF(COUNTIF(DEP_ID,A121)&gt;1,"CHECK: duplicate ID",IF(B121="","CHECK: Supplier ID missing",IF(COUNTIF(INV_ID,B121)=0,"CHECK: Supplier ID not in inventory",IF(AND(L121&lt;&gt;"",COUNTIF(RSK_ID,L121)=0),"CHECK: Risk ID not found","OK")))))</f>
        <v/>
      </c>
    </row>
    <row r="122" customFormat="false" ht="15" hidden="false" customHeight="false" outlineLevel="0" collapsed="false">
      <c r="A122" s="50"/>
      <c r="B122" s="50"/>
      <c r="C122" s="59" t="str">
        <f aca="false">IF(B122="","",IFERROR(INDEX(INV_NAME,MATCH(B122,INV_ID,0)),"CHECK: Supplier ID not found"))</f>
        <v/>
      </c>
      <c r="D122" s="34"/>
      <c r="E122" s="34"/>
      <c r="F122" s="34"/>
      <c r="G122" s="34"/>
      <c r="H122" s="34"/>
      <c r="I122" s="34"/>
      <c r="J122" s="50"/>
      <c r="K122" s="34"/>
      <c r="L122" s="50"/>
      <c r="M122" s="34"/>
      <c r="N122" s="34"/>
      <c r="O122" s="62" t="n">
        <f aca="false">IF(OR(B122="",E122=""),0,IF(COUNTIFS($B$7:B122,B122,$E$7:E122,E122)=1,1,0))</f>
        <v>0</v>
      </c>
      <c r="P122" s="62" t="n">
        <f aca="false">IF(E122="",0,IF(COUNTIF($E$7:E122,E122)=1,1,0))</f>
        <v>0</v>
      </c>
      <c r="Q122" s="62" t="n">
        <f aca="false">IF(E122="",0,SUMIFS(DEP_FIRSTPAIR,DEP_P4,E122))</f>
        <v>0</v>
      </c>
      <c r="R122" s="54" t="str">
        <f aca="false">IF(A122="","",IF(E122="","No fourth party recorded",IF(Q122&gt;=SharedMin,"Shared dependency: "&amp;Q122&amp;" registered suppliers declare this provider (indicator only - not a risk conclusion)","Declared by one registered supplier")))</f>
        <v/>
      </c>
      <c r="S122" s="54" t="str">
        <f aca="false">IF(A122="","",IF(COUNTIF(DEP_ID,A122)&gt;1,"CHECK: duplicate ID",IF(B122="","CHECK: Supplier ID missing",IF(COUNTIF(INV_ID,B122)=0,"CHECK: Supplier ID not in inventory",IF(AND(L122&lt;&gt;"",COUNTIF(RSK_ID,L122)=0),"CHECK: Risk ID not found","OK")))))</f>
        <v/>
      </c>
    </row>
    <row r="123" customFormat="false" ht="15" hidden="false" customHeight="false" outlineLevel="0" collapsed="false">
      <c r="A123" s="50"/>
      <c r="B123" s="50"/>
      <c r="C123" s="59" t="str">
        <f aca="false">IF(B123="","",IFERROR(INDEX(INV_NAME,MATCH(B123,INV_ID,0)),"CHECK: Supplier ID not found"))</f>
        <v/>
      </c>
      <c r="D123" s="34"/>
      <c r="E123" s="34"/>
      <c r="F123" s="34"/>
      <c r="G123" s="34"/>
      <c r="H123" s="34"/>
      <c r="I123" s="34"/>
      <c r="J123" s="50"/>
      <c r="K123" s="34"/>
      <c r="L123" s="50"/>
      <c r="M123" s="34"/>
      <c r="N123" s="34"/>
      <c r="O123" s="62" t="n">
        <f aca="false">IF(OR(B123="",E123=""),0,IF(COUNTIFS($B$7:B123,B123,$E$7:E123,E123)=1,1,0))</f>
        <v>0</v>
      </c>
      <c r="P123" s="62" t="n">
        <f aca="false">IF(E123="",0,IF(COUNTIF($E$7:E123,E123)=1,1,0))</f>
        <v>0</v>
      </c>
      <c r="Q123" s="62" t="n">
        <f aca="false">IF(E123="",0,SUMIFS(DEP_FIRSTPAIR,DEP_P4,E123))</f>
        <v>0</v>
      </c>
      <c r="R123" s="54" t="str">
        <f aca="false">IF(A123="","",IF(E123="","No fourth party recorded",IF(Q123&gt;=SharedMin,"Shared dependency: "&amp;Q123&amp;" registered suppliers declare this provider (indicator only - not a risk conclusion)","Declared by one registered supplier")))</f>
        <v/>
      </c>
      <c r="S123" s="54" t="str">
        <f aca="false">IF(A123="","",IF(COUNTIF(DEP_ID,A123)&gt;1,"CHECK: duplicate ID",IF(B123="","CHECK: Supplier ID missing",IF(COUNTIF(INV_ID,B123)=0,"CHECK: Supplier ID not in inventory",IF(AND(L123&lt;&gt;"",COUNTIF(RSK_ID,L123)=0),"CHECK: Risk ID not found","OK")))))</f>
        <v/>
      </c>
    </row>
    <row r="124" customFormat="false" ht="15" hidden="false" customHeight="false" outlineLevel="0" collapsed="false">
      <c r="A124" s="50"/>
      <c r="B124" s="50"/>
      <c r="C124" s="59" t="str">
        <f aca="false">IF(B124="","",IFERROR(INDEX(INV_NAME,MATCH(B124,INV_ID,0)),"CHECK: Supplier ID not found"))</f>
        <v/>
      </c>
      <c r="D124" s="34"/>
      <c r="E124" s="34"/>
      <c r="F124" s="34"/>
      <c r="G124" s="34"/>
      <c r="H124" s="34"/>
      <c r="I124" s="34"/>
      <c r="J124" s="50"/>
      <c r="K124" s="34"/>
      <c r="L124" s="50"/>
      <c r="M124" s="34"/>
      <c r="N124" s="34"/>
      <c r="O124" s="62" t="n">
        <f aca="false">IF(OR(B124="",E124=""),0,IF(COUNTIFS($B$7:B124,B124,$E$7:E124,E124)=1,1,0))</f>
        <v>0</v>
      </c>
      <c r="P124" s="62" t="n">
        <f aca="false">IF(E124="",0,IF(COUNTIF($E$7:E124,E124)=1,1,0))</f>
        <v>0</v>
      </c>
      <c r="Q124" s="62" t="n">
        <f aca="false">IF(E124="",0,SUMIFS(DEP_FIRSTPAIR,DEP_P4,E124))</f>
        <v>0</v>
      </c>
      <c r="R124" s="54" t="str">
        <f aca="false">IF(A124="","",IF(E124="","No fourth party recorded",IF(Q124&gt;=SharedMin,"Shared dependency: "&amp;Q124&amp;" registered suppliers declare this provider (indicator only - not a risk conclusion)","Declared by one registered supplier")))</f>
        <v/>
      </c>
      <c r="S124" s="54" t="str">
        <f aca="false">IF(A124="","",IF(COUNTIF(DEP_ID,A124)&gt;1,"CHECK: duplicate ID",IF(B124="","CHECK: Supplier ID missing",IF(COUNTIF(INV_ID,B124)=0,"CHECK: Supplier ID not in inventory",IF(AND(L124&lt;&gt;"",COUNTIF(RSK_ID,L124)=0),"CHECK: Risk ID not found","OK")))))</f>
        <v/>
      </c>
    </row>
    <row r="125" customFormat="false" ht="15" hidden="false" customHeight="false" outlineLevel="0" collapsed="false">
      <c r="A125" s="50"/>
      <c r="B125" s="50"/>
      <c r="C125" s="59" t="str">
        <f aca="false">IF(B125="","",IFERROR(INDEX(INV_NAME,MATCH(B125,INV_ID,0)),"CHECK: Supplier ID not found"))</f>
        <v/>
      </c>
      <c r="D125" s="34"/>
      <c r="E125" s="34"/>
      <c r="F125" s="34"/>
      <c r="G125" s="34"/>
      <c r="H125" s="34"/>
      <c r="I125" s="34"/>
      <c r="J125" s="50"/>
      <c r="K125" s="34"/>
      <c r="L125" s="50"/>
      <c r="M125" s="34"/>
      <c r="N125" s="34"/>
      <c r="O125" s="62" t="n">
        <f aca="false">IF(OR(B125="",E125=""),0,IF(COUNTIFS($B$7:B125,B125,$E$7:E125,E125)=1,1,0))</f>
        <v>0</v>
      </c>
      <c r="P125" s="62" t="n">
        <f aca="false">IF(E125="",0,IF(COUNTIF($E$7:E125,E125)=1,1,0))</f>
        <v>0</v>
      </c>
      <c r="Q125" s="62" t="n">
        <f aca="false">IF(E125="",0,SUMIFS(DEP_FIRSTPAIR,DEP_P4,E125))</f>
        <v>0</v>
      </c>
      <c r="R125" s="54" t="str">
        <f aca="false">IF(A125="","",IF(E125="","No fourth party recorded",IF(Q125&gt;=SharedMin,"Shared dependency: "&amp;Q125&amp;" registered suppliers declare this provider (indicator only - not a risk conclusion)","Declared by one registered supplier")))</f>
        <v/>
      </c>
      <c r="S125" s="54" t="str">
        <f aca="false">IF(A125="","",IF(COUNTIF(DEP_ID,A125)&gt;1,"CHECK: duplicate ID",IF(B125="","CHECK: Supplier ID missing",IF(COUNTIF(INV_ID,B125)=0,"CHECK: Supplier ID not in inventory",IF(AND(L125&lt;&gt;"",COUNTIF(RSK_ID,L125)=0),"CHECK: Risk ID not found","OK")))))</f>
        <v/>
      </c>
    </row>
    <row r="126" customFormat="false" ht="15" hidden="false" customHeight="false" outlineLevel="0" collapsed="false">
      <c r="A126" s="50"/>
      <c r="B126" s="50"/>
      <c r="C126" s="59" t="str">
        <f aca="false">IF(B126="","",IFERROR(INDEX(INV_NAME,MATCH(B126,INV_ID,0)),"CHECK: Supplier ID not found"))</f>
        <v/>
      </c>
      <c r="D126" s="34"/>
      <c r="E126" s="34"/>
      <c r="F126" s="34"/>
      <c r="G126" s="34"/>
      <c r="H126" s="34"/>
      <c r="I126" s="34"/>
      <c r="J126" s="50"/>
      <c r="K126" s="34"/>
      <c r="L126" s="50"/>
      <c r="M126" s="34"/>
      <c r="N126" s="34"/>
      <c r="O126" s="62" t="n">
        <f aca="false">IF(OR(B126="",E126=""),0,IF(COUNTIFS($B$7:B126,B126,$E$7:E126,E126)=1,1,0))</f>
        <v>0</v>
      </c>
      <c r="P126" s="62" t="n">
        <f aca="false">IF(E126="",0,IF(COUNTIF($E$7:E126,E126)=1,1,0))</f>
        <v>0</v>
      </c>
      <c r="Q126" s="62" t="n">
        <f aca="false">IF(E126="",0,SUMIFS(DEP_FIRSTPAIR,DEP_P4,E126))</f>
        <v>0</v>
      </c>
      <c r="R126" s="54" t="str">
        <f aca="false">IF(A126="","",IF(E126="","No fourth party recorded",IF(Q126&gt;=SharedMin,"Shared dependency: "&amp;Q126&amp;" registered suppliers declare this provider (indicator only - not a risk conclusion)","Declared by one registered supplier")))</f>
        <v/>
      </c>
      <c r="S126" s="54" t="str">
        <f aca="false">IF(A126="","",IF(COUNTIF(DEP_ID,A126)&gt;1,"CHECK: duplicate ID",IF(B126="","CHECK: Supplier ID missing",IF(COUNTIF(INV_ID,B126)=0,"CHECK: Supplier ID not in inventory",IF(AND(L126&lt;&gt;"",COUNTIF(RSK_ID,L126)=0),"CHECK: Risk ID not found","OK")))))</f>
        <v/>
      </c>
    </row>
    <row r="127" customFormat="false" ht="15" hidden="false" customHeight="false" outlineLevel="0" collapsed="false">
      <c r="A127" s="50"/>
      <c r="B127" s="50"/>
      <c r="C127" s="59" t="str">
        <f aca="false">IF(B127="","",IFERROR(INDEX(INV_NAME,MATCH(B127,INV_ID,0)),"CHECK: Supplier ID not found"))</f>
        <v/>
      </c>
      <c r="D127" s="34"/>
      <c r="E127" s="34"/>
      <c r="F127" s="34"/>
      <c r="G127" s="34"/>
      <c r="H127" s="34"/>
      <c r="I127" s="34"/>
      <c r="J127" s="50"/>
      <c r="K127" s="34"/>
      <c r="L127" s="50"/>
      <c r="M127" s="34"/>
      <c r="N127" s="34"/>
      <c r="O127" s="62" t="n">
        <f aca="false">IF(OR(B127="",E127=""),0,IF(COUNTIFS($B$7:B127,B127,$E$7:E127,E127)=1,1,0))</f>
        <v>0</v>
      </c>
      <c r="P127" s="62" t="n">
        <f aca="false">IF(E127="",0,IF(COUNTIF($E$7:E127,E127)=1,1,0))</f>
        <v>0</v>
      </c>
      <c r="Q127" s="62" t="n">
        <f aca="false">IF(E127="",0,SUMIFS(DEP_FIRSTPAIR,DEP_P4,E127))</f>
        <v>0</v>
      </c>
      <c r="R127" s="54" t="str">
        <f aca="false">IF(A127="","",IF(E127="","No fourth party recorded",IF(Q127&gt;=SharedMin,"Shared dependency: "&amp;Q127&amp;" registered suppliers declare this provider (indicator only - not a risk conclusion)","Declared by one registered supplier")))</f>
        <v/>
      </c>
      <c r="S127" s="54" t="str">
        <f aca="false">IF(A127="","",IF(COUNTIF(DEP_ID,A127)&gt;1,"CHECK: duplicate ID",IF(B127="","CHECK: Supplier ID missing",IF(COUNTIF(INV_ID,B127)=0,"CHECK: Supplier ID not in inventory",IF(AND(L127&lt;&gt;"",COUNTIF(RSK_ID,L127)=0),"CHECK: Risk ID not found","OK")))))</f>
        <v/>
      </c>
    </row>
    <row r="128" customFormat="false" ht="15" hidden="false" customHeight="false" outlineLevel="0" collapsed="false">
      <c r="A128" s="50"/>
      <c r="B128" s="50"/>
      <c r="C128" s="59" t="str">
        <f aca="false">IF(B128="","",IFERROR(INDEX(INV_NAME,MATCH(B128,INV_ID,0)),"CHECK: Supplier ID not found"))</f>
        <v/>
      </c>
      <c r="D128" s="34"/>
      <c r="E128" s="34"/>
      <c r="F128" s="34"/>
      <c r="G128" s="34"/>
      <c r="H128" s="34"/>
      <c r="I128" s="34"/>
      <c r="J128" s="50"/>
      <c r="K128" s="34"/>
      <c r="L128" s="50"/>
      <c r="M128" s="34"/>
      <c r="N128" s="34"/>
      <c r="O128" s="62" t="n">
        <f aca="false">IF(OR(B128="",E128=""),0,IF(COUNTIFS($B$7:B128,B128,$E$7:E128,E128)=1,1,0))</f>
        <v>0</v>
      </c>
      <c r="P128" s="62" t="n">
        <f aca="false">IF(E128="",0,IF(COUNTIF($E$7:E128,E128)=1,1,0))</f>
        <v>0</v>
      </c>
      <c r="Q128" s="62" t="n">
        <f aca="false">IF(E128="",0,SUMIFS(DEP_FIRSTPAIR,DEP_P4,E128))</f>
        <v>0</v>
      </c>
      <c r="R128" s="54" t="str">
        <f aca="false">IF(A128="","",IF(E128="","No fourth party recorded",IF(Q128&gt;=SharedMin,"Shared dependency: "&amp;Q128&amp;" registered suppliers declare this provider (indicator only - not a risk conclusion)","Declared by one registered supplier")))</f>
        <v/>
      </c>
      <c r="S128" s="54" t="str">
        <f aca="false">IF(A128="","",IF(COUNTIF(DEP_ID,A128)&gt;1,"CHECK: duplicate ID",IF(B128="","CHECK: Supplier ID missing",IF(COUNTIF(INV_ID,B128)=0,"CHECK: Supplier ID not in inventory",IF(AND(L128&lt;&gt;"",COUNTIF(RSK_ID,L128)=0),"CHECK: Risk ID not found","OK")))))</f>
        <v/>
      </c>
    </row>
    <row r="129" customFormat="false" ht="15" hidden="false" customHeight="false" outlineLevel="0" collapsed="false">
      <c r="A129" s="50"/>
      <c r="B129" s="50"/>
      <c r="C129" s="59" t="str">
        <f aca="false">IF(B129="","",IFERROR(INDEX(INV_NAME,MATCH(B129,INV_ID,0)),"CHECK: Supplier ID not found"))</f>
        <v/>
      </c>
      <c r="D129" s="34"/>
      <c r="E129" s="34"/>
      <c r="F129" s="34"/>
      <c r="G129" s="34"/>
      <c r="H129" s="34"/>
      <c r="I129" s="34"/>
      <c r="J129" s="50"/>
      <c r="K129" s="34"/>
      <c r="L129" s="50"/>
      <c r="M129" s="34"/>
      <c r="N129" s="34"/>
      <c r="O129" s="62" t="n">
        <f aca="false">IF(OR(B129="",E129=""),0,IF(COUNTIFS($B$7:B129,B129,$E$7:E129,E129)=1,1,0))</f>
        <v>0</v>
      </c>
      <c r="P129" s="62" t="n">
        <f aca="false">IF(E129="",0,IF(COUNTIF($E$7:E129,E129)=1,1,0))</f>
        <v>0</v>
      </c>
      <c r="Q129" s="62" t="n">
        <f aca="false">IF(E129="",0,SUMIFS(DEP_FIRSTPAIR,DEP_P4,E129))</f>
        <v>0</v>
      </c>
      <c r="R129" s="54" t="str">
        <f aca="false">IF(A129="","",IF(E129="","No fourth party recorded",IF(Q129&gt;=SharedMin,"Shared dependency: "&amp;Q129&amp;" registered suppliers declare this provider (indicator only - not a risk conclusion)","Declared by one registered supplier")))</f>
        <v/>
      </c>
      <c r="S129" s="54" t="str">
        <f aca="false">IF(A129="","",IF(COUNTIF(DEP_ID,A129)&gt;1,"CHECK: duplicate ID",IF(B129="","CHECK: Supplier ID missing",IF(COUNTIF(INV_ID,B129)=0,"CHECK: Supplier ID not in inventory",IF(AND(L129&lt;&gt;"",COUNTIF(RSK_ID,L129)=0),"CHECK: Risk ID not found","OK")))))</f>
        <v/>
      </c>
    </row>
    <row r="130" customFormat="false" ht="15" hidden="false" customHeight="false" outlineLevel="0" collapsed="false">
      <c r="A130" s="50"/>
      <c r="B130" s="50"/>
      <c r="C130" s="59" t="str">
        <f aca="false">IF(B130="","",IFERROR(INDEX(INV_NAME,MATCH(B130,INV_ID,0)),"CHECK: Supplier ID not found"))</f>
        <v/>
      </c>
      <c r="D130" s="34"/>
      <c r="E130" s="34"/>
      <c r="F130" s="34"/>
      <c r="G130" s="34"/>
      <c r="H130" s="34"/>
      <c r="I130" s="34"/>
      <c r="J130" s="50"/>
      <c r="K130" s="34"/>
      <c r="L130" s="50"/>
      <c r="M130" s="34"/>
      <c r="N130" s="34"/>
      <c r="O130" s="62" t="n">
        <f aca="false">IF(OR(B130="",E130=""),0,IF(COUNTIFS($B$7:B130,B130,$E$7:E130,E130)=1,1,0))</f>
        <v>0</v>
      </c>
      <c r="P130" s="62" t="n">
        <f aca="false">IF(E130="",0,IF(COUNTIF($E$7:E130,E130)=1,1,0))</f>
        <v>0</v>
      </c>
      <c r="Q130" s="62" t="n">
        <f aca="false">IF(E130="",0,SUMIFS(DEP_FIRSTPAIR,DEP_P4,E130))</f>
        <v>0</v>
      </c>
      <c r="R130" s="54" t="str">
        <f aca="false">IF(A130="","",IF(E130="","No fourth party recorded",IF(Q130&gt;=SharedMin,"Shared dependency: "&amp;Q130&amp;" registered suppliers declare this provider (indicator only - not a risk conclusion)","Declared by one registered supplier")))</f>
        <v/>
      </c>
      <c r="S130" s="54" t="str">
        <f aca="false">IF(A130="","",IF(COUNTIF(DEP_ID,A130)&gt;1,"CHECK: duplicate ID",IF(B130="","CHECK: Supplier ID missing",IF(COUNTIF(INV_ID,B130)=0,"CHECK: Supplier ID not in inventory",IF(AND(L130&lt;&gt;"",COUNTIF(RSK_ID,L130)=0),"CHECK: Risk ID not found","OK")))))</f>
        <v/>
      </c>
    </row>
    <row r="131" customFormat="false" ht="15" hidden="false" customHeight="false" outlineLevel="0" collapsed="false">
      <c r="A131" s="50"/>
      <c r="B131" s="50"/>
      <c r="C131" s="59" t="str">
        <f aca="false">IF(B131="","",IFERROR(INDEX(INV_NAME,MATCH(B131,INV_ID,0)),"CHECK: Supplier ID not found"))</f>
        <v/>
      </c>
      <c r="D131" s="34"/>
      <c r="E131" s="34"/>
      <c r="F131" s="34"/>
      <c r="G131" s="34"/>
      <c r="H131" s="34"/>
      <c r="I131" s="34"/>
      <c r="J131" s="50"/>
      <c r="K131" s="34"/>
      <c r="L131" s="50"/>
      <c r="M131" s="34"/>
      <c r="N131" s="34"/>
      <c r="O131" s="62" t="n">
        <f aca="false">IF(OR(B131="",E131=""),0,IF(COUNTIFS($B$7:B131,B131,$E$7:E131,E131)=1,1,0))</f>
        <v>0</v>
      </c>
      <c r="P131" s="62" t="n">
        <f aca="false">IF(E131="",0,IF(COUNTIF($E$7:E131,E131)=1,1,0))</f>
        <v>0</v>
      </c>
      <c r="Q131" s="62" t="n">
        <f aca="false">IF(E131="",0,SUMIFS(DEP_FIRSTPAIR,DEP_P4,E131))</f>
        <v>0</v>
      </c>
      <c r="R131" s="54" t="str">
        <f aca="false">IF(A131="","",IF(E131="","No fourth party recorded",IF(Q131&gt;=SharedMin,"Shared dependency: "&amp;Q131&amp;" registered suppliers declare this provider (indicator only - not a risk conclusion)","Declared by one registered supplier")))</f>
        <v/>
      </c>
      <c r="S131" s="54" t="str">
        <f aca="false">IF(A131="","",IF(COUNTIF(DEP_ID,A131)&gt;1,"CHECK: duplicate ID",IF(B131="","CHECK: Supplier ID missing",IF(COUNTIF(INV_ID,B131)=0,"CHECK: Supplier ID not in inventory",IF(AND(L131&lt;&gt;"",COUNTIF(RSK_ID,L131)=0),"CHECK: Risk ID not found","OK")))))</f>
        <v/>
      </c>
    </row>
    <row r="132" customFormat="false" ht="15" hidden="false" customHeight="false" outlineLevel="0" collapsed="false">
      <c r="A132" s="50"/>
      <c r="B132" s="50"/>
      <c r="C132" s="59" t="str">
        <f aca="false">IF(B132="","",IFERROR(INDEX(INV_NAME,MATCH(B132,INV_ID,0)),"CHECK: Supplier ID not found"))</f>
        <v/>
      </c>
      <c r="D132" s="34"/>
      <c r="E132" s="34"/>
      <c r="F132" s="34"/>
      <c r="G132" s="34"/>
      <c r="H132" s="34"/>
      <c r="I132" s="34"/>
      <c r="J132" s="50"/>
      <c r="K132" s="34"/>
      <c r="L132" s="50"/>
      <c r="M132" s="34"/>
      <c r="N132" s="34"/>
      <c r="O132" s="62" t="n">
        <f aca="false">IF(OR(B132="",E132=""),0,IF(COUNTIFS($B$7:B132,B132,$E$7:E132,E132)=1,1,0))</f>
        <v>0</v>
      </c>
      <c r="P132" s="62" t="n">
        <f aca="false">IF(E132="",0,IF(COUNTIF($E$7:E132,E132)=1,1,0))</f>
        <v>0</v>
      </c>
      <c r="Q132" s="62" t="n">
        <f aca="false">IF(E132="",0,SUMIFS(DEP_FIRSTPAIR,DEP_P4,E132))</f>
        <v>0</v>
      </c>
      <c r="R132" s="54" t="str">
        <f aca="false">IF(A132="","",IF(E132="","No fourth party recorded",IF(Q132&gt;=SharedMin,"Shared dependency: "&amp;Q132&amp;" registered suppliers declare this provider (indicator only - not a risk conclusion)","Declared by one registered supplier")))</f>
        <v/>
      </c>
      <c r="S132" s="54" t="str">
        <f aca="false">IF(A132="","",IF(COUNTIF(DEP_ID,A132)&gt;1,"CHECK: duplicate ID",IF(B132="","CHECK: Supplier ID missing",IF(COUNTIF(INV_ID,B132)=0,"CHECK: Supplier ID not in inventory",IF(AND(L132&lt;&gt;"",COUNTIF(RSK_ID,L132)=0),"CHECK: Risk ID not found","OK")))))</f>
        <v/>
      </c>
    </row>
    <row r="133" customFormat="false" ht="15" hidden="false" customHeight="false" outlineLevel="0" collapsed="false">
      <c r="A133" s="50"/>
      <c r="B133" s="50"/>
      <c r="C133" s="59" t="str">
        <f aca="false">IF(B133="","",IFERROR(INDEX(INV_NAME,MATCH(B133,INV_ID,0)),"CHECK: Supplier ID not found"))</f>
        <v/>
      </c>
      <c r="D133" s="34"/>
      <c r="E133" s="34"/>
      <c r="F133" s="34"/>
      <c r="G133" s="34"/>
      <c r="H133" s="34"/>
      <c r="I133" s="34"/>
      <c r="J133" s="50"/>
      <c r="K133" s="34"/>
      <c r="L133" s="50"/>
      <c r="M133" s="34"/>
      <c r="N133" s="34"/>
      <c r="O133" s="62" t="n">
        <f aca="false">IF(OR(B133="",E133=""),0,IF(COUNTIFS($B$7:B133,B133,$E$7:E133,E133)=1,1,0))</f>
        <v>0</v>
      </c>
      <c r="P133" s="62" t="n">
        <f aca="false">IF(E133="",0,IF(COUNTIF($E$7:E133,E133)=1,1,0))</f>
        <v>0</v>
      </c>
      <c r="Q133" s="62" t="n">
        <f aca="false">IF(E133="",0,SUMIFS(DEP_FIRSTPAIR,DEP_P4,E133))</f>
        <v>0</v>
      </c>
      <c r="R133" s="54" t="str">
        <f aca="false">IF(A133="","",IF(E133="","No fourth party recorded",IF(Q133&gt;=SharedMin,"Shared dependency: "&amp;Q133&amp;" registered suppliers declare this provider (indicator only - not a risk conclusion)","Declared by one registered supplier")))</f>
        <v/>
      </c>
      <c r="S133" s="54" t="str">
        <f aca="false">IF(A133="","",IF(COUNTIF(DEP_ID,A133)&gt;1,"CHECK: duplicate ID",IF(B133="","CHECK: Supplier ID missing",IF(COUNTIF(INV_ID,B133)=0,"CHECK: Supplier ID not in inventory",IF(AND(L133&lt;&gt;"",COUNTIF(RSK_ID,L133)=0),"CHECK: Risk ID not found","OK")))))</f>
        <v/>
      </c>
    </row>
    <row r="134" customFormat="false" ht="15" hidden="false" customHeight="false" outlineLevel="0" collapsed="false">
      <c r="A134" s="50"/>
      <c r="B134" s="50"/>
      <c r="C134" s="59" t="str">
        <f aca="false">IF(B134="","",IFERROR(INDEX(INV_NAME,MATCH(B134,INV_ID,0)),"CHECK: Supplier ID not found"))</f>
        <v/>
      </c>
      <c r="D134" s="34"/>
      <c r="E134" s="34"/>
      <c r="F134" s="34"/>
      <c r="G134" s="34"/>
      <c r="H134" s="34"/>
      <c r="I134" s="34"/>
      <c r="J134" s="50"/>
      <c r="K134" s="34"/>
      <c r="L134" s="50"/>
      <c r="M134" s="34"/>
      <c r="N134" s="34"/>
      <c r="O134" s="62" t="n">
        <f aca="false">IF(OR(B134="",E134=""),0,IF(COUNTIFS($B$7:B134,B134,$E$7:E134,E134)=1,1,0))</f>
        <v>0</v>
      </c>
      <c r="P134" s="62" t="n">
        <f aca="false">IF(E134="",0,IF(COUNTIF($E$7:E134,E134)=1,1,0))</f>
        <v>0</v>
      </c>
      <c r="Q134" s="62" t="n">
        <f aca="false">IF(E134="",0,SUMIFS(DEP_FIRSTPAIR,DEP_P4,E134))</f>
        <v>0</v>
      </c>
      <c r="R134" s="54" t="str">
        <f aca="false">IF(A134="","",IF(E134="","No fourth party recorded",IF(Q134&gt;=SharedMin,"Shared dependency: "&amp;Q134&amp;" registered suppliers declare this provider (indicator only - not a risk conclusion)","Declared by one registered supplier")))</f>
        <v/>
      </c>
      <c r="S134" s="54" t="str">
        <f aca="false">IF(A134="","",IF(COUNTIF(DEP_ID,A134)&gt;1,"CHECK: duplicate ID",IF(B134="","CHECK: Supplier ID missing",IF(COUNTIF(INV_ID,B134)=0,"CHECK: Supplier ID not in inventory",IF(AND(L134&lt;&gt;"",COUNTIF(RSK_ID,L134)=0),"CHECK: Risk ID not found","OK")))))</f>
        <v/>
      </c>
    </row>
    <row r="135" customFormat="false" ht="15" hidden="false" customHeight="false" outlineLevel="0" collapsed="false">
      <c r="A135" s="50"/>
      <c r="B135" s="50"/>
      <c r="C135" s="59" t="str">
        <f aca="false">IF(B135="","",IFERROR(INDEX(INV_NAME,MATCH(B135,INV_ID,0)),"CHECK: Supplier ID not found"))</f>
        <v/>
      </c>
      <c r="D135" s="34"/>
      <c r="E135" s="34"/>
      <c r="F135" s="34"/>
      <c r="G135" s="34"/>
      <c r="H135" s="34"/>
      <c r="I135" s="34"/>
      <c r="J135" s="50"/>
      <c r="K135" s="34"/>
      <c r="L135" s="50"/>
      <c r="M135" s="34"/>
      <c r="N135" s="34"/>
      <c r="O135" s="62" t="n">
        <f aca="false">IF(OR(B135="",E135=""),0,IF(COUNTIFS($B$7:B135,B135,$E$7:E135,E135)=1,1,0))</f>
        <v>0</v>
      </c>
      <c r="P135" s="62" t="n">
        <f aca="false">IF(E135="",0,IF(COUNTIF($E$7:E135,E135)=1,1,0))</f>
        <v>0</v>
      </c>
      <c r="Q135" s="62" t="n">
        <f aca="false">IF(E135="",0,SUMIFS(DEP_FIRSTPAIR,DEP_P4,E135))</f>
        <v>0</v>
      </c>
      <c r="R135" s="54" t="str">
        <f aca="false">IF(A135="","",IF(E135="","No fourth party recorded",IF(Q135&gt;=SharedMin,"Shared dependency: "&amp;Q135&amp;" registered suppliers declare this provider (indicator only - not a risk conclusion)","Declared by one registered supplier")))</f>
        <v/>
      </c>
      <c r="S135" s="54" t="str">
        <f aca="false">IF(A135="","",IF(COUNTIF(DEP_ID,A135)&gt;1,"CHECK: duplicate ID",IF(B135="","CHECK: Supplier ID missing",IF(COUNTIF(INV_ID,B135)=0,"CHECK: Supplier ID not in inventory",IF(AND(L135&lt;&gt;"",COUNTIF(RSK_ID,L135)=0),"CHECK: Risk ID not found","OK")))))</f>
        <v/>
      </c>
    </row>
    <row r="136" customFormat="false" ht="15" hidden="false" customHeight="false" outlineLevel="0" collapsed="false">
      <c r="A136" s="50"/>
      <c r="B136" s="50"/>
      <c r="C136" s="59" t="str">
        <f aca="false">IF(B136="","",IFERROR(INDEX(INV_NAME,MATCH(B136,INV_ID,0)),"CHECK: Supplier ID not found"))</f>
        <v/>
      </c>
      <c r="D136" s="34"/>
      <c r="E136" s="34"/>
      <c r="F136" s="34"/>
      <c r="G136" s="34"/>
      <c r="H136" s="34"/>
      <c r="I136" s="34"/>
      <c r="J136" s="50"/>
      <c r="K136" s="34"/>
      <c r="L136" s="50"/>
      <c r="M136" s="34"/>
      <c r="N136" s="34"/>
      <c r="O136" s="62" t="n">
        <f aca="false">IF(OR(B136="",E136=""),0,IF(COUNTIFS($B$7:B136,B136,$E$7:E136,E136)=1,1,0))</f>
        <v>0</v>
      </c>
      <c r="P136" s="62" t="n">
        <f aca="false">IF(E136="",0,IF(COUNTIF($E$7:E136,E136)=1,1,0))</f>
        <v>0</v>
      </c>
      <c r="Q136" s="62" t="n">
        <f aca="false">IF(E136="",0,SUMIFS(DEP_FIRSTPAIR,DEP_P4,E136))</f>
        <v>0</v>
      </c>
      <c r="R136" s="54" t="str">
        <f aca="false">IF(A136="","",IF(E136="","No fourth party recorded",IF(Q136&gt;=SharedMin,"Shared dependency: "&amp;Q136&amp;" registered suppliers declare this provider (indicator only - not a risk conclusion)","Declared by one registered supplier")))</f>
        <v/>
      </c>
      <c r="S136" s="54" t="str">
        <f aca="false">IF(A136="","",IF(COUNTIF(DEP_ID,A136)&gt;1,"CHECK: duplicate ID",IF(B136="","CHECK: Supplier ID missing",IF(COUNTIF(INV_ID,B136)=0,"CHECK: Supplier ID not in inventory",IF(AND(L136&lt;&gt;"",COUNTIF(RSK_ID,L136)=0),"CHECK: Risk ID not found","OK")))))</f>
        <v/>
      </c>
    </row>
    <row r="137" customFormat="false" ht="15" hidden="false" customHeight="false" outlineLevel="0" collapsed="false">
      <c r="A137" s="50"/>
      <c r="B137" s="50"/>
      <c r="C137" s="59" t="str">
        <f aca="false">IF(B137="","",IFERROR(INDEX(INV_NAME,MATCH(B137,INV_ID,0)),"CHECK: Supplier ID not found"))</f>
        <v/>
      </c>
      <c r="D137" s="34"/>
      <c r="E137" s="34"/>
      <c r="F137" s="34"/>
      <c r="G137" s="34"/>
      <c r="H137" s="34"/>
      <c r="I137" s="34"/>
      <c r="J137" s="50"/>
      <c r="K137" s="34"/>
      <c r="L137" s="50"/>
      <c r="M137" s="34"/>
      <c r="N137" s="34"/>
      <c r="O137" s="62" t="n">
        <f aca="false">IF(OR(B137="",E137=""),0,IF(COUNTIFS($B$7:B137,B137,$E$7:E137,E137)=1,1,0))</f>
        <v>0</v>
      </c>
      <c r="P137" s="62" t="n">
        <f aca="false">IF(E137="",0,IF(COUNTIF($E$7:E137,E137)=1,1,0))</f>
        <v>0</v>
      </c>
      <c r="Q137" s="62" t="n">
        <f aca="false">IF(E137="",0,SUMIFS(DEP_FIRSTPAIR,DEP_P4,E137))</f>
        <v>0</v>
      </c>
      <c r="R137" s="54" t="str">
        <f aca="false">IF(A137="","",IF(E137="","No fourth party recorded",IF(Q137&gt;=SharedMin,"Shared dependency: "&amp;Q137&amp;" registered suppliers declare this provider (indicator only - not a risk conclusion)","Declared by one registered supplier")))</f>
        <v/>
      </c>
      <c r="S137" s="54" t="str">
        <f aca="false">IF(A137="","",IF(COUNTIF(DEP_ID,A137)&gt;1,"CHECK: duplicate ID",IF(B137="","CHECK: Supplier ID missing",IF(COUNTIF(INV_ID,B137)=0,"CHECK: Supplier ID not in inventory",IF(AND(L137&lt;&gt;"",COUNTIF(RSK_ID,L137)=0),"CHECK: Risk ID not found","OK")))))</f>
        <v/>
      </c>
    </row>
    <row r="138" customFormat="false" ht="15" hidden="false" customHeight="false" outlineLevel="0" collapsed="false">
      <c r="A138" s="50"/>
      <c r="B138" s="50"/>
      <c r="C138" s="59" t="str">
        <f aca="false">IF(B138="","",IFERROR(INDEX(INV_NAME,MATCH(B138,INV_ID,0)),"CHECK: Supplier ID not found"))</f>
        <v/>
      </c>
      <c r="D138" s="34"/>
      <c r="E138" s="34"/>
      <c r="F138" s="34"/>
      <c r="G138" s="34"/>
      <c r="H138" s="34"/>
      <c r="I138" s="34"/>
      <c r="J138" s="50"/>
      <c r="K138" s="34"/>
      <c r="L138" s="50"/>
      <c r="M138" s="34"/>
      <c r="N138" s="34"/>
      <c r="O138" s="62" t="n">
        <f aca="false">IF(OR(B138="",E138=""),0,IF(COUNTIFS($B$7:B138,B138,$E$7:E138,E138)=1,1,0))</f>
        <v>0</v>
      </c>
      <c r="P138" s="62" t="n">
        <f aca="false">IF(E138="",0,IF(COUNTIF($E$7:E138,E138)=1,1,0))</f>
        <v>0</v>
      </c>
      <c r="Q138" s="62" t="n">
        <f aca="false">IF(E138="",0,SUMIFS(DEP_FIRSTPAIR,DEP_P4,E138))</f>
        <v>0</v>
      </c>
      <c r="R138" s="54" t="str">
        <f aca="false">IF(A138="","",IF(E138="","No fourth party recorded",IF(Q138&gt;=SharedMin,"Shared dependency: "&amp;Q138&amp;" registered suppliers declare this provider (indicator only - not a risk conclusion)","Declared by one registered supplier")))</f>
        <v/>
      </c>
      <c r="S138" s="54" t="str">
        <f aca="false">IF(A138="","",IF(COUNTIF(DEP_ID,A138)&gt;1,"CHECK: duplicate ID",IF(B138="","CHECK: Supplier ID missing",IF(COUNTIF(INV_ID,B138)=0,"CHECK: Supplier ID not in inventory",IF(AND(L138&lt;&gt;"",COUNTIF(RSK_ID,L138)=0),"CHECK: Risk ID not found","OK")))))</f>
        <v/>
      </c>
    </row>
    <row r="139" customFormat="false" ht="15" hidden="false" customHeight="false" outlineLevel="0" collapsed="false">
      <c r="A139" s="50"/>
      <c r="B139" s="50"/>
      <c r="C139" s="59" t="str">
        <f aca="false">IF(B139="","",IFERROR(INDEX(INV_NAME,MATCH(B139,INV_ID,0)),"CHECK: Supplier ID not found"))</f>
        <v/>
      </c>
      <c r="D139" s="34"/>
      <c r="E139" s="34"/>
      <c r="F139" s="34"/>
      <c r="G139" s="34"/>
      <c r="H139" s="34"/>
      <c r="I139" s="34"/>
      <c r="J139" s="50"/>
      <c r="K139" s="34"/>
      <c r="L139" s="50"/>
      <c r="M139" s="34"/>
      <c r="N139" s="34"/>
      <c r="O139" s="62" t="n">
        <f aca="false">IF(OR(B139="",E139=""),0,IF(COUNTIFS($B$7:B139,B139,$E$7:E139,E139)=1,1,0))</f>
        <v>0</v>
      </c>
      <c r="P139" s="62" t="n">
        <f aca="false">IF(E139="",0,IF(COUNTIF($E$7:E139,E139)=1,1,0))</f>
        <v>0</v>
      </c>
      <c r="Q139" s="62" t="n">
        <f aca="false">IF(E139="",0,SUMIFS(DEP_FIRSTPAIR,DEP_P4,E139))</f>
        <v>0</v>
      </c>
      <c r="R139" s="54" t="str">
        <f aca="false">IF(A139="","",IF(E139="","No fourth party recorded",IF(Q139&gt;=SharedMin,"Shared dependency: "&amp;Q139&amp;" registered suppliers declare this provider (indicator only - not a risk conclusion)","Declared by one registered supplier")))</f>
        <v/>
      </c>
      <c r="S139" s="54" t="str">
        <f aca="false">IF(A139="","",IF(COUNTIF(DEP_ID,A139)&gt;1,"CHECK: duplicate ID",IF(B139="","CHECK: Supplier ID missing",IF(COUNTIF(INV_ID,B139)=0,"CHECK: Supplier ID not in inventory",IF(AND(L139&lt;&gt;"",COUNTIF(RSK_ID,L139)=0),"CHECK: Risk ID not found","OK")))))</f>
        <v/>
      </c>
    </row>
    <row r="140" customFormat="false" ht="15" hidden="false" customHeight="false" outlineLevel="0" collapsed="false">
      <c r="A140" s="50"/>
      <c r="B140" s="50"/>
      <c r="C140" s="59" t="str">
        <f aca="false">IF(B140="","",IFERROR(INDEX(INV_NAME,MATCH(B140,INV_ID,0)),"CHECK: Supplier ID not found"))</f>
        <v/>
      </c>
      <c r="D140" s="34"/>
      <c r="E140" s="34"/>
      <c r="F140" s="34"/>
      <c r="G140" s="34"/>
      <c r="H140" s="34"/>
      <c r="I140" s="34"/>
      <c r="J140" s="50"/>
      <c r="K140" s="34"/>
      <c r="L140" s="50"/>
      <c r="M140" s="34"/>
      <c r="N140" s="34"/>
      <c r="O140" s="62" t="n">
        <f aca="false">IF(OR(B140="",E140=""),0,IF(COUNTIFS($B$7:B140,B140,$E$7:E140,E140)=1,1,0))</f>
        <v>0</v>
      </c>
      <c r="P140" s="62" t="n">
        <f aca="false">IF(E140="",0,IF(COUNTIF($E$7:E140,E140)=1,1,0))</f>
        <v>0</v>
      </c>
      <c r="Q140" s="62" t="n">
        <f aca="false">IF(E140="",0,SUMIFS(DEP_FIRSTPAIR,DEP_P4,E140))</f>
        <v>0</v>
      </c>
      <c r="R140" s="54" t="str">
        <f aca="false">IF(A140="","",IF(E140="","No fourth party recorded",IF(Q140&gt;=SharedMin,"Shared dependency: "&amp;Q140&amp;" registered suppliers declare this provider (indicator only - not a risk conclusion)","Declared by one registered supplier")))</f>
        <v/>
      </c>
      <c r="S140" s="54" t="str">
        <f aca="false">IF(A140="","",IF(COUNTIF(DEP_ID,A140)&gt;1,"CHECK: duplicate ID",IF(B140="","CHECK: Supplier ID missing",IF(COUNTIF(INV_ID,B140)=0,"CHECK: Supplier ID not in inventory",IF(AND(L140&lt;&gt;"",COUNTIF(RSK_ID,L140)=0),"CHECK: Risk ID not found","OK")))))</f>
        <v/>
      </c>
    </row>
    <row r="141" customFormat="false" ht="15" hidden="false" customHeight="false" outlineLevel="0" collapsed="false">
      <c r="A141" s="50"/>
      <c r="B141" s="50"/>
      <c r="C141" s="59" t="str">
        <f aca="false">IF(B141="","",IFERROR(INDEX(INV_NAME,MATCH(B141,INV_ID,0)),"CHECK: Supplier ID not found"))</f>
        <v/>
      </c>
      <c r="D141" s="34"/>
      <c r="E141" s="34"/>
      <c r="F141" s="34"/>
      <c r="G141" s="34"/>
      <c r="H141" s="34"/>
      <c r="I141" s="34"/>
      <c r="J141" s="50"/>
      <c r="K141" s="34"/>
      <c r="L141" s="50"/>
      <c r="M141" s="34"/>
      <c r="N141" s="34"/>
      <c r="O141" s="62" t="n">
        <f aca="false">IF(OR(B141="",E141=""),0,IF(COUNTIFS($B$7:B141,B141,$E$7:E141,E141)=1,1,0))</f>
        <v>0</v>
      </c>
      <c r="P141" s="62" t="n">
        <f aca="false">IF(E141="",0,IF(COUNTIF($E$7:E141,E141)=1,1,0))</f>
        <v>0</v>
      </c>
      <c r="Q141" s="62" t="n">
        <f aca="false">IF(E141="",0,SUMIFS(DEP_FIRSTPAIR,DEP_P4,E141))</f>
        <v>0</v>
      </c>
      <c r="R141" s="54" t="str">
        <f aca="false">IF(A141="","",IF(E141="","No fourth party recorded",IF(Q141&gt;=SharedMin,"Shared dependency: "&amp;Q141&amp;" registered suppliers declare this provider (indicator only - not a risk conclusion)","Declared by one registered supplier")))</f>
        <v/>
      </c>
      <c r="S141" s="54" t="str">
        <f aca="false">IF(A141="","",IF(COUNTIF(DEP_ID,A141)&gt;1,"CHECK: duplicate ID",IF(B141="","CHECK: Supplier ID missing",IF(COUNTIF(INV_ID,B141)=0,"CHECK: Supplier ID not in inventory",IF(AND(L141&lt;&gt;"",COUNTIF(RSK_ID,L141)=0),"CHECK: Risk ID not found","OK")))))</f>
        <v/>
      </c>
    </row>
    <row r="142" customFormat="false" ht="15" hidden="false" customHeight="false" outlineLevel="0" collapsed="false">
      <c r="A142" s="50"/>
      <c r="B142" s="50"/>
      <c r="C142" s="59" t="str">
        <f aca="false">IF(B142="","",IFERROR(INDEX(INV_NAME,MATCH(B142,INV_ID,0)),"CHECK: Supplier ID not found"))</f>
        <v/>
      </c>
      <c r="D142" s="34"/>
      <c r="E142" s="34"/>
      <c r="F142" s="34"/>
      <c r="G142" s="34"/>
      <c r="H142" s="34"/>
      <c r="I142" s="34"/>
      <c r="J142" s="50"/>
      <c r="K142" s="34"/>
      <c r="L142" s="50"/>
      <c r="M142" s="34"/>
      <c r="N142" s="34"/>
      <c r="O142" s="62" t="n">
        <f aca="false">IF(OR(B142="",E142=""),0,IF(COUNTIFS($B$7:B142,B142,$E$7:E142,E142)=1,1,0))</f>
        <v>0</v>
      </c>
      <c r="P142" s="62" t="n">
        <f aca="false">IF(E142="",0,IF(COUNTIF($E$7:E142,E142)=1,1,0))</f>
        <v>0</v>
      </c>
      <c r="Q142" s="62" t="n">
        <f aca="false">IF(E142="",0,SUMIFS(DEP_FIRSTPAIR,DEP_P4,E142))</f>
        <v>0</v>
      </c>
      <c r="R142" s="54" t="str">
        <f aca="false">IF(A142="","",IF(E142="","No fourth party recorded",IF(Q142&gt;=SharedMin,"Shared dependency: "&amp;Q142&amp;" registered suppliers declare this provider (indicator only - not a risk conclusion)","Declared by one registered supplier")))</f>
        <v/>
      </c>
      <c r="S142" s="54" t="str">
        <f aca="false">IF(A142="","",IF(COUNTIF(DEP_ID,A142)&gt;1,"CHECK: duplicate ID",IF(B142="","CHECK: Supplier ID missing",IF(COUNTIF(INV_ID,B142)=0,"CHECK: Supplier ID not in inventory",IF(AND(L142&lt;&gt;"",COUNTIF(RSK_ID,L142)=0),"CHECK: Risk ID not found","OK")))))</f>
        <v/>
      </c>
    </row>
    <row r="143" customFormat="false" ht="15" hidden="false" customHeight="false" outlineLevel="0" collapsed="false">
      <c r="A143" s="50"/>
      <c r="B143" s="50"/>
      <c r="C143" s="59" t="str">
        <f aca="false">IF(B143="","",IFERROR(INDEX(INV_NAME,MATCH(B143,INV_ID,0)),"CHECK: Supplier ID not found"))</f>
        <v/>
      </c>
      <c r="D143" s="34"/>
      <c r="E143" s="34"/>
      <c r="F143" s="34"/>
      <c r="G143" s="34"/>
      <c r="H143" s="34"/>
      <c r="I143" s="34"/>
      <c r="J143" s="50"/>
      <c r="K143" s="34"/>
      <c r="L143" s="50"/>
      <c r="M143" s="34"/>
      <c r="N143" s="34"/>
      <c r="O143" s="62" t="n">
        <f aca="false">IF(OR(B143="",E143=""),0,IF(COUNTIFS($B$7:B143,B143,$E$7:E143,E143)=1,1,0))</f>
        <v>0</v>
      </c>
      <c r="P143" s="62" t="n">
        <f aca="false">IF(E143="",0,IF(COUNTIF($E$7:E143,E143)=1,1,0))</f>
        <v>0</v>
      </c>
      <c r="Q143" s="62" t="n">
        <f aca="false">IF(E143="",0,SUMIFS(DEP_FIRSTPAIR,DEP_P4,E143))</f>
        <v>0</v>
      </c>
      <c r="R143" s="54" t="str">
        <f aca="false">IF(A143="","",IF(E143="","No fourth party recorded",IF(Q143&gt;=SharedMin,"Shared dependency: "&amp;Q143&amp;" registered suppliers declare this provider (indicator only - not a risk conclusion)","Declared by one registered supplier")))</f>
        <v/>
      </c>
      <c r="S143" s="54" t="str">
        <f aca="false">IF(A143="","",IF(COUNTIF(DEP_ID,A143)&gt;1,"CHECK: duplicate ID",IF(B143="","CHECK: Supplier ID missing",IF(COUNTIF(INV_ID,B143)=0,"CHECK: Supplier ID not in inventory",IF(AND(L143&lt;&gt;"",COUNTIF(RSK_ID,L143)=0),"CHECK: Risk ID not found","OK")))))</f>
        <v/>
      </c>
    </row>
    <row r="144" customFormat="false" ht="15" hidden="false" customHeight="false" outlineLevel="0" collapsed="false">
      <c r="A144" s="50"/>
      <c r="B144" s="50"/>
      <c r="C144" s="59" t="str">
        <f aca="false">IF(B144="","",IFERROR(INDEX(INV_NAME,MATCH(B144,INV_ID,0)),"CHECK: Supplier ID not found"))</f>
        <v/>
      </c>
      <c r="D144" s="34"/>
      <c r="E144" s="34"/>
      <c r="F144" s="34"/>
      <c r="G144" s="34"/>
      <c r="H144" s="34"/>
      <c r="I144" s="34"/>
      <c r="J144" s="50"/>
      <c r="K144" s="34"/>
      <c r="L144" s="50"/>
      <c r="M144" s="34"/>
      <c r="N144" s="34"/>
      <c r="O144" s="62" t="n">
        <f aca="false">IF(OR(B144="",E144=""),0,IF(COUNTIFS($B$7:B144,B144,$E$7:E144,E144)=1,1,0))</f>
        <v>0</v>
      </c>
      <c r="P144" s="62" t="n">
        <f aca="false">IF(E144="",0,IF(COUNTIF($E$7:E144,E144)=1,1,0))</f>
        <v>0</v>
      </c>
      <c r="Q144" s="62" t="n">
        <f aca="false">IF(E144="",0,SUMIFS(DEP_FIRSTPAIR,DEP_P4,E144))</f>
        <v>0</v>
      </c>
      <c r="R144" s="54" t="str">
        <f aca="false">IF(A144="","",IF(E144="","No fourth party recorded",IF(Q144&gt;=SharedMin,"Shared dependency: "&amp;Q144&amp;" registered suppliers declare this provider (indicator only - not a risk conclusion)","Declared by one registered supplier")))</f>
        <v/>
      </c>
      <c r="S144" s="54" t="str">
        <f aca="false">IF(A144="","",IF(COUNTIF(DEP_ID,A144)&gt;1,"CHECK: duplicate ID",IF(B144="","CHECK: Supplier ID missing",IF(COUNTIF(INV_ID,B144)=0,"CHECK: Supplier ID not in inventory",IF(AND(L144&lt;&gt;"",COUNTIF(RSK_ID,L144)=0),"CHECK: Risk ID not found","OK")))))</f>
        <v/>
      </c>
    </row>
    <row r="145" customFormat="false" ht="15" hidden="false" customHeight="false" outlineLevel="0" collapsed="false">
      <c r="A145" s="50"/>
      <c r="B145" s="50"/>
      <c r="C145" s="59" t="str">
        <f aca="false">IF(B145="","",IFERROR(INDEX(INV_NAME,MATCH(B145,INV_ID,0)),"CHECK: Supplier ID not found"))</f>
        <v/>
      </c>
      <c r="D145" s="34"/>
      <c r="E145" s="34"/>
      <c r="F145" s="34"/>
      <c r="G145" s="34"/>
      <c r="H145" s="34"/>
      <c r="I145" s="34"/>
      <c r="J145" s="50"/>
      <c r="K145" s="34"/>
      <c r="L145" s="50"/>
      <c r="M145" s="34"/>
      <c r="N145" s="34"/>
      <c r="O145" s="62" t="n">
        <f aca="false">IF(OR(B145="",E145=""),0,IF(COUNTIFS($B$7:B145,B145,$E$7:E145,E145)=1,1,0))</f>
        <v>0</v>
      </c>
      <c r="P145" s="62" t="n">
        <f aca="false">IF(E145="",0,IF(COUNTIF($E$7:E145,E145)=1,1,0))</f>
        <v>0</v>
      </c>
      <c r="Q145" s="62" t="n">
        <f aca="false">IF(E145="",0,SUMIFS(DEP_FIRSTPAIR,DEP_P4,E145))</f>
        <v>0</v>
      </c>
      <c r="R145" s="54" t="str">
        <f aca="false">IF(A145="","",IF(E145="","No fourth party recorded",IF(Q145&gt;=SharedMin,"Shared dependency: "&amp;Q145&amp;" registered suppliers declare this provider (indicator only - not a risk conclusion)","Declared by one registered supplier")))</f>
        <v/>
      </c>
      <c r="S145" s="54" t="str">
        <f aca="false">IF(A145="","",IF(COUNTIF(DEP_ID,A145)&gt;1,"CHECK: duplicate ID",IF(B145="","CHECK: Supplier ID missing",IF(COUNTIF(INV_ID,B145)=0,"CHECK: Supplier ID not in inventory",IF(AND(L145&lt;&gt;"",COUNTIF(RSK_ID,L145)=0),"CHECK: Risk ID not found","OK")))))</f>
        <v/>
      </c>
    </row>
    <row r="146" customFormat="false" ht="15" hidden="false" customHeight="false" outlineLevel="0" collapsed="false">
      <c r="A146" s="50"/>
      <c r="B146" s="50"/>
      <c r="C146" s="59" t="str">
        <f aca="false">IF(B146="","",IFERROR(INDEX(INV_NAME,MATCH(B146,INV_ID,0)),"CHECK: Supplier ID not found"))</f>
        <v/>
      </c>
      <c r="D146" s="34"/>
      <c r="E146" s="34"/>
      <c r="F146" s="34"/>
      <c r="G146" s="34"/>
      <c r="H146" s="34"/>
      <c r="I146" s="34"/>
      <c r="J146" s="50"/>
      <c r="K146" s="34"/>
      <c r="L146" s="50"/>
      <c r="M146" s="34"/>
      <c r="N146" s="34"/>
      <c r="O146" s="62" t="n">
        <f aca="false">IF(OR(B146="",E146=""),0,IF(COUNTIFS($B$7:B146,B146,$E$7:E146,E146)=1,1,0))</f>
        <v>0</v>
      </c>
      <c r="P146" s="62" t="n">
        <f aca="false">IF(E146="",0,IF(COUNTIF($E$7:E146,E146)=1,1,0))</f>
        <v>0</v>
      </c>
      <c r="Q146" s="62" t="n">
        <f aca="false">IF(E146="",0,SUMIFS(DEP_FIRSTPAIR,DEP_P4,E146))</f>
        <v>0</v>
      </c>
      <c r="R146" s="54" t="str">
        <f aca="false">IF(A146="","",IF(E146="","No fourth party recorded",IF(Q146&gt;=SharedMin,"Shared dependency: "&amp;Q146&amp;" registered suppliers declare this provider (indicator only - not a risk conclusion)","Declared by one registered supplier")))</f>
        <v/>
      </c>
      <c r="S146" s="54" t="str">
        <f aca="false">IF(A146="","",IF(COUNTIF(DEP_ID,A146)&gt;1,"CHECK: duplicate ID",IF(B146="","CHECK: Supplier ID missing",IF(COUNTIF(INV_ID,B146)=0,"CHECK: Supplier ID not in inventory",IF(AND(L146&lt;&gt;"",COUNTIF(RSK_ID,L146)=0),"CHECK: Risk ID not found","OK")))))</f>
        <v/>
      </c>
    </row>
    <row r="147" customFormat="false" ht="15" hidden="false" customHeight="false" outlineLevel="0" collapsed="false">
      <c r="A147" s="50"/>
      <c r="B147" s="50"/>
      <c r="C147" s="59" t="str">
        <f aca="false">IF(B147="","",IFERROR(INDEX(INV_NAME,MATCH(B147,INV_ID,0)),"CHECK: Supplier ID not found"))</f>
        <v/>
      </c>
      <c r="D147" s="34"/>
      <c r="E147" s="34"/>
      <c r="F147" s="34"/>
      <c r="G147" s="34"/>
      <c r="H147" s="34"/>
      <c r="I147" s="34"/>
      <c r="J147" s="50"/>
      <c r="K147" s="34"/>
      <c r="L147" s="50"/>
      <c r="M147" s="34"/>
      <c r="N147" s="34"/>
      <c r="O147" s="62" t="n">
        <f aca="false">IF(OR(B147="",E147=""),0,IF(COUNTIFS($B$7:B147,B147,$E$7:E147,E147)=1,1,0))</f>
        <v>0</v>
      </c>
      <c r="P147" s="62" t="n">
        <f aca="false">IF(E147="",0,IF(COUNTIF($E$7:E147,E147)=1,1,0))</f>
        <v>0</v>
      </c>
      <c r="Q147" s="62" t="n">
        <f aca="false">IF(E147="",0,SUMIFS(DEP_FIRSTPAIR,DEP_P4,E147))</f>
        <v>0</v>
      </c>
      <c r="R147" s="54" t="str">
        <f aca="false">IF(A147="","",IF(E147="","No fourth party recorded",IF(Q147&gt;=SharedMin,"Shared dependency: "&amp;Q147&amp;" registered suppliers declare this provider (indicator only - not a risk conclusion)","Declared by one registered supplier")))</f>
        <v/>
      </c>
      <c r="S147" s="54" t="str">
        <f aca="false">IF(A147="","",IF(COUNTIF(DEP_ID,A147)&gt;1,"CHECK: duplicate ID",IF(B147="","CHECK: Supplier ID missing",IF(COUNTIF(INV_ID,B147)=0,"CHECK: Supplier ID not in inventory",IF(AND(L147&lt;&gt;"",COUNTIF(RSK_ID,L147)=0),"CHECK: Risk ID not found","OK")))))</f>
        <v/>
      </c>
    </row>
    <row r="148" customFormat="false" ht="15" hidden="false" customHeight="false" outlineLevel="0" collapsed="false">
      <c r="A148" s="50"/>
      <c r="B148" s="50"/>
      <c r="C148" s="59" t="str">
        <f aca="false">IF(B148="","",IFERROR(INDEX(INV_NAME,MATCH(B148,INV_ID,0)),"CHECK: Supplier ID not found"))</f>
        <v/>
      </c>
      <c r="D148" s="34"/>
      <c r="E148" s="34"/>
      <c r="F148" s="34"/>
      <c r="G148" s="34"/>
      <c r="H148" s="34"/>
      <c r="I148" s="34"/>
      <c r="J148" s="50"/>
      <c r="K148" s="34"/>
      <c r="L148" s="50"/>
      <c r="M148" s="34"/>
      <c r="N148" s="34"/>
      <c r="O148" s="62" t="n">
        <f aca="false">IF(OR(B148="",E148=""),0,IF(COUNTIFS($B$7:B148,B148,$E$7:E148,E148)=1,1,0))</f>
        <v>0</v>
      </c>
      <c r="P148" s="62" t="n">
        <f aca="false">IF(E148="",0,IF(COUNTIF($E$7:E148,E148)=1,1,0))</f>
        <v>0</v>
      </c>
      <c r="Q148" s="62" t="n">
        <f aca="false">IF(E148="",0,SUMIFS(DEP_FIRSTPAIR,DEP_P4,E148))</f>
        <v>0</v>
      </c>
      <c r="R148" s="54" t="str">
        <f aca="false">IF(A148="","",IF(E148="","No fourth party recorded",IF(Q148&gt;=SharedMin,"Shared dependency: "&amp;Q148&amp;" registered suppliers declare this provider (indicator only - not a risk conclusion)","Declared by one registered supplier")))</f>
        <v/>
      </c>
      <c r="S148" s="54" t="str">
        <f aca="false">IF(A148="","",IF(COUNTIF(DEP_ID,A148)&gt;1,"CHECK: duplicate ID",IF(B148="","CHECK: Supplier ID missing",IF(COUNTIF(INV_ID,B148)=0,"CHECK: Supplier ID not in inventory",IF(AND(L148&lt;&gt;"",COUNTIF(RSK_ID,L148)=0),"CHECK: Risk ID not found","OK")))))</f>
        <v/>
      </c>
    </row>
    <row r="149" customFormat="false" ht="15" hidden="false" customHeight="false" outlineLevel="0" collapsed="false">
      <c r="A149" s="50"/>
      <c r="B149" s="50"/>
      <c r="C149" s="59" t="str">
        <f aca="false">IF(B149="","",IFERROR(INDEX(INV_NAME,MATCH(B149,INV_ID,0)),"CHECK: Supplier ID not found"))</f>
        <v/>
      </c>
      <c r="D149" s="34"/>
      <c r="E149" s="34"/>
      <c r="F149" s="34"/>
      <c r="G149" s="34"/>
      <c r="H149" s="34"/>
      <c r="I149" s="34"/>
      <c r="J149" s="50"/>
      <c r="K149" s="34"/>
      <c r="L149" s="50"/>
      <c r="M149" s="34"/>
      <c r="N149" s="34"/>
      <c r="O149" s="62" t="n">
        <f aca="false">IF(OR(B149="",E149=""),0,IF(COUNTIFS($B$7:B149,B149,$E$7:E149,E149)=1,1,0))</f>
        <v>0</v>
      </c>
      <c r="P149" s="62" t="n">
        <f aca="false">IF(E149="",0,IF(COUNTIF($E$7:E149,E149)=1,1,0))</f>
        <v>0</v>
      </c>
      <c r="Q149" s="62" t="n">
        <f aca="false">IF(E149="",0,SUMIFS(DEP_FIRSTPAIR,DEP_P4,E149))</f>
        <v>0</v>
      </c>
      <c r="R149" s="54" t="str">
        <f aca="false">IF(A149="","",IF(E149="","No fourth party recorded",IF(Q149&gt;=SharedMin,"Shared dependency: "&amp;Q149&amp;" registered suppliers declare this provider (indicator only - not a risk conclusion)","Declared by one registered supplier")))</f>
        <v/>
      </c>
      <c r="S149" s="54" t="str">
        <f aca="false">IF(A149="","",IF(COUNTIF(DEP_ID,A149)&gt;1,"CHECK: duplicate ID",IF(B149="","CHECK: Supplier ID missing",IF(COUNTIF(INV_ID,B149)=0,"CHECK: Supplier ID not in inventory",IF(AND(L149&lt;&gt;"",COUNTIF(RSK_ID,L149)=0),"CHECK: Risk ID not found","OK")))))</f>
        <v/>
      </c>
    </row>
    <row r="150" customFormat="false" ht="15" hidden="false" customHeight="false" outlineLevel="0" collapsed="false">
      <c r="A150" s="50"/>
      <c r="B150" s="50"/>
      <c r="C150" s="59" t="str">
        <f aca="false">IF(B150="","",IFERROR(INDEX(INV_NAME,MATCH(B150,INV_ID,0)),"CHECK: Supplier ID not found"))</f>
        <v/>
      </c>
      <c r="D150" s="34"/>
      <c r="E150" s="34"/>
      <c r="F150" s="34"/>
      <c r="G150" s="34"/>
      <c r="H150" s="34"/>
      <c r="I150" s="34"/>
      <c r="J150" s="50"/>
      <c r="K150" s="34"/>
      <c r="L150" s="50"/>
      <c r="M150" s="34"/>
      <c r="N150" s="34"/>
      <c r="O150" s="62" t="n">
        <f aca="false">IF(OR(B150="",E150=""),0,IF(COUNTIFS($B$7:B150,B150,$E$7:E150,E150)=1,1,0))</f>
        <v>0</v>
      </c>
      <c r="P150" s="62" t="n">
        <f aca="false">IF(E150="",0,IF(COUNTIF($E$7:E150,E150)=1,1,0))</f>
        <v>0</v>
      </c>
      <c r="Q150" s="62" t="n">
        <f aca="false">IF(E150="",0,SUMIFS(DEP_FIRSTPAIR,DEP_P4,E150))</f>
        <v>0</v>
      </c>
      <c r="R150" s="54" t="str">
        <f aca="false">IF(A150="","",IF(E150="","No fourth party recorded",IF(Q150&gt;=SharedMin,"Shared dependency: "&amp;Q150&amp;" registered suppliers declare this provider (indicator only - not a risk conclusion)","Declared by one registered supplier")))</f>
        <v/>
      </c>
      <c r="S150" s="54" t="str">
        <f aca="false">IF(A150="","",IF(COUNTIF(DEP_ID,A150)&gt;1,"CHECK: duplicate ID",IF(B150="","CHECK: Supplier ID missing",IF(COUNTIF(INV_ID,B150)=0,"CHECK: Supplier ID not in inventory",IF(AND(L150&lt;&gt;"",COUNTIF(RSK_ID,L150)=0),"CHECK: Risk ID not found","OK")))))</f>
        <v/>
      </c>
    </row>
    <row r="151" customFormat="false" ht="15" hidden="false" customHeight="false" outlineLevel="0" collapsed="false">
      <c r="A151" s="50"/>
      <c r="B151" s="50"/>
      <c r="C151" s="59" t="str">
        <f aca="false">IF(B151="","",IFERROR(INDEX(INV_NAME,MATCH(B151,INV_ID,0)),"CHECK: Supplier ID not found"))</f>
        <v/>
      </c>
      <c r="D151" s="34"/>
      <c r="E151" s="34"/>
      <c r="F151" s="34"/>
      <c r="G151" s="34"/>
      <c r="H151" s="34"/>
      <c r="I151" s="34"/>
      <c r="J151" s="50"/>
      <c r="K151" s="34"/>
      <c r="L151" s="50"/>
      <c r="M151" s="34"/>
      <c r="N151" s="34"/>
      <c r="O151" s="62" t="n">
        <f aca="false">IF(OR(B151="",E151=""),0,IF(COUNTIFS($B$7:B151,B151,$E$7:E151,E151)=1,1,0))</f>
        <v>0</v>
      </c>
      <c r="P151" s="62" t="n">
        <f aca="false">IF(E151="",0,IF(COUNTIF($E$7:E151,E151)=1,1,0))</f>
        <v>0</v>
      </c>
      <c r="Q151" s="62" t="n">
        <f aca="false">IF(E151="",0,SUMIFS(DEP_FIRSTPAIR,DEP_P4,E151))</f>
        <v>0</v>
      </c>
      <c r="R151" s="54" t="str">
        <f aca="false">IF(A151="","",IF(E151="","No fourth party recorded",IF(Q151&gt;=SharedMin,"Shared dependency: "&amp;Q151&amp;" registered suppliers declare this provider (indicator only - not a risk conclusion)","Declared by one registered supplier")))</f>
        <v/>
      </c>
      <c r="S151" s="54" t="str">
        <f aca="false">IF(A151="","",IF(COUNTIF(DEP_ID,A151)&gt;1,"CHECK: duplicate ID",IF(B151="","CHECK: Supplier ID missing",IF(COUNTIF(INV_ID,B151)=0,"CHECK: Supplier ID not in inventory",IF(AND(L151&lt;&gt;"",COUNTIF(RSK_ID,L151)=0),"CHECK: Risk ID not found","OK")))))</f>
        <v/>
      </c>
    </row>
    <row r="152" customFormat="false" ht="15" hidden="false" customHeight="false" outlineLevel="0" collapsed="false">
      <c r="A152" s="50"/>
      <c r="B152" s="50"/>
      <c r="C152" s="59" t="str">
        <f aca="false">IF(B152="","",IFERROR(INDEX(INV_NAME,MATCH(B152,INV_ID,0)),"CHECK: Supplier ID not found"))</f>
        <v/>
      </c>
      <c r="D152" s="34"/>
      <c r="E152" s="34"/>
      <c r="F152" s="34"/>
      <c r="G152" s="34"/>
      <c r="H152" s="34"/>
      <c r="I152" s="34"/>
      <c r="J152" s="50"/>
      <c r="K152" s="34"/>
      <c r="L152" s="50"/>
      <c r="M152" s="34"/>
      <c r="N152" s="34"/>
      <c r="O152" s="62" t="n">
        <f aca="false">IF(OR(B152="",E152=""),0,IF(COUNTIFS($B$7:B152,B152,$E$7:E152,E152)=1,1,0))</f>
        <v>0</v>
      </c>
      <c r="P152" s="62" t="n">
        <f aca="false">IF(E152="",0,IF(COUNTIF($E$7:E152,E152)=1,1,0))</f>
        <v>0</v>
      </c>
      <c r="Q152" s="62" t="n">
        <f aca="false">IF(E152="",0,SUMIFS(DEP_FIRSTPAIR,DEP_P4,E152))</f>
        <v>0</v>
      </c>
      <c r="R152" s="54" t="str">
        <f aca="false">IF(A152="","",IF(E152="","No fourth party recorded",IF(Q152&gt;=SharedMin,"Shared dependency: "&amp;Q152&amp;" registered suppliers declare this provider (indicator only - not a risk conclusion)","Declared by one registered supplier")))</f>
        <v/>
      </c>
      <c r="S152" s="54" t="str">
        <f aca="false">IF(A152="","",IF(COUNTIF(DEP_ID,A152)&gt;1,"CHECK: duplicate ID",IF(B152="","CHECK: Supplier ID missing",IF(COUNTIF(INV_ID,B152)=0,"CHECK: Supplier ID not in inventory",IF(AND(L152&lt;&gt;"",COUNTIF(RSK_ID,L152)=0),"CHECK: Risk ID not found","OK")))))</f>
        <v/>
      </c>
    </row>
    <row r="153" customFormat="false" ht="15" hidden="false" customHeight="false" outlineLevel="0" collapsed="false">
      <c r="A153" s="50"/>
      <c r="B153" s="50"/>
      <c r="C153" s="59" t="str">
        <f aca="false">IF(B153="","",IFERROR(INDEX(INV_NAME,MATCH(B153,INV_ID,0)),"CHECK: Supplier ID not found"))</f>
        <v/>
      </c>
      <c r="D153" s="34"/>
      <c r="E153" s="34"/>
      <c r="F153" s="34"/>
      <c r="G153" s="34"/>
      <c r="H153" s="34"/>
      <c r="I153" s="34"/>
      <c r="J153" s="50"/>
      <c r="K153" s="34"/>
      <c r="L153" s="50"/>
      <c r="M153" s="34"/>
      <c r="N153" s="34"/>
      <c r="O153" s="62" t="n">
        <f aca="false">IF(OR(B153="",E153=""),0,IF(COUNTIFS($B$7:B153,B153,$E$7:E153,E153)=1,1,0))</f>
        <v>0</v>
      </c>
      <c r="P153" s="62" t="n">
        <f aca="false">IF(E153="",0,IF(COUNTIF($E$7:E153,E153)=1,1,0))</f>
        <v>0</v>
      </c>
      <c r="Q153" s="62" t="n">
        <f aca="false">IF(E153="",0,SUMIFS(DEP_FIRSTPAIR,DEP_P4,E153))</f>
        <v>0</v>
      </c>
      <c r="R153" s="54" t="str">
        <f aca="false">IF(A153="","",IF(E153="","No fourth party recorded",IF(Q153&gt;=SharedMin,"Shared dependency: "&amp;Q153&amp;" registered suppliers declare this provider (indicator only - not a risk conclusion)","Declared by one registered supplier")))</f>
        <v/>
      </c>
      <c r="S153" s="54" t="str">
        <f aca="false">IF(A153="","",IF(COUNTIF(DEP_ID,A153)&gt;1,"CHECK: duplicate ID",IF(B153="","CHECK: Supplier ID missing",IF(COUNTIF(INV_ID,B153)=0,"CHECK: Supplier ID not in inventory",IF(AND(L153&lt;&gt;"",COUNTIF(RSK_ID,L153)=0),"CHECK: Risk ID not found","OK")))))</f>
        <v/>
      </c>
    </row>
    <row r="154" customFormat="false" ht="15" hidden="false" customHeight="false" outlineLevel="0" collapsed="false">
      <c r="A154" s="50"/>
      <c r="B154" s="50"/>
      <c r="C154" s="59" t="str">
        <f aca="false">IF(B154="","",IFERROR(INDEX(INV_NAME,MATCH(B154,INV_ID,0)),"CHECK: Supplier ID not found"))</f>
        <v/>
      </c>
      <c r="D154" s="34"/>
      <c r="E154" s="34"/>
      <c r="F154" s="34"/>
      <c r="G154" s="34"/>
      <c r="H154" s="34"/>
      <c r="I154" s="34"/>
      <c r="J154" s="50"/>
      <c r="K154" s="34"/>
      <c r="L154" s="50"/>
      <c r="M154" s="34"/>
      <c r="N154" s="34"/>
      <c r="O154" s="62" t="n">
        <f aca="false">IF(OR(B154="",E154=""),0,IF(COUNTIFS($B$7:B154,B154,$E$7:E154,E154)=1,1,0))</f>
        <v>0</v>
      </c>
      <c r="P154" s="62" t="n">
        <f aca="false">IF(E154="",0,IF(COUNTIF($E$7:E154,E154)=1,1,0))</f>
        <v>0</v>
      </c>
      <c r="Q154" s="62" t="n">
        <f aca="false">IF(E154="",0,SUMIFS(DEP_FIRSTPAIR,DEP_P4,E154))</f>
        <v>0</v>
      </c>
      <c r="R154" s="54" t="str">
        <f aca="false">IF(A154="","",IF(E154="","No fourth party recorded",IF(Q154&gt;=SharedMin,"Shared dependency: "&amp;Q154&amp;" registered suppliers declare this provider (indicator only - not a risk conclusion)","Declared by one registered supplier")))</f>
        <v/>
      </c>
      <c r="S154" s="54" t="str">
        <f aca="false">IF(A154="","",IF(COUNTIF(DEP_ID,A154)&gt;1,"CHECK: duplicate ID",IF(B154="","CHECK: Supplier ID missing",IF(COUNTIF(INV_ID,B154)=0,"CHECK: Supplier ID not in inventory",IF(AND(L154&lt;&gt;"",COUNTIF(RSK_ID,L154)=0),"CHECK: Risk ID not found","OK")))))</f>
        <v/>
      </c>
    </row>
    <row r="155" customFormat="false" ht="15" hidden="false" customHeight="false" outlineLevel="0" collapsed="false">
      <c r="A155" s="50"/>
      <c r="B155" s="50"/>
      <c r="C155" s="59" t="str">
        <f aca="false">IF(B155="","",IFERROR(INDEX(INV_NAME,MATCH(B155,INV_ID,0)),"CHECK: Supplier ID not found"))</f>
        <v/>
      </c>
      <c r="D155" s="34"/>
      <c r="E155" s="34"/>
      <c r="F155" s="34"/>
      <c r="G155" s="34"/>
      <c r="H155" s="34"/>
      <c r="I155" s="34"/>
      <c r="J155" s="50"/>
      <c r="K155" s="34"/>
      <c r="L155" s="50"/>
      <c r="M155" s="34"/>
      <c r="N155" s="34"/>
      <c r="O155" s="62" t="n">
        <f aca="false">IF(OR(B155="",E155=""),0,IF(COUNTIFS($B$7:B155,B155,$E$7:E155,E155)=1,1,0))</f>
        <v>0</v>
      </c>
      <c r="P155" s="62" t="n">
        <f aca="false">IF(E155="",0,IF(COUNTIF($E$7:E155,E155)=1,1,0))</f>
        <v>0</v>
      </c>
      <c r="Q155" s="62" t="n">
        <f aca="false">IF(E155="",0,SUMIFS(DEP_FIRSTPAIR,DEP_P4,E155))</f>
        <v>0</v>
      </c>
      <c r="R155" s="54" t="str">
        <f aca="false">IF(A155="","",IF(E155="","No fourth party recorded",IF(Q155&gt;=SharedMin,"Shared dependency: "&amp;Q155&amp;" registered suppliers declare this provider (indicator only - not a risk conclusion)","Declared by one registered supplier")))</f>
        <v/>
      </c>
      <c r="S155" s="54" t="str">
        <f aca="false">IF(A155="","",IF(COUNTIF(DEP_ID,A155)&gt;1,"CHECK: duplicate ID",IF(B155="","CHECK: Supplier ID missing",IF(COUNTIF(INV_ID,B155)=0,"CHECK: Supplier ID not in inventory",IF(AND(L155&lt;&gt;"",COUNTIF(RSK_ID,L155)=0),"CHECK: Risk ID not found","OK")))))</f>
        <v/>
      </c>
    </row>
    <row r="156" customFormat="false" ht="15" hidden="false" customHeight="false" outlineLevel="0" collapsed="false">
      <c r="A156" s="50"/>
      <c r="B156" s="50"/>
      <c r="C156" s="59" t="str">
        <f aca="false">IF(B156="","",IFERROR(INDEX(INV_NAME,MATCH(B156,INV_ID,0)),"CHECK: Supplier ID not found"))</f>
        <v/>
      </c>
      <c r="D156" s="34"/>
      <c r="E156" s="34"/>
      <c r="F156" s="34"/>
      <c r="G156" s="34"/>
      <c r="H156" s="34"/>
      <c r="I156" s="34"/>
      <c r="J156" s="50"/>
      <c r="K156" s="34"/>
      <c r="L156" s="50"/>
      <c r="M156" s="34"/>
      <c r="N156" s="34"/>
      <c r="O156" s="62" t="n">
        <f aca="false">IF(OR(B156="",E156=""),0,IF(COUNTIFS($B$7:B156,B156,$E$7:E156,E156)=1,1,0))</f>
        <v>0</v>
      </c>
      <c r="P156" s="62" t="n">
        <f aca="false">IF(E156="",0,IF(COUNTIF($E$7:E156,E156)=1,1,0))</f>
        <v>0</v>
      </c>
      <c r="Q156" s="62" t="n">
        <f aca="false">IF(E156="",0,SUMIFS(DEP_FIRSTPAIR,DEP_P4,E156))</f>
        <v>0</v>
      </c>
      <c r="R156" s="54" t="str">
        <f aca="false">IF(A156="","",IF(E156="","No fourth party recorded",IF(Q156&gt;=SharedMin,"Shared dependency: "&amp;Q156&amp;" registered suppliers declare this provider (indicator only - not a risk conclusion)","Declared by one registered supplier")))</f>
        <v/>
      </c>
      <c r="S156" s="54" t="str">
        <f aca="false">IF(A156="","",IF(COUNTIF(DEP_ID,A156)&gt;1,"CHECK: duplicate ID",IF(B156="","CHECK: Supplier ID missing",IF(COUNTIF(INV_ID,B156)=0,"CHECK: Supplier ID not in inventory",IF(AND(L156&lt;&gt;"",COUNTIF(RSK_ID,L156)=0),"CHECK: Risk ID not found","OK")))))</f>
        <v/>
      </c>
    </row>
  </sheetData>
  <sheetProtection sheet="true" formatColumns="false" formatRows="false" sort="false" autoFilter="false"/>
  <conditionalFormatting sqref="O7:O156">
    <cfRule type="expression" priority="2" aboveAverage="0" equalAverage="0" bottom="0" percent="0" rank="0" text="" dxfId="0">
      <formula>OR(ISNUMBER(SEARCH("Above appetite",O7)),ISNUMBER(SEARCH("Overdue",O7)),ISNUMBER(SEARCH("Expired",O7)),ISNUMBER(SEARCH("Breach",O7)),ISNUMBER(SEARCH("CHECK",O7)),ISNUMBER(SEARCH("Not ready",O7)),ISNUMBER(SEARCH("REMAINS",O7)),ISNUMBER(SEARCH("Failed",O7)),ISNUMBER(SEARCH("Cannot assess",O7)))</formula>
    </cfRule>
    <cfRule type="expression" priority="3" aboveAverage="0" equalAverage="0" bottom="0" percent="0" rank="0" text="" dxfId="21">
      <formula>OR(ISNUMBER(SEARCH("Incomplete",O7)),ISNUMBER(SEARCH("Pending",O7)),ISNUMBER(SEARCH("Approaching",O7)),ISNUMBER(SEARCH("insufficient",O7)),ISNUMBER(SEARCH("Awaiting",O7)),ISNUMBER(SEARCH("Review due",O7)),ISNUMBER(SEARCH("Not configured",O7)),ISNUMBER(SEARCH("Not classified",O7)),ISNUMBER(SEARCH("Proposed",O7)),ISNUMBER(SEARCH("Verification",O7)),ISNUMBER(SEARCH("Scope limitation",O7)),ISNUMBER(SEARCH("Follow-up",O7)),ISNUMBER(SEARCH("Open gap",O7)),ISNUMBER(SEARCH("Delivered - verification",O7)),ISNUMBER(SEARCH("Historical",O7)),ISNUMBER(SEARCH("Not scheduled",O7)),ISNUMBER(SEARCH("Not determined",O7)),ISNUMBER(SEARCH("Decision record",O7)),ISNUMBER(SEARCH("Due soon",O7)),ISNUMBER(SEARCH("Not reviewed",O7)),ISNUMBER(SEARCH("Tier not",O7)),ISNUMBER(SEARCH("No decision",O7)),ISNUMBER(SEARCH("Superseded",O7)),ISNUMBER(SEARCH("Optional",O7)),ISNUMBER(SEARCH("legal review",O7)),ISNUMBER(SEARCH("No treatment",O7)),ISNUMBER(SEARCH("not recorded",O7)),ISNUMBER(SEARCH("consider",O7)),ISNUMBER(SEARCH("Not set",O7)),ISNUMBER(SEARCH("Not started",O7)),ISNUMBER(SEARCH("No expiry",O7)),ISNUMBER(SEARCH("No KRI",O7)),ISNUMBER(SEARCH("no reassessment",O7)),ISNUMBER(SEARCH("Applicability",O7)),ISNUMBER(SEARCH("Not current",O7)),ISNUMBER(SEARCH("assess relevance",O7)))</formula>
    </cfRule>
    <cfRule type="expression" priority="4" aboveAverage="0" equalAverage="0" bottom="0" percent="0" rank="0" text="" dxfId="22">
      <formula>OR(LEFT(O7,2)="OK",LEFT(O7,8)="Complete",LEFT(O7,7)="Current",LEFT(O7,10)="Authorised",LEFT(O7,6)="Within",LEFT(O7,11)="On schedule",LEFT(O7,17)="Ready for closure",LEFT(O7,17)="Evidence reviewed",LEFT(O7,19)="Decision referenced",LEFT(O7,27)="Reassessment event recorded",LEFT(O7,14)="Period current",LEFT(O7,17)="Gap dispositioned",LEFT(O7,17)="Reviewed - no gap",LEFT(O7,11)="Recommended",LEFT(O7,17)="Closed - verified")</formula>
    </cfRule>
  </conditionalFormatting>
  <conditionalFormatting sqref="P7:P156">
    <cfRule type="expression" priority="5" aboveAverage="0" equalAverage="0" bottom="0" percent="0" rank="0" text="" dxfId="0">
      <formula>OR(ISNUMBER(SEARCH("Above appetite",P7)),ISNUMBER(SEARCH("Overdue",P7)),ISNUMBER(SEARCH("Expired",P7)),ISNUMBER(SEARCH("Breach",P7)),ISNUMBER(SEARCH("CHECK",P7)),ISNUMBER(SEARCH("Not ready",P7)),ISNUMBER(SEARCH("REMAINS",P7)),ISNUMBER(SEARCH("Failed",P7)),ISNUMBER(SEARCH("Cannot assess",P7)))</formula>
    </cfRule>
    <cfRule type="expression" priority="6" aboveAverage="0" equalAverage="0" bottom="0" percent="0" rank="0" text="" dxfId="21">
      <formula>OR(ISNUMBER(SEARCH("Incomplete",P7)),ISNUMBER(SEARCH("Pending",P7)),ISNUMBER(SEARCH("Approaching",P7)),ISNUMBER(SEARCH("insufficient",P7)),ISNUMBER(SEARCH("Awaiting",P7)),ISNUMBER(SEARCH("Review due",P7)),ISNUMBER(SEARCH("Not configured",P7)),ISNUMBER(SEARCH("Not classified",P7)),ISNUMBER(SEARCH("Proposed",P7)),ISNUMBER(SEARCH("Verification",P7)),ISNUMBER(SEARCH("Scope limitation",P7)),ISNUMBER(SEARCH("Follow-up",P7)),ISNUMBER(SEARCH("Open gap",P7)),ISNUMBER(SEARCH("Delivered - verification",P7)),ISNUMBER(SEARCH("Historical",P7)),ISNUMBER(SEARCH("Not scheduled",P7)),ISNUMBER(SEARCH("Not determined",P7)),ISNUMBER(SEARCH("Decision record",P7)),ISNUMBER(SEARCH("Due soon",P7)),ISNUMBER(SEARCH("Not reviewed",P7)),ISNUMBER(SEARCH("Tier not",P7)),ISNUMBER(SEARCH("No decision",P7)),ISNUMBER(SEARCH("Superseded",P7)),ISNUMBER(SEARCH("Optional",P7)),ISNUMBER(SEARCH("legal review",P7)),ISNUMBER(SEARCH("No treatment",P7)),ISNUMBER(SEARCH("not recorded",P7)),ISNUMBER(SEARCH("consider",P7)),ISNUMBER(SEARCH("Not set",P7)),ISNUMBER(SEARCH("Not started",P7)),ISNUMBER(SEARCH("No expiry",P7)),ISNUMBER(SEARCH("No KRI",P7)),ISNUMBER(SEARCH("no reassessment",P7)),ISNUMBER(SEARCH("Applicability",P7)),ISNUMBER(SEARCH("Not current",P7)),ISNUMBER(SEARCH("assess relevance",P7)))</formula>
    </cfRule>
    <cfRule type="expression" priority="7" aboveAverage="0" equalAverage="0" bottom="0" percent="0" rank="0" text="" dxfId="22">
      <formula>OR(LEFT(P7,2)="OK",LEFT(P7,8)="Complete",LEFT(P7,7)="Current",LEFT(P7,10)="Authorised",LEFT(P7,6)="Within",LEFT(P7,11)="On schedule",LEFT(P7,17)="Ready for closure",LEFT(P7,17)="Evidence reviewed",LEFT(P7,19)="Decision referenced",LEFT(P7,27)="Reassessment event recorded",LEFT(P7,14)="Period current",LEFT(P7,17)="Gap dispositioned",LEFT(P7,17)="Reviewed - no gap",LEFT(P7,11)="Recommended",LEFT(P7,17)="Closed - verified")</formula>
    </cfRule>
  </conditionalFormatting>
  <conditionalFormatting sqref="Q7:Q156">
    <cfRule type="expression" priority="8" aboveAverage="0" equalAverage="0" bottom="0" percent="0" rank="0" text="" dxfId="0">
      <formula>OR(ISNUMBER(SEARCH("Above appetite",Q7)),ISNUMBER(SEARCH("Overdue",Q7)),ISNUMBER(SEARCH("Expired",Q7)),ISNUMBER(SEARCH("Breach",Q7)),ISNUMBER(SEARCH("CHECK",Q7)),ISNUMBER(SEARCH("Not ready",Q7)),ISNUMBER(SEARCH("REMAINS",Q7)),ISNUMBER(SEARCH("Failed",Q7)),ISNUMBER(SEARCH("Cannot assess",Q7)))</formula>
    </cfRule>
    <cfRule type="expression" priority="9" aboveAverage="0" equalAverage="0" bottom="0" percent="0" rank="0" text="" dxfId="21">
      <formula>OR(ISNUMBER(SEARCH("Incomplete",Q7)),ISNUMBER(SEARCH("Pending",Q7)),ISNUMBER(SEARCH("Approaching",Q7)),ISNUMBER(SEARCH("insufficient",Q7)),ISNUMBER(SEARCH("Awaiting",Q7)),ISNUMBER(SEARCH("Review due",Q7)),ISNUMBER(SEARCH("Not configured",Q7)),ISNUMBER(SEARCH("Not classified",Q7)),ISNUMBER(SEARCH("Proposed",Q7)),ISNUMBER(SEARCH("Verification",Q7)),ISNUMBER(SEARCH("Scope limitation",Q7)),ISNUMBER(SEARCH("Follow-up",Q7)),ISNUMBER(SEARCH("Open gap",Q7)),ISNUMBER(SEARCH("Delivered - verification",Q7)),ISNUMBER(SEARCH("Historical",Q7)),ISNUMBER(SEARCH("Not scheduled",Q7)),ISNUMBER(SEARCH("Not determined",Q7)),ISNUMBER(SEARCH("Decision record",Q7)),ISNUMBER(SEARCH("Due soon",Q7)),ISNUMBER(SEARCH("Not reviewed",Q7)),ISNUMBER(SEARCH("Tier not",Q7)),ISNUMBER(SEARCH("No decision",Q7)),ISNUMBER(SEARCH("Superseded",Q7)),ISNUMBER(SEARCH("Optional",Q7)),ISNUMBER(SEARCH("legal review",Q7)),ISNUMBER(SEARCH("No treatment",Q7)),ISNUMBER(SEARCH("not recorded",Q7)),ISNUMBER(SEARCH("consider",Q7)),ISNUMBER(SEARCH("Not set",Q7)),ISNUMBER(SEARCH("Not started",Q7)),ISNUMBER(SEARCH("No expiry",Q7)),ISNUMBER(SEARCH("No KRI",Q7)),ISNUMBER(SEARCH("no reassessment",Q7)),ISNUMBER(SEARCH("Applicability",Q7)),ISNUMBER(SEARCH("Not current",Q7)),ISNUMBER(SEARCH("assess relevance",Q7)))</formula>
    </cfRule>
    <cfRule type="expression" priority="10" aboveAverage="0" equalAverage="0" bottom="0" percent="0" rank="0" text="" dxfId="22">
      <formula>OR(LEFT(Q7,2)="OK",LEFT(Q7,8)="Complete",LEFT(Q7,7)="Current",LEFT(Q7,10)="Authorised",LEFT(Q7,6)="Within",LEFT(Q7,11)="On schedule",LEFT(Q7,17)="Ready for closure",LEFT(Q7,17)="Evidence reviewed",LEFT(Q7,19)="Decision referenced",LEFT(Q7,27)="Reassessment event recorded",LEFT(Q7,14)="Period current",LEFT(Q7,17)="Gap dispositioned",LEFT(Q7,17)="Reviewed - no gap",LEFT(Q7,11)="Recommended",LEFT(Q7,17)="Closed - verified")</formula>
    </cfRule>
  </conditionalFormatting>
  <conditionalFormatting sqref="R7:R156">
    <cfRule type="expression" priority="11" aboveAverage="0" equalAverage="0" bottom="0" percent="0" rank="0" text="" dxfId="0">
      <formula>OR(ISNUMBER(SEARCH("Above appetite",R7)),ISNUMBER(SEARCH("Overdue",R7)),ISNUMBER(SEARCH("Expired",R7)),ISNUMBER(SEARCH("Breach",R7)),ISNUMBER(SEARCH("CHECK",R7)),ISNUMBER(SEARCH("Not ready",R7)),ISNUMBER(SEARCH("REMAINS",R7)),ISNUMBER(SEARCH("Failed",R7)),ISNUMBER(SEARCH("Cannot assess",R7)))</formula>
    </cfRule>
    <cfRule type="expression" priority="12" aboveAverage="0" equalAverage="0" bottom="0" percent="0" rank="0" text="" dxfId="21">
      <formula>OR(ISNUMBER(SEARCH("Incomplete",R7)),ISNUMBER(SEARCH("Pending",R7)),ISNUMBER(SEARCH("Approaching",R7)),ISNUMBER(SEARCH("insufficient",R7)),ISNUMBER(SEARCH("Awaiting",R7)),ISNUMBER(SEARCH("Review due",R7)),ISNUMBER(SEARCH("Not configured",R7)),ISNUMBER(SEARCH("Not classified",R7)),ISNUMBER(SEARCH("Proposed",R7)),ISNUMBER(SEARCH("Verification",R7)),ISNUMBER(SEARCH("Scope limitation",R7)),ISNUMBER(SEARCH("Follow-up",R7)),ISNUMBER(SEARCH("Open gap",R7)),ISNUMBER(SEARCH("Delivered - verification",R7)),ISNUMBER(SEARCH("Historical",R7)),ISNUMBER(SEARCH("Not scheduled",R7)),ISNUMBER(SEARCH("Not determined",R7)),ISNUMBER(SEARCH("Decision record",R7)),ISNUMBER(SEARCH("Due soon",R7)),ISNUMBER(SEARCH("Not reviewed",R7)),ISNUMBER(SEARCH("Tier not",R7)),ISNUMBER(SEARCH("No decision",R7)),ISNUMBER(SEARCH("Superseded",R7)),ISNUMBER(SEARCH("Optional",R7)),ISNUMBER(SEARCH("legal review",R7)),ISNUMBER(SEARCH("No treatment",R7)),ISNUMBER(SEARCH("not recorded",R7)),ISNUMBER(SEARCH("consider",R7)),ISNUMBER(SEARCH("Not set",R7)),ISNUMBER(SEARCH("Not started",R7)),ISNUMBER(SEARCH("No expiry",R7)),ISNUMBER(SEARCH("No KRI",R7)),ISNUMBER(SEARCH("no reassessment",R7)),ISNUMBER(SEARCH("Applicability",R7)),ISNUMBER(SEARCH("Not current",R7)),ISNUMBER(SEARCH("assess relevance",R7)))</formula>
    </cfRule>
    <cfRule type="expression" priority="13" aboveAverage="0" equalAverage="0" bottom="0" percent="0" rank="0" text="" dxfId="22">
      <formula>OR(LEFT(R7,2)="OK",LEFT(R7,8)="Complete",LEFT(R7,7)="Current",LEFT(R7,10)="Authorised",LEFT(R7,6)="Within",LEFT(R7,11)="On schedule",LEFT(R7,17)="Ready for closure",LEFT(R7,17)="Evidence reviewed",LEFT(R7,19)="Decision referenced",LEFT(R7,27)="Reassessment event recorded",LEFT(R7,14)="Period current",LEFT(R7,17)="Gap dispositioned",LEFT(R7,17)="Reviewed - no gap",LEFT(R7,11)="Recommended",LEFT(R7,17)="Closed - verified")</formula>
    </cfRule>
  </conditionalFormatting>
  <conditionalFormatting sqref="S7:S156">
    <cfRule type="expression" priority="14" aboveAverage="0" equalAverage="0" bottom="0" percent="0" rank="0" text="" dxfId="0">
      <formula>OR(ISNUMBER(SEARCH("Above appetite",S7)),ISNUMBER(SEARCH("Overdue",S7)),ISNUMBER(SEARCH("Expired",S7)),ISNUMBER(SEARCH("Breach",S7)),ISNUMBER(SEARCH("CHECK",S7)),ISNUMBER(SEARCH("Not ready",S7)),ISNUMBER(SEARCH("REMAINS",S7)),ISNUMBER(SEARCH("Failed",S7)),ISNUMBER(SEARCH("Cannot assess",S7)))</formula>
    </cfRule>
    <cfRule type="expression" priority="15" aboveAverage="0" equalAverage="0" bottom="0" percent="0" rank="0" text="" dxfId="21">
      <formula>OR(ISNUMBER(SEARCH("Incomplete",S7)),ISNUMBER(SEARCH("Pending",S7)),ISNUMBER(SEARCH("Approaching",S7)),ISNUMBER(SEARCH("insufficient",S7)),ISNUMBER(SEARCH("Awaiting",S7)),ISNUMBER(SEARCH("Review due",S7)),ISNUMBER(SEARCH("Not configured",S7)),ISNUMBER(SEARCH("Not classified",S7)),ISNUMBER(SEARCH("Proposed",S7)),ISNUMBER(SEARCH("Verification",S7)),ISNUMBER(SEARCH("Scope limitation",S7)),ISNUMBER(SEARCH("Follow-up",S7)),ISNUMBER(SEARCH("Open gap",S7)),ISNUMBER(SEARCH("Delivered - verification",S7)),ISNUMBER(SEARCH("Historical",S7)),ISNUMBER(SEARCH("Not scheduled",S7)),ISNUMBER(SEARCH("Not determined",S7)),ISNUMBER(SEARCH("Decision record",S7)),ISNUMBER(SEARCH("Due soon",S7)),ISNUMBER(SEARCH("Not reviewed",S7)),ISNUMBER(SEARCH("Tier not",S7)),ISNUMBER(SEARCH("No decision",S7)),ISNUMBER(SEARCH("Superseded",S7)),ISNUMBER(SEARCH("Optional",S7)),ISNUMBER(SEARCH("legal review",S7)),ISNUMBER(SEARCH("No treatment",S7)),ISNUMBER(SEARCH("not recorded",S7)),ISNUMBER(SEARCH("consider",S7)),ISNUMBER(SEARCH("Not set",S7)),ISNUMBER(SEARCH("Not started",S7)),ISNUMBER(SEARCH("No expiry",S7)),ISNUMBER(SEARCH("No KRI",S7)),ISNUMBER(SEARCH("no reassessment",S7)),ISNUMBER(SEARCH("Applicability",S7)),ISNUMBER(SEARCH("Not current",S7)),ISNUMBER(SEARCH("assess relevance",S7)))</formula>
    </cfRule>
    <cfRule type="expression" priority="16" aboveAverage="0" equalAverage="0" bottom="0" percent="0" rank="0" text="" dxfId="22">
      <formula>OR(LEFT(S7,2)="OK",LEFT(S7,8)="Complete",LEFT(S7,7)="Current",LEFT(S7,10)="Authorised",LEFT(S7,6)="Within",LEFT(S7,11)="On schedule",LEFT(S7,17)="Ready for closure",LEFT(S7,17)="Evidence reviewed",LEFT(S7,19)="Decision referenced",LEFT(S7,27)="Reassessment event recorded",LEFT(S7,14)="Period current",LEFT(S7,17)="Gap dispositioned",LEFT(S7,17)="Reviewed - no gap",LEFT(S7,11)="Recommended",LEFT(S7,17)="Closed - verified")</formula>
    </cfRule>
  </conditionalFormatting>
  <conditionalFormatting sqref="A7:A156">
    <cfRule type="expression" priority="17" aboveAverage="0" equalAverage="0" bottom="0" percent="0" rank="0" text="" dxfId="0">
      <formula>AND(A7&lt;&gt;"",COUNTIF($A$7:$A$156,A7)&gt;1)</formula>
    </cfRule>
  </conditionalFormatting>
  <dataValidations count="5">
    <dataValidation allowBlank="true" error="Choose a value from the list (controlled vocabulary or an existing ID)." errorStyle="stop" errorTitle="Invalid entry" operator="between" showDropDown="false" showErrorMessage="true" showInputMessage="false" sqref="B7:B156" type="list">
      <formula1>INV_ID</formula1>
      <formula2>0</formula2>
    </dataValidation>
    <dataValidation allowBlank="true" error="Choose a value from the list (controlled vocabulary or an existing ID)." errorStyle="stop" errorTitle="Invalid entry" operator="between" showDropDown="false" showErrorMessage="true" showInputMessage="false" sqref="H7:H156" type="list">
      <formula1>L_DepType</formula1>
      <formula2>0</formula2>
    </dataValidation>
    <dataValidation allowBlank="true" error="Choose a value from the list (controlled vocabulary or an existing ID)." errorStyle="stop" errorTitle="Invalid entry" operator="between" showDropDown="false" showErrorMessage="true" showInputMessage="false" sqref="J7:J156" type="list">
      <formula1>L_Substit</formula1>
      <formula2>0</formula2>
    </dataValidation>
    <dataValidation allowBlank="true" error="Choose a value from the list (controlled vocabulary or an existing ID)." errorStyle="stop" errorTitle="Invalid entry" operator="between" showDropDown="false" showErrorMessage="true" showInputMessage="false" sqref="L7:L156" type="list">
      <formula1>RSK_ID</formula1>
      <formula2>0</formula2>
    </dataValidation>
    <dataValidation allowBlank="true" error="Choose a value from the list (controlled vocabulary or an existing ID)." errorStyle="stop" errorTitle="Invalid entry" operator="between" showDropDown="false" showErrorMessage="true" showInputMessage="false" sqref="M7:M156" type="list">
      <formula1>L_DepStatus</formula1>
      <formula2>0</formula2>
    </dataValidation>
  </dataValidations>
  <hyperlinks>
    <hyperlink ref="H1" r:id="rId1" location="'01%20Start%20Here'!A1" display="&lt;&lt; Back to Start Here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tableParts>
    <tablePart r:id="rId2"/>
  </tableParts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V15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6" topLeftCell="C7" activePane="bottomRight" state="frozen"/>
      <selection pane="topLeft" activeCell="A1" activeCellId="0" sqref="A1"/>
      <selection pane="topRight" activeCell="C1" activeCellId="0" sqref="C1"/>
      <selection pane="bottomLeft" activeCell="A7" activeCellId="0" sqref="A7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10"/>
    <col collapsed="false" customWidth="true" hidden="false" outlineLevel="0" max="2" min="2" style="1" width="12"/>
    <col collapsed="false" customWidth="true" hidden="false" outlineLevel="0" max="3" min="3" style="1" width="22"/>
    <col collapsed="false" customWidth="true" hidden="false" outlineLevel="0" max="4" min="4" style="1" width="26"/>
    <col collapsed="false" customWidth="true" hidden="false" outlineLevel="0" max="5" min="5" style="1" width="20"/>
    <col collapsed="false" customWidth="true" hidden="false" outlineLevel="0" max="6" min="6" style="1" width="13"/>
    <col collapsed="false" customWidth="true" hidden="false" outlineLevel="0" max="7" min="7" style="1" width="22"/>
    <col collapsed="false" customWidth="true" hidden="false" outlineLevel="0" max="8" min="8" style="1" width="12"/>
    <col collapsed="false" customWidth="true" hidden="false" outlineLevel="0" max="9" min="9" style="1" width="30"/>
    <col collapsed="false" customWidth="true" hidden="false" outlineLevel="0" max="10" min="10" style="1" width="10"/>
    <col collapsed="false" customWidth="true" hidden="false" outlineLevel="0" max="11" min="11" style="1" width="34"/>
    <col collapsed="false" customWidth="true" hidden="false" outlineLevel="0" max="12" min="12" style="1" width="16"/>
    <col collapsed="false" customWidth="true" hidden="false" outlineLevel="0" max="13" min="13" style="1" width="13"/>
    <col collapsed="false" customWidth="true" hidden="false" outlineLevel="0" max="14" min="14" style="1" width="18"/>
    <col collapsed="false" customWidth="true" hidden="false" outlineLevel="0" max="15" min="15" style="1" width="30"/>
    <col collapsed="false" customWidth="true" hidden="false" outlineLevel="0" max="16" min="16" style="1" width="11"/>
    <col collapsed="false" customWidth="true" hidden="false" outlineLevel="0" max="17" min="17" style="1" width="18"/>
    <col collapsed="false" customWidth="true" hidden="false" outlineLevel="0" max="18" min="18" style="1" width="26"/>
    <col collapsed="false" customWidth="true" hidden="false" outlineLevel="0" max="19" min="19" style="1" width="11"/>
    <col collapsed="false" customWidth="true" hidden="false" outlineLevel="0" max="20" min="20" style="1" width="12"/>
    <col collapsed="false" customWidth="true" hidden="false" outlineLevel="0" max="21" min="21" style="1" width="40"/>
    <col collapsed="false" customWidth="true" hidden="false" outlineLevel="0" max="22" min="22" style="1" width="36"/>
  </cols>
  <sheetData>
    <row r="1" customFormat="false" ht="17.35" hidden="false" customHeight="false" outlineLevel="0" collapsed="false">
      <c r="A1" s="22" t="s">
        <v>32</v>
      </c>
      <c r="H1" s="10" t="s">
        <v>100</v>
      </c>
    </row>
    <row r="2" customFormat="false" ht="15" hidden="false" customHeight="false" outlineLevel="0" collapsed="false">
      <c r="A2" s="3" t="s">
        <v>1793</v>
      </c>
    </row>
    <row r="3" customFormat="false" ht="15" hidden="false" customHeight="false" outlineLevel="0" collapsed="false">
      <c r="A3" s="4" t="s">
        <v>1794</v>
      </c>
    </row>
    <row r="4" customFormat="false" ht="24" hidden="false" customHeight="true" outlineLevel="0" collapsed="false">
      <c r="A4" s="45" t="s">
        <v>69</v>
      </c>
      <c r="B4" s="45" t="s">
        <v>69</v>
      </c>
      <c r="C4" s="55" t="s">
        <v>73</v>
      </c>
      <c r="D4" s="45" t="s">
        <v>69</v>
      </c>
      <c r="E4" s="45" t="s">
        <v>69</v>
      </c>
      <c r="F4" s="45" t="s">
        <v>69</v>
      </c>
      <c r="G4" s="45" t="s">
        <v>69</v>
      </c>
      <c r="H4" s="45" t="s">
        <v>69</v>
      </c>
      <c r="I4" s="45" t="s">
        <v>69</v>
      </c>
      <c r="J4" s="45" t="s">
        <v>69</v>
      </c>
      <c r="K4" s="45" t="s">
        <v>69</v>
      </c>
      <c r="L4" s="45" t="s">
        <v>69</v>
      </c>
      <c r="M4" s="45" t="s">
        <v>69</v>
      </c>
      <c r="N4" s="45" t="s">
        <v>69</v>
      </c>
      <c r="O4" s="45" t="s">
        <v>69</v>
      </c>
      <c r="P4" s="45" t="s">
        <v>69</v>
      </c>
      <c r="Q4" s="45" t="s">
        <v>69</v>
      </c>
      <c r="R4" s="56" t="s">
        <v>75</v>
      </c>
      <c r="S4" s="46" t="s">
        <v>442</v>
      </c>
      <c r="T4" s="46" t="s">
        <v>442</v>
      </c>
      <c r="U4" s="46" t="s">
        <v>442</v>
      </c>
      <c r="V4" s="46" t="s">
        <v>442</v>
      </c>
    </row>
    <row r="5" customFormat="false" ht="30" hidden="false" customHeight="true" outlineLevel="0" collapsed="false">
      <c r="A5" s="47" t="s">
        <v>1795</v>
      </c>
      <c r="B5" s="47" t="s">
        <v>1796</v>
      </c>
      <c r="C5" s="47"/>
      <c r="D5" s="47"/>
      <c r="E5" s="47" t="s">
        <v>1797</v>
      </c>
      <c r="F5" s="47" t="s">
        <v>1798</v>
      </c>
      <c r="G5" s="47"/>
      <c r="H5" s="47" t="s">
        <v>443</v>
      </c>
      <c r="I5" s="47" t="s">
        <v>1799</v>
      </c>
      <c r="J5" s="47" t="s">
        <v>1142</v>
      </c>
      <c r="K5" s="47"/>
      <c r="L5" s="47"/>
      <c r="M5" s="47" t="s">
        <v>1800</v>
      </c>
      <c r="N5" s="47" t="s">
        <v>1456</v>
      </c>
      <c r="O5" s="47"/>
      <c r="P5" s="47" t="s">
        <v>1801</v>
      </c>
      <c r="Q5" s="47" t="s">
        <v>1398</v>
      </c>
      <c r="R5" s="47"/>
      <c r="S5" s="47"/>
      <c r="T5" s="47"/>
      <c r="U5" s="47"/>
      <c r="V5" s="47"/>
    </row>
    <row r="6" customFormat="false" ht="48" hidden="false" customHeight="true" outlineLevel="0" collapsed="false">
      <c r="A6" s="48" t="s">
        <v>1802</v>
      </c>
      <c r="B6" s="48" t="s">
        <v>456</v>
      </c>
      <c r="C6" s="57" t="s">
        <v>538</v>
      </c>
      <c r="D6" s="48" t="s">
        <v>1803</v>
      </c>
      <c r="E6" s="48" t="s">
        <v>1804</v>
      </c>
      <c r="F6" s="48" t="s">
        <v>1805</v>
      </c>
      <c r="G6" s="48" t="s">
        <v>459</v>
      </c>
      <c r="H6" s="48" t="s">
        <v>1806</v>
      </c>
      <c r="I6" s="48" t="s">
        <v>1807</v>
      </c>
      <c r="J6" s="48" t="s">
        <v>1808</v>
      </c>
      <c r="K6" s="48" t="s">
        <v>1809</v>
      </c>
      <c r="L6" s="48" t="s">
        <v>1810</v>
      </c>
      <c r="M6" s="48" t="s">
        <v>1159</v>
      </c>
      <c r="N6" s="48" t="s">
        <v>1659</v>
      </c>
      <c r="O6" s="48" t="s">
        <v>1811</v>
      </c>
      <c r="P6" s="48" t="s">
        <v>1812</v>
      </c>
      <c r="Q6" s="48" t="s">
        <v>1813</v>
      </c>
      <c r="R6" s="58" t="s">
        <v>1814</v>
      </c>
      <c r="S6" s="49" t="s">
        <v>1815</v>
      </c>
      <c r="T6" s="49" t="s">
        <v>1416</v>
      </c>
      <c r="U6" s="49" t="s">
        <v>1816</v>
      </c>
      <c r="V6" s="49" t="s">
        <v>560</v>
      </c>
    </row>
    <row r="7" customFormat="false" ht="23.85" hidden="false" customHeight="false" outlineLevel="0" collapsed="false">
      <c r="A7" s="50" t="s">
        <v>1817</v>
      </c>
      <c r="B7" s="50" t="s">
        <v>515</v>
      </c>
      <c r="C7" s="59" t="str">
        <f aca="false">IF(B7="","",IFERROR(INDEX(INV_NAME,MATCH(B7,INV_ID,0)),"CHECK: Supplier ID not found"))</f>
        <v>Datavault Backup Services Ltd</v>
      </c>
      <c r="D7" s="34" t="s">
        <v>1818</v>
      </c>
      <c r="E7" s="34" t="s">
        <v>380</v>
      </c>
      <c r="F7" s="51" t="n">
        <v>46387</v>
      </c>
      <c r="G7" s="34" t="s">
        <v>518</v>
      </c>
      <c r="H7" s="50" t="s">
        <v>479</v>
      </c>
      <c r="I7" s="34" t="s">
        <v>276</v>
      </c>
      <c r="J7" s="50" t="s">
        <v>240</v>
      </c>
      <c r="K7" s="34" t="s">
        <v>1819</v>
      </c>
      <c r="L7" s="50" t="s">
        <v>1820</v>
      </c>
      <c r="M7" s="51" t="n">
        <v>46233</v>
      </c>
      <c r="N7" s="34" t="s">
        <v>351</v>
      </c>
      <c r="O7" s="34" t="s">
        <v>1821</v>
      </c>
      <c r="P7" s="50"/>
      <c r="Q7" s="34" t="s">
        <v>259</v>
      </c>
      <c r="R7" s="60"/>
      <c r="S7" s="52" t="str">
        <f aca="false">IF(A7="","",IF(AND(OR(N7="Complete",N7="Not applicable - justified"),O7&lt;&gt;""),"Yes","No"))</f>
        <v>Yes</v>
      </c>
      <c r="T7" s="52" t="str">
        <f aca="false">IF(A7="","",IF(AND(S7="No",ISNUMBER(M7),M7&lt;AsOf),"Overdue",""))</f>
        <v/>
      </c>
      <c r="U7" s="54" t="str">
        <f aca="false">IF(A7="","",IF(COUNTIFS(EXT_SUP,B7,EXT_MAND,"&lt;&gt;No",EXT_DONE,"No")&gt;0,"Not ready - "&amp;COUNTIFS(EXT_SUP,B7,EXT_MAND,"&lt;&gt;No",EXT_DONE,"No")&amp;" mandatory action(s) open",IF(SUMPRODUCT(--(COUNTIFS(EXT_SUP,B7,EXT_ITEM,L_ExitItems)=0))&gt;0,"Not ready - "&amp;SUMPRODUCT(--(COUNTIFS(EXT_SUP,B7,EXT_ITEM,L_ExitItems)=0))&amp;" checklist item(s) not yet recorded","Ready for closure review (not a formal approval)")))</f>
        <v>Not ready - 9 mandatory action(s) open</v>
      </c>
      <c r="V7" s="54" t="str">
        <f aca="false">IF(A7="","",IF(COUNTIF(EXT_ID,A7)&gt;1,"CHECK: duplicate ID",IF(B7="","CHECK: Supplier ID missing",IF(COUNTIF(INV_ID,B7)=0,"CHECK: Supplier ID not in inventory",IF(AND(H7&lt;&gt;"",COUNTIF(INV_ID,H7)=0),"CHECK: Replacement supplier ID not in inventory",IF(AND(Q7="Closed - approved",OR(LEFT(U7,9)="Not ready",R7="")),"CHECK: closed without readiness or approval reference",IF(AND(Q7="Ready for closure review",LEFT(U7,9)="Not ready"),"CHECK: marked ready but mandatory items open","OK")))))))</f>
        <v>OK</v>
      </c>
    </row>
    <row r="8" customFormat="false" ht="23.85" hidden="false" customHeight="false" outlineLevel="0" collapsed="false">
      <c r="A8" s="50" t="s">
        <v>1822</v>
      </c>
      <c r="B8" s="50" t="s">
        <v>515</v>
      </c>
      <c r="C8" s="59" t="str">
        <f aca="false">IF(B8="","",IFERROR(INDEX(INV_NAME,MATCH(B8,INV_ID,0)),"CHECK: Supplier ID not found"))</f>
        <v>Datavault Backup Services Ltd</v>
      </c>
      <c r="D8" s="34" t="s">
        <v>1818</v>
      </c>
      <c r="E8" s="34" t="s">
        <v>380</v>
      </c>
      <c r="F8" s="51" t="n">
        <v>46387</v>
      </c>
      <c r="G8" s="34" t="s">
        <v>518</v>
      </c>
      <c r="H8" s="50" t="s">
        <v>479</v>
      </c>
      <c r="I8" s="34" t="s">
        <v>315</v>
      </c>
      <c r="J8" s="50" t="s">
        <v>240</v>
      </c>
      <c r="K8" s="34" t="s">
        <v>1823</v>
      </c>
      <c r="L8" s="50" t="s">
        <v>1820</v>
      </c>
      <c r="M8" s="51" t="n">
        <v>46254</v>
      </c>
      <c r="N8" s="34" t="s">
        <v>351</v>
      </c>
      <c r="O8" s="34" t="s">
        <v>1824</v>
      </c>
      <c r="P8" s="50"/>
      <c r="Q8" s="34" t="s">
        <v>259</v>
      </c>
      <c r="R8" s="60"/>
      <c r="S8" s="52" t="str">
        <f aca="false">IF(A8="","",IF(AND(OR(N8="Complete",N8="Not applicable - justified"),O8&lt;&gt;""),"Yes","No"))</f>
        <v>Yes</v>
      </c>
      <c r="T8" s="52" t="str">
        <f aca="false">IF(A8="","",IF(AND(S8="No",ISNUMBER(M8),M8&lt;AsOf),"Overdue",""))</f>
        <v/>
      </c>
      <c r="U8" s="54" t="str">
        <f aca="false">IF(A8="","",IF(COUNTIFS(EXT_SUP,B8,EXT_MAND,"&lt;&gt;No",EXT_DONE,"No")&gt;0,"Not ready - "&amp;COUNTIFS(EXT_SUP,B8,EXT_MAND,"&lt;&gt;No",EXT_DONE,"No")&amp;" mandatory action(s) open",IF(SUMPRODUCT(--(COUNTIFS(EXT_SUP,B8,EXT_ITEM,L_ExitItems)=0))&gt;0,"Not ready - "&amp;SUMPRODUCT(--(COUNTIFS(EXT_SUP,B8,EXT_ITEM,L_ExitItems)=0))&amp;" checklist item(s) not yet recorded","Ready for closure review (not a formal approval)")))</f>
        <v>Not ready - 9 mandatory action(s) open</v>
      </c>
      <c r="V8" s="54" t="str">
        <f aca="false">IF(A8="","",IF(COUNTIF(EXT_ID,A8)&gt;1,"CHECK: duplicate ID",IF(B8="","CHECK: Supplier ID missing",IF(COUNTIF(INV_ID,B8)=0,"CHECK: Supplier ID not in inventory",IF(AND(H8&lt;&gt;"",COUNTIF(INV_ID,H8)=0),"CHECK: Replacement supplier ID not in inventory",IF(AND(Q8="Closed - approved",OR(LEFT(U8,9)="Not ready",R8="")),"CHECK: closed without readiness or approval reference",IF(AND(Q8="Ready for closure review",LEFT(U8,9)="Not ready"),"CHECK: marked ready but mandatory items open","OK")))))))</f>
        <v>OK</v>
      </c>
    </row>
    <row r="9" customFormat="false" ht="23.85" hidden="false" customHeight="false" outlineLevel="0" collapsed="false">
      <c r="A9" s="50" t="s">
        <v>1825</v>
      </c>
      <c r="B9" s="50" t="s">
        <v>515</v>
      </c>
      <c r="C9" s="59" t="str">
        <f aca="false">IF(B9="","",IFERROR(INDEX(INV_NAME,MATCH(B9,INV_ID,0)),"CHECK: Supplier ID not found"))</f>
        <v>Datavault Backup Services Ltd</v>
      </c>
      <c r="D9" s="34" t="s">
        <v>1818</v>
      </c>
      <c r="E9" s="34" t="s">
        <v>380</v>
      </c>
      <c r="F9" s="51" t="n">
        <v>46387</v>
      </c>
      <c r="G9" s="34" t="s">
        <v>518</v>
      </c>
      <c r="H9" s="50" t="s">
        <v>479</v>
      </c>
      <c r="I9" s="34" t="s">
        <v>353</v>
      </c>
      <c r="J9" s="50" t="s">
        <v>240</v>
      </c>
      <c r="K9" s="34" t="s">
        <v>1826</v>
      </c>
      <c r="L9" s="50" t="s">
        <v>1820</v>
      </c>
      <c r="M9" s="51" t="n">
        <v>46341</v>
      </c>
      <c r="N9" s="34" t="s">
        <v>297</v>
      </c>
      <c r="O9" s="34"/>
      <c r="P9" s="50"/>
      <c r="Q9" s="34" t="s">
        <v>259</v>
      </c>
      <c r="R9" s="60"/>
      <c r="S9" s="52" t="str">
        <f aca="false">IF(A9="","",IF(AND(OR(N9="Complete",N9="Not applicable - justified"),O9&lt;&gt;""),"Yes","No"))</f>
        <v>No</v>
      </c>
      <c r="T9" s="52" t="str">
        <f aca="false">IF(A9="","",IF(AND(S9="No",ISNUMBER(M9),M9&lt;AsOf),"Overdue",""))</f>
        <v/>
      </c>
      <c r="U9" s="54" t="str">
        <f aca="false">IF(A9="","",IF(COUNTIFS(EXT_SUP,B9,EXT_MAND,"&lt;&gt;No",EXT_DONE,"No")&gt;0,"Not ready - "&amp;COUNTIFS(EXT_SUP,B9,EXT_MAND,"&lt;&gt;No",EXT_DONE,"No")&amp;" mandatory action(s) open",IF(SUMPRODUCT(--(COUNTIFS(EXT_SUP,B9,EXT_ITEM,L_ExitItems)=0))&gt;0,"Not ready - "&amp;SUMPRODUCT(--(COUNTIFS(EXT_SUP,B9,EXT_ITEM,L_ExitItems)=0))&amp;" checklist item(s) not yet recorded","Ready for closure review (not a formal approval)")))</f>
        <v>Not ready - 9 mandatory action(s) open</v>
      </c>
      <c r="V9" s="54" t="str">
        <f aca="false">IF(A9="","",IF(COUNTIF(EXT_ID,A9)&gt;1,"CHECK: duplicate ID",IF(B9="","CHECK: Supplier ID missing",IF(COUNTIF(INV_ID,B9)=0,"CHECK: Supplier ID not in inventory",IF(AND(H9&lt;&gt;"",COUNTIF(INV_ID,H9)=0),"CHECK: Replacement supplier ID not in inventory",IF(AND(Q9="Closed - approved",OR(LEFT(U9,9)="Not ready",R9="")),"CHECK: closed without readiness or approval reference",IF(AND(Q9="Ready for closure review",LEFT(U9,9)="Not ready"),"CHECK: marked ready but mandatory items open","OK")))))))</f>
        <v>OK</v>
      </c>
    </row>
    <row r="10" customFormat="false" ht="23.85" hidden="false" customHeight="false" outlineLevel="0" collapsed="false">
      <c r="A10" s="50" t="s">
        <v>1827</v>
      </c>
      <c r="B10" s="50" t="s">
        <v>515</v>
      </c>
      <c r="C10" s="59" t="str">
        <f aca="false">IF(B10="","",IFERROR(INDEX(INV_NAME,MATCH(B10,INV_ID,0)),"CHECK: Supplier ID not found"))</f>
        <v>Datavault Backup Services Ltd</v>
      </c>
      <c r="D10" s="34" t="s">
        <v>1818</v>
      </c>
      <c r="E10" s="34" t="s">
        <v>380</v>
      </c>
      <c r="F10" s="51" t="n">
        <v>46387</v>
      </c>
      <c r="G10" s="34" t="s">
        <v>518</v>
      </c>
      <c r="H10" s="50" t="s">
        <v>479</v>
      </c>
      <c r="I10" s="34" t="s">
        <v>381</v>
      </c>
      <c r="J10" s="50" t="s">
        <v>240</v>
      </c>
      <c r="K10" s="34" t="s">
        <v>1828</v>
      </c>
      <c r="L10" s="50" t="s">
        <v>1820</v>
      </c>
      <c r="M10" s="51" t="n">
        <v>46356</v>
      </c>
      <c r="N10" s="34" t="s">
        <v>297</v>
      </c>
      <c r="O10" s="34"/>
      <c r="P10" s="50"/>
      <c r="Q10" s="34" t="s">
        <v>259</v>
      </c>
      <c r="R10" s="60"/>
      <c r="S10" s="52" t="str">
        <f aca="false">IF(A10="","",IF(AND(OR(N10="Complete",N10="Not applicable - justified"),O10&lt;&gt;""),"Yes","No"))</f>
        <v>No</v>
      </c>
      <c r="T10" s="52" t="str">
        <f aca="false">IF(A10="","",IF(AND(S10="No",ISNUMBER(M10),M10&lt;AsOf),"Overdue",""))</f>
        <v/>
      </c>
      <c r="U10" s="54" t="str">
        <f aca="false">IF(A10="","",IF(COUNTIFS(EXT_SUP,B10,EXT_MAND,"&lt;&gt;No",EXT_DONE,"No")&gt;0,"Not ready - "&amp;COUNTIFS(EXT_SUP,B10,EXT_MAND,"&lt;&gt;No",EXT_DONE,"No")&amp;" mandatory action(s) open",IF(SUMPRODUCT(--(COUNTIFS(EXT_SUP,B10,EXT_ITEM,L_ExitItems)=0))&gt;0,"Not ready - "&amp;SUMPRODUCT(--(COUNTIFS(EXT_SUP,B10,EXT_ITEM,L_ExitItems)=0))&amp;" checklist item(s) not yet recorded","Ready for closure review (not a formal approval)")))</f>
        <v>Not ready - 9 mandatory action(s) open</v>
      </c>
      <c r="V10" s="54" t="str">
        <f aca="false">IF(A10="","",IF(COUNTIF(EXT_ID,A10)&gt;1,"CHECK: duplicate ID",IF(B10="","CHECK: Supplier ID missing",IF(COUNTIF(INV_ID,B10)=0,"CHECK: Supplier ID not in inventory",IF(AND(H10&lt;&gt;"",COUNTIF(INV_ID,H10)=0),"CHECK: Replacement supplier ID not in inventory",IF(AND(Q10="Closed - approved",OR(LEFT(U10,9)="Not ready",R10="")),"CHECK: closed without readiness or approval reference",IF(AND(Q10="Ready for closure review",LEFT(U10,9)="Not ready"),"CHECK: marked ready but mandatory items open","OK")))))))</f>
        <v>OK</v>
      </c>
    </row>
    <row r="11" customFormat="false" ht="23.85" hidden="false" customHeight="false" outlineLevel="0" collapsed="false">
      <c r="A11" s="50" t="s">
        <v>1829</v>
      </c>
      <c r="B11" s="50" t="s">
        <v>515</v>
      </c>
      <c r="C11" s="59" t="str">
        <f aca="false">IF(B11="","",IFERROR(INDEX(INV_NAME,MATCH(B11,INV_ID,0)),"CHECK: Supplier ID not found"))</f>
        <v>Datavault Backup Services Ltd</v>
      </c>
      <c r="D11" s="34" t="s">
        <v>1818</v>
      </c>
      <c r="E11" s="34" t="s">
        <v>380</v>
      </c>
      <c r="F11" s="51" t="n">
        <v>46387</v>
      </c>
      <c r="G11" s="34" t="s">
        <v>518</v>
      </c>
      <c r="H11" s="50" t="s">
        <v>479</v>
      </c>
      <c r="I11" s="34" t="s">
        <v>400</v>
      </c>
      <c r="J11" s="50" t="s">
        <v>240</v>
      </c>
      <c r="K11" s="34" t="s">
        <v>1830</v>
      </c>
      <c r="L11" s="50" t="s">
        <v>1820</v>
      </c>
      <c r="M11" s="51" t="n">
        <v>46366</v>
      </c>
      <c r="N11" s="34" t="s">
        <v>249</v>
      </c>
      <c r="O11" s="34"/>
      <c r="P11" s="50"/>
      <c r="Q11" s="34" t="s">
        <v>259</v>
      </c>
      <c r="R11" s="60"/>
      <c r="S11" s="52" t="str">
        <f aca="false">IF(A11="","",IF(AND(OR(N11="Complete",N11="Not applicable - justified"),O11&lt;&gt;""),"Yes","No"))</f>
        <v>No</v>
      </c>
      <c r="T11" s="52" t="str">
        <f aca="false">IF(A11="","",IF(AND(S11="No",ISNUMBER(M11),M11&lt;AsOf),"Overdue",""))</f>
        <v/>
      </c>
      <c r="U11" s="54" t="str">
        <f aca="false">IF(A11="","",IF(COUNTIFS(EXT_SUP,B11,EXT_MAND,"&lt;&gt;No",EXT_DONE,"No")&gt;0,"Not ready - "&amp;COUNTIFS(EXT_SUP,B11,EXT_MAND,"&lt;&gt;No",EXT_DONE,"No")&amp;" mandatory action(s) open",IF(SUMPRODUCT(--(COUNTIFS(EXT_SUP,B11,EXT_ITEM,L_ExitItems)=0))&gt;0,"Not ready - "&amp;SUMPRODUCT(--(COUNTIFS(EXT_SUP,B11,EXT_ITEM,L_ExitItems)=0))&amp;" checklist item(s) not yet recorded","Ready for closure review (not a formal approval)")))</f>
        <v>Not ready - 9 mandatory action(s) open</v>
      </c>
      <c r="V11" s="54" t="str">
        <f aca="false">IF(A11="","",IF(COUNTIF(EXT_ID,A11)&gt;1,"CHECK: duplicate ID",IF(B11="","CHECK: Supplier ID missing",IF(COUNTIF(INV_ID,B11)=0,"CHECK: Supplier ID not in inventory",IF(AND(H11&lt;&gt;"",COUNTIF(INV_ID,H11)=0),"CHECK: Replacement supplier ID not in inventory",IF(AND(Q11="Closed - approved",OR(LEFT(U11,9)="Not ready",R11="")),"CHECK: closed without readiness or approval reference",IF(AND(Q11="Ready for closure review",LEFT(U11,9)="Not ready"),"CHECK: marked ready but mandatory items open","OK")))))))</f>
        <v>OK</v>
      </c>
    </row>
    <row r="12" customFormat="false" ht="23.85" hidden="false" customHeight="false" outlineLevel="0" collapsed="false">
      <c r="A12" s="50" t="s">
        <v>1831</v>
      </c>
      <c r="B12" s="50" t="s">
        <v>515</v>
      </c>
      <c r="C12" s="59" t="str">
        <f aca="false">IF(B12="","",IFERROR(INDEX(INV_NAME,MATCH(B12,INV_ID,0)),"CHECK: Supplier ID not found"))</f>
        <v>Datavault Backup Services Ltd</v>
      </c>
      <c r="D12" s="34" t="s">
        <v>1818</v>
      </c>
      <c r="E12" s="34" t="s">
        <v>380</v>
      </c>
      <c r="F12" s="51" t="n">
        <v>46387</v>
      </c>
      <c r="G12" s="34" t="s">
        <v>518</v>
      </c>
      <c r="H12" s="50" t="s">
        <v>479</v>
      </c>
      <c r="I12" s="34" t="s">
        <v>413</v>
      </c>
      <c r="J12" s="50" t="s">
        <v>240</v>
      </c>
      <c r="K12" s="34" t="s">
        <v>1832</v>
      </c>
      <c r="L12" s="50" t="s">
        <v>1820</v>
      </c>
      <c r="M12" s="51" t="n">
        <v>46387</v>
      </c>
      <c r="N12" s="34" t="s">
        <v>249</v>
      </c>
      <c r="O12" s="34"/>
      <c r="P12" s="50"/>
      <c r="Q12" s="34" t="s">
        <v>259</v>
      </c>
      <c r="R12" s="60"/>
      <c r="S12" s="52" t="str">
        <f aca="false">IF(A12="","",IF(AND(OR(N12="Complete",N12="Not applicable - justified"),O12&lt;&gt;""),"Yes","No"))</f>
        <v>No</v>
      </c>
      <c r="T12" s="52" t="str">
        <f aca="false">IF(A12="","",IF(AND(S12="No",ISNUMBER(M12),M12&lt;AsOf),"Overdue",""))</f>
        <v/>
      </c>
      <c r="U12" s="54" t="str">
        <f aca="false">IF(A12="","",IF(COUNTIFS(EXT_SUP,B12,EXT_MAND,"&lt;&gt;No",EXT_DONE,"No")&gt;0,"Not ready - "&amp;COUNTIFS(EXT_SUP,B12,EXT_MAND,"&lt;&gt;No",EXT_DONE,"No")&amp;" mandatory action(s) open",IF(SUMPRODUCT(--(COUNTIFS(EXT_SUP,B12,EXT_ITEM,L_ExitItems)=0))&gt;0,"Not ready - "&amp;SUMPRODUCT(--(COUNTIFS(EXT_SUP,B12,EXT_ITEM,L_ExitItems)=0))&amp;" checklist item(s) not yet recorded","Ready for closure review (not a formal approval)")))</f>
        <v>Not ready - 9 mandatory action(s) open</v>
      </c>
      <c r="V12" s="54" t="str">
        <f aca="false">IF(A12="","",IF(COUNTIF(EXT_ID,A12)&gt;1,"CHECK: duplicate ID",IF(B12="","CHECK: Supplier ID missing",IF(COUNTIF(INV_ID,B12)=0,"CHECK: Supplier ID not in inventory",IF(AND(H12&lt;&gt;"",COUNTIF(INV_ID,H12)=0),"CHECK: Replacement supplier ID not in inventory",IF(AND(Q12="Closed - approved",OR(LEFT(U12,9)="Not ready",R12="")),"CHECK: closed without readiness or approval reference",IF(AND(Q12="Ready for closure review",LEFT(U12,9)="Not ready"),"CHECK: marked ready but mandatory items open","OK")))))))</f>
        <v>OK</v>
      </c>
    </row>
    <row r="13" customFormat="false" ht="23.85" hidden="false" customHeight="false" outlineLevel="0" collapsed="false">
      <c r="A13" s="50" t="s">
        <v>1833</v>
      </c>
      <c r="B13" s="50" t="s">
        <v>515</v>
      </c>
      <c r="C13" s="59" t="str">
        <f aca="false">IF(B13="","",IFERROR(INDEX(INV_NAME,MATCH(B13,INV_ID,0)),"CHECK: Supplier ID not found"))</f>
        <v>Datavault Backup Services Ltd</v>
      </c>
      <c r="D13" s="34" t="s">
        <v>1818</v>
      </c>
      <c r="E13" s="34" t="s">
        <v>380</v>
      </c>
      <c r="F13" s="51" t="n">
        <v>46387</v>
      </c>
      <c r="G13" s="34" t="s">
        <v>518</v>
      </c>
      <c r="H13" s="50" t="s">
        <v>479</v>
      </c>
      <c r="I13" s="34" t="s">
        <v>422</v>
      </c>
      <c r="J13" s="50" t="s">
        <v>240</v>
      </c>
      <c r="K13" s="34" t="s">
        <v>1834</v>
      </c>
      <c r="L13" s="50" t="s">
        <v>1820</v>
      </c>
      <c r="M13" s="51" t="n">
        <v>46387</v>
      </c>
      <c r="N13" s="34" t="s">
        <v>249</v>
      </c>
      <c r="O13" s="34"/>
      <c r="P13" s="50"/>
      <c r="Q13" s="34" t="s">
        <v>259</v>
      </c>
      <c r="R13" s="60"/>
      <c r="S13" s="52" t="str">
        <f aca="false">IF(A13="","",IF(AND(OR(N13="Complete",N13="Not applicable - justified"),O13&lt;&gt;""),"Yes","No"))</f>
        <v>No</v>
      </c>
      <c r="T13" s="52" t="str">
        <f aca="false">IF(A13="","",IF(AND(S13="No",ISNUMBER(M13),M13&lt;AsOf),"Overdue",""))</f>
        <v/>
      </c>
      <c r="U13" s="54" t="str">
        <f aca="false">IF(A13="","",IF(COUNTIFS(EXT_SUP,B13,EXT_MAND,"&lt;&gt;No",EXT_DONE,"No")&gt;0,"Not ready - "&amp;COUNTIFS(EXT_SUP,B13,EXT_MAND,"&lt;&gt;No",EXT_DONE,"No")&amp;" mandatory action(s) open",IF(SUMPRODUCT(--(COUNTIFS(EXT_SUP,B13,EXT_ITEM,L_ExitItems)=0))&gt;0,"Not ready - "&amp;SUMPRODUCT(--(COUNTIFS(EXT_SUP,B13,EXT_ITEM,L_ExitItems)=0))&amp;" checklist item(s) not yet recorded","Ready for closure review (not a formal approval)")))</f>
        <v>Not ready - 9 mandatory action(s) open</v>
      </c>
      <c r="V13" s="54" t="str">
        <f aca="false">IF(A13="","",IF(COUNTIF(EXT_ID,A13)&gt;1,"CHECK: duplicate ID",IF(B13="","CHECK: Supplier ID missing",IF(COUNTIF(INV_ID,B13)=0,"CHECK: Supplier ID not in inventory",IF(AND(H13&lt;&gt;"",COUNTIF(INV_ID,H13)=0),"CHECK: Replacement supplier ID not in inventory",IF(AND(Q13="Closed - approved",OR(LEFT(U13,9)="Not ready",R13="")),"CHECK: closed without readiness or approval reference",IF(AND(Q13="Ready for closure review",LEFT(U13,9)="Not ready"),"CHECK: marked ready but mandatory items open","OK")))))))</f>
        <v>OK</v>
      </c>
    </row>
    <row r="14" customFormat="false" ht="23.85" hidden="false" customHeight="false" outlineLevel="0" collapsed="false">
      <c r="A14" s="50" t="s">
        <v>1835</v>
      </c>
      <c r="B14" s="50" t="s">
        <v>515</v>
      </c>
      <c r="C14" s="59" t="str">
        <f aca="false">IF(B14="","",IFERROR(INDEX(INV_NAME,MATCH(B14,INV_ID,0)),"CHECK: Supplier ID not found"))</f>
        <v>Datavault Backup Services Ltd</v>
      </c>
      <c r="D14" s="34" t="s">
        <v>1818</v>
      </c>
      <c r="E14" s="34" t="s">
        <v>380</v>
      </c>
      <c r="F14" s="51" t="n">
        <v>46387</v>
      </c>
      <c r="G14" s="34" t="s">
        <v>518</v>
      </c>
      <c r="H14" s="50" t="s">
        <v>479</v>
      </c>
      <c r="I14" s="34" t="s">
        <v>427</v>
      </c>
      <c r="J14" s="50" t="s">
        <v>240</v>
      </c>
      <c r="K14" s="34" t="s">
        <v>1836</v>
      </c>
      <c r="L14" s="50" t="s">
        <v>1820</v>
      </c>
      <c r="M14" s="51" t="n">
        <v>46371</v>
      </c>
      <c r="N14" s="34" t="s">
        <v>297</v>
      </c>
      <c r="O14" s="34"/>
      <c r="P14" s="50" t="s">
        <v>702</v>
      </c>
      <c r="Q14" s="34" t="s">
        <v>259</v>
      </c>
      <c r="R14" s="60"/>
      <c r="S14" s="52" t="str">
        <f aca="false">IF(A14="","",IF(AND(OR(N14="Complete",N14="Not applicable - justified"),O14&lt;&gt;""),"Yes","No"))</f>
        <v>No</v>
      </c>
      <c r="T14" s="52" t="str">
        <f aca="false">IF(A14="","",IF(AND(S14="No",ISNUMBER(M14),M14&lt;AsOf),"Overdue",""))</f>
        <v/>
      </c>
      <c r="U14" s="54" t="str">
        <f aca="false">IF(A14="","",IF(COUNTIFS(EXT_SUP,B14,EXT_MAND,"&lt;&gt;No",EXT_DONE,"No")&gt;0,"Not ready - "&amp;COUNTIFS(EXT_SUP,B14,EXT_MAND,"&lt;&gt;No",EXT_DONE,"No")&amp;" mandatory action(s) open",IF(SUMPRODUCT(--(COUNTIFS(EXT_SUP,B14,EXT_ITEM,L_ExitItems)=0))&gt;0,"Not ready - "&amp;SUMPRODUCT(--(COUNTIFS(EXT_SUP,B14,EXT_ITEM,L_ExitItems)=0))&amp;" checklist item(s) not yet recorded","Ready for closure review (not a formal approval)")))</f>
        <v>Not ready - 9 mandatory action(s) open</v>
      </c>
      <c r="V14" s="54" t="str">
        <f aca="false">IF(A14="","",IF(COUNTIF(EXT_ID,A14)&gt;1,"CHECK: duplicate ID",IF(B14="","CHECK: Supplier ID missing",IF(COUNTIF(INV_ID,B14)=0,"CHECK: Supplier ID not in inventory",IF(AND(H14&lt;&gt;"",COUNTIF(INV_ID,H14)=0),"CHECK: Replacement supplier ID not in inventory",IF(AND(Q14="Closed - approved",OR(LEFT(U14,9)="Not ready",R14="")),"CHECK: closed without readiness or approval reference",IF(AND(Q14="Ready for closure review",LEFT(U14,9)="Not ready"),"CHECK: marked ready but mandatory items open","OK")))))))</f>
        <v>OK</v>
      </c>
    </row>
    <row r="15" customFormat="false" ht="23.85" hidden="false" customHeight="false" outlineLevel="0" collapsed="false">
      <c r="A15" s="50" t="s">
        <v>1837</v>
      </c>
      <c r="B15" s="50" t="s">
        <v>515</v>
      </c>
      <c r="C15" s="59" t="str">
        <f aca="false">IF(B15="","",IFERROR(INDEX(INV_NAME,MATCH(B15,INV_ID,0)),"CHECK: Supplier ID not found"))</f>
        <v>Datavault Backup Services Ltd</v>
      </c>
      <c r="D15" s="34" t="s">
        <v>1818</v>
      </c>
      <c r="E15" s="34" t="s">
        <v>380</v>
      </c>
      <c r="F15" s="51" t="n">
        <v>46387</v>
      </c>
      <c r="G15" s="34" t="s">
        <v>518</v>
      </c>
      <c r="H15" s="50" t="s">
        <v>479</v>
      </c>
      <c r="I15" s="34" t="s">
        <v>431</v>
      </c>
      <c r="J15" s="50" t="s">
        <v>240</v>
      </c>
      <c r="K15" s="34" t="s">
        <v>1838</v>
      </c>
      <c r="L15" s="50" t="s">
        <v>1230</v>
      </c>
      <c r="M15" s="51" t="n">
        <v>46371</v>
      </c>
      <c r="N15" s="34" t="s">
        <v>297</v>
      </c>
      <c r="O15" s="34"/>
      <c r="P15" s="50" t="s">
        <v>702</v>
      </c>
      <c r="Q15" s="34" t="s">
        <v>259</v>
      </c>
      <c r="R15" s="60"/>
      <c r="S15" s="52" t="str">
        <f aca="false">IF(A15="","",IF(AND(OR(N15="Complete",N15="Not applicable - justified"),O15&lt;&gt;""),"Yes","No"))</f>
        <v>No</v>
      </c>
      <c r="T15" s="52" t="str">
        <f aca="false">IF(A15="","",IF(AND(S15="No",ISNUMBER(M15),M15&lt;AsOf),"Overdue",""))</f>
        <v/>
      </c>
      <c r="U15" s="54" t="str">
        <f aca="false">IF(A15="","",IF(COUNTIFS(EXT_SUP,B15,EXT_MAND,"&lt;&gt;No",EXT_DONE,"No")&gt;0,"Not ready - "&amp;COUNTIFS(EXT_SUP,B15,EXT_MAND,"&lt;&gt;No",EXT_DONE,"No")&amp;" mandatory action(s) open",IF(SUMPRODUCT(--(COUNTIFS(EXT_SUP,B15,EXT_ITEM,L_ExitItems)=0))&gt;0,"Not ready - "&amp;SUMPRODUCT(--(COUNTIFS(EXT_SUP,B15,EXT_ITEM,L_ExitItems)=0))&amp;" checklist item(s) not yet recorded","Ready for closure review (not a formal approval)")))</f>
        <v>Not ready - 9 mandatory action(s) open</v>
      </c>
      <c r="V15" s="54" t="str">
        <f aca="false">IF(A15="","",IF(COUNTIF(EXT_ID,A15)&gt;1,"CHECK: duplicate ID",IF(B15="","CHECK: Supplier ID missing",IF(COUNTIF(INV_ID,B15)=0,"CHECK: Supplier ID not in inventory",IF(AND(H15&lt;&gt;"",COUNTIF(INV_ID,H15)=0),"CHECK: Replacement supplier ID not in inventory",IF(AND(Q15="Closed - approved",OR(LEFT(U15,9)="Not ready",R15="")),"CHECK: closed without readiness or approval reference",IF(AND(Q15="Ready for closure review",LEFT(U15,9)="Not ready"),"CHECK: marked ready but mandatory items open","OK")))))))</f>
        <v>OK</v>
      </c>
    </row>
    <row r="16" customFormat="false" ht="23.85" hidden="false" customHeight="false" outlineLevel="0" collapsed="false">
      <c r="A16" s="50" t="s">
        <v>1839</v>
      </c>
      <c r="B16" s="50" t="s">
        <v>515</v>
      </c>
      <c r="C16" s="59" t="str">
        <f aca="false">IF(B16="","",IFERROR(INDEX(INV_NAME,MATCH(B16,INV_ID,0)),"CHECK: Supplier ID not found"))</f>
        <v>Datavault Backup Services Ltd</v>
      </c>
      <c r="D16" s="34" t="s">
        <v>1818</v>
      </c>
      <c r="E16" s="34" t="s">
        <v>380</v>
      </c>
      <c r="F16" s="51" t="n">
        <v>46387</v>
      </c>
      <c r="G16" s="34" t="s">
        <v>518</v>
      </c>
      <c r="H16" s="50" t="s">
        <v>479</v>
      </c>
      <c r="I16" s="34" t="s">
        <v>434</v>
      </c>
      <c r="J16" s="50" t="s">
        <v>240</v>
      </c>
      <c r="K16" s="34" t="s">
        <v>1840</v>
      </c>
      <c r="L16" s="50" t="s">
        <v>1230</v>
      </c>
      <c r="M16" s="51" t="n">
        <v>46280</v>
      </c>
      <c r="N16" s="34" t="s">
        <v>351</v>
      </c>
      <c r="O16" s="34" t="s">
        <v>1841</v>
      </c>
      <c r="P16" s="50"/>
      <c r="Q16" s="34" t="s">
        <v>259</v>
      </c>
      <c r="R16" s="60"/>
      <c r="S16" s="52" t="str">
        <f aca="false">IF(A16="","",IF(AND(OR(N16="Complete",N16="Not applicable - justified"),O16&lt;&gt;""),"Yes","No"))</f>
        <v>Yes</v>
      </c>
      <c r="T16" s="52" t="str">
        <f aca="false">IF(A16="","",IF(AND(S16="No",ISNUMBER(M16),M16&lt;AsOf),"Overdue",""))</f>
        <v/>
      </c>
      <c r="U16" s="54" t="str">
        <f aca="false">IF(A16="","",IF(COUNTIFS(EXT_SUP,B16,EXT_MAND,"&lt;&gt;No",EXT_DONE,"No")&gt;0,"Not ready - "&amp;COUNTIFS(EXT_SUP,B16,EXT_MAND,"&lt;&gt;No",EXT_DONE,"No")&amp;" mandatory action(s) open",IF(SUMPRODUCT(--(COUNTIFS(EXT_SUP,B16,EXT_ITEM,L_ExitItems)=0))&gt;0,"Not ready - "&amp;SUMPRODUCT(--(COUNTIFS(EXT_SUP,B16,EXT_ITEM,L_ExitItems)=0))&amp;" checklist item(s) not yet recorded","Ready for closure review (not a formal approval)")))</f>
        <v>Not ready - 9 mandatory action(s) open</v>
      </c>
      <c r="V16" s="54" t="str">
        <f aca="false">IF(A16="","",IF(COUNTIF(EXT_ID,A16)&gt;1,"CHECK: duplicate ID",IF(B16="","CHECK: Supplier ID missing",IF(COUNTIF(INV_ID,B16)=0,"CHECK: Supplier ID not in inventory",IF(AND(H16&lt;&gt;"",COUNTIF(INV_ID,H16)=0),"CHECK: Replacement supplier ID not in inventory",IF(AND(Q16="Closed - approved",OR(LEFT(U16,9)="Not ready",R16="")),"CHECK: closed without readiness or approval reference",IF(AND(Q16="Ready for closure review",LEFT(U16,9)="Not ready"),"CHECK: marked ready but mandatory items open","OK")))))))</f>
        <v>OK</v>
      </c>
    </row>
    <row r="17" customFormat="false" ht="35.05" hidden="false" customHeight="false" outlineLevel="0" collapsed="false">
      <c r="A17" s="50" t="s">
        <v>1842</v>
      </c>
      <c r="B17" s="50" t="s">
        <v>515</v>
      </c>
      <c r="C17" s="59" t="str">
        <f aca="false">IF(B17="","",IFERROR(INDEX(INV_NAME,MATCH(B17,INV_ID,0)),"CHECK: Supplier ID not found"))</f>
        <v>Datavault Backup Services Ltd</v>
      </c>
      <c r="D17" s="34" t="s">
        <v>1818</v>
      </c>
      <c r="E17" s="34" t="s">
        <v>380</v>
      </c>
      <c r="F17" s="51" t="n">
        <v>46387</v>
      </c>
      <c r="G17" s="34" t="s">
        <v>518</v>
      </c>
      <c r="H17" s="50" t="s">
        <v>479</v>
      </c>
      <c r="I17" s="34" t="s">
        <v>436</v>
      </c>
      <c r="J17" s="50" t="s">
        <v>240</v>
      </c>
      <c r="K17" s="34" t="s">
        <v>1843</v>
      </c>
      <c r="L17" s="50" t="s">
        <v>1230</v>
      </c>
      <c r="M17" s="51" t="n">
        <v>46300</v>
      </c>
      <c r="N17" s="34" t="s">
        <v>351</v>
      </c>
      <c r="O17" s="34" t="s">
        <v>1844</v>
      </c>
      <c r="P17" s="50"/>
      <c r="Q17" s="34" t="s">
        <v>259</v>
      </c>
      <c r="R17" s="60"/>
      <c r="S17" s="52" t="str">
        <f aca="false">IF(A17="","",IF(AND(OR(N17="Complete",N17="Not applicable - justified"),O17&lt;&gt;""),"Yes","No"))</f>
        <v>Yes</v>
      </c>
      <c r="T17" s="52" t="str">
        <f aca="false">IF(A17="","",IF(AND(S17="No",ISNUMBER(M17),M17&lt;AsOf),"Overdue",""))</f>
        <v/>
      </c>
      <c r="U17" s="54" t="str">
        <f aca="false">IF(A17="","",IF(COUNTIFS(EXT_SUP,B17,EXT_MAND,"&lt;&gt;No",EXT_DONE,"No")&gt;0,"Not ready - "&amp;COUNTIFS(EXT_SUP,B17,EXT_MAND,"&lt;&gt;No",EXT_DONE,"No")&amp;" mandatory action(s) open",IF(SUMPRODUCT(--(COUNTIFS(EXT_SUP,B17,EXT_ITEM,L_ExitItems)=0))&gt;0,"Not ready - "&amp;SUMPRODUCT(--(COUNTIFS(EXT_SUP,B17,EXT_ITEM,L_ExitItems)=0))&amp;" checklist item(s) not yet recorded","Ready for closure review (not a formal approval)")))</f>
        <v>Not ready - 9 mandatory action(s) open</v>
      </c>
      <c r="V17" s="54" t="str">
        <f aca="false">IF(A17="","",IF(COUNTIF(EXT_ID,A17)&gt;1,"CHECK: duplicate ID",IF(B17="","CHECK: Supplier ID missing",IF(COUNTIF(INV_ID,B17)=0,"CHECK: Supplier ID not in inventory",IF(AND(H17&lt;&gt;"",COUNTIF(INV_ID,H17)=0),"CHECK: Replacement supplier ID not in inventory",IF(AND(Q17="Closed - approved",OR(LEFT(U17,9)="Not ready",R17="")),"CHECK: closed without readiness or approval reference",IF(AND(Q17="Ready for closure review",LEFT(U17,9)="Not ready"),"CHECK: marked ready but mandatory items open","OK")))))))</f>
        <v>OK</v>
      </c>
    </row>
    <row r="18" customFormat="false" ht="23.85" hidden="false" customHeight="false" outlineLevel="0" collapsed="false">
      <c r="A18" s="50" t="s">
        <v>1845</v>
      </c>
      <c r="B18" s="50" t="s">
        <v>515</v>
      </c>
      <c r="C18" s="59" t="str">
        <f aca="false">IF(B18="","",IFERROR(INDEX(INV_NAME,MATCH(B18,INV_ID,0)),"CHECK: Supplier ID not found"))</f>
        <v>Datavault Backup Services Ltd</v>
      </c>
      <c r="D18" s="34" t="s">
        <v>1818</v>
      </c>
      <c r="E18" s="34" t="s">
        <v>380</v>
      </c>
      <c r="F18" s="51" t="n">
        <v>46387</v>
      </c>
      <c r="G18" s="34" t="s">
        <v>518</v>
      </c>
      <c r="H18" s="50" t="s">
        <v>479</v>
      </c>
      <c r="I18" s="34" t="s">
        <v>438</v>
      </c>
      <c r="J18" s="50" t="s">
        <v>240</v>
      </c>
      <c r="K18" s="34" t="s">
        <v>1846</v>
      </c>
      <c r="L18" s="50" t="s">
        <v>1230</v>
      </c>
      <c r="M18" s="51" t="n">
        <v>46371</v>
      </c>
      <c r="N18" s="34" t="s">
        <v>297</v>
      </c>
      <c r="O18" s="34"/>
      <c r="P18" s="50" t="s">
        <v>702</v>
      </c>
      <c r="Q18" s="34" t="s">
        <v>259</v>
      </c>
      <c r="R18" s="60"/>
      <c r="S18" s="52" t="str">
        <f aca="false">IF(A18="","",IF(AND(OR(N18="Complete",N18="Not applicable - justified"),O18&lt;&gt;""),"Yes","No"))</f>
        <v>No</v>
      </c>
      <c r="T18" s="52" t="str">
        <f aca="false">IF(A18="","",IF(AND(S18="No",ISNUMBER(M18),M18&lt;AsOf),"Overdue",""))</f>
        <v/>
      </c>
      <c r="U18" s="54" t="str">
        <f aca="false">IF(A18="","",IF(COUNTIFS(EXT_SUP,B18,EXT_MAND,"&lt;&gt;No",EXT_DONE,"No")&gt;0,"Not ready - "&amp;COUNTIFS(EXT_SUP,B18,EXT_MAND,"&lt;&gt;No",EXT_DONE,"No")&amp;" mandatory action(s) open",IF(SUMPRODUCT(--(COUNTIFS(EXT_SUP,B18,EXT_ITEM,L_ExitItems)=0))&gt;0,"Not ready - "&amp;SUMPRODUCT(--(COUNTIFS(EXT_SUP,B18,EXT_ITEM,L_ExitItems)=0))&amp;" checklist item(s) not yet recorded","Ready for closure review (not a formal approval)")))</f>
        <v>Not ready - 9 mandatory action(s) open</v>
      </c>
      <c r="V18" s="54" t="str">
        <f aca="false">IF(A18="","",IF(COUNTIF(EXT_ID,A18)&gt;1,"CHECK: duplicate ID",IF(B18="","CHECK: Supplier ID missing",IF(COUNTIF(INV_ID,B18)=0,"CHECK: Supplier ID not in inventory",IF(AND(H18&lt;&gt;"",COUNTIF(INV_ID,H18)=0),"CHECK: Replacement supplier ID not in inventory",IF(AND(Q18="Closed - approved",OR(LEFT(U18,9)="Not ready",R18="")),"CHECK: closed without readiness or approval reference",IF(AND(Q18="Ready for closure review",LEFT(U18,9)="Not ready"),"CHECK: marked ready but mandatory items open","OK")))))))</f>
        <v>OK</v>
      </c>
    </row>
    <row r="19" customFormat="false" ht="23.85" hidden="false" customHeight="false" outlineLevel="0" collapsed="false">
      <c r="A19" s="50" t="s">
        <v>1847</v>
      </c>
      <c r="B19" s="50" t="s">
        <v>515</v>
      </c>
      <c r="C19" s="59" t="str">
        <f aca="false">IF(B19="","",IFERROR(INDEX(INV_NAME,MATCH(B19,INV_ID,0)),"CHECK: Supplier ID not found"))</f>
        <v>Datavault Backup Services Ltd</v>
      </c>
      <c r="D19" s="34" t="s">
        <v>1818</v>
      </c>
      <c r="E19" s="34" t="s">
        <v>380</v>
      </c>
      <c r="F19" s="51" t="n">
        <v>46387</v>
      </c>
      <c r="G19" s="34" t="s">
        <v>518</v>
      </c>
      <c r="H19" s="50" t="s">
        <v>479</v>
      </c>
      <c r="I19" s="34" t="s">
        <v>439</v>
      </c>
      <c r="J19" s="50" t="s">
        <v>240</v>
      </c>
      <c r="K19" s="34" t="s">
        <v>1848</v>
      </c>
      <c r="L19" s="50" t="s">
        <v>1230</v>
      </c>
      <c r="M19" s="51" t="n">
        <v>46387</v>
      </c>
      <c r="N19" s="34" t="s">
        <v>249</v>
      </c>
      <c r="O19" s="34"/>
      <c r="P19" s="50"/>
      <c r="Q19" s="34" t="s">
        <v>259</v>
      </c>
      <c r="R19" s="60"/>
      <c r="S19" s="52" t="str">
        <f aca="false">IF(A19="","",IF(AND(OR(N19="Complete",N19="Not applicable - justified"),O19&lt;&gt;""),"Yes","No"))</f>
        <v>No</v>
      </c>
      <c r="T19" s="52" t="str">
        <f aca="false">IF(A19="","",IF(AND(S19="No",ISNUMBER(M19),M19&lt;AsOf),"Overdue",""))</f>
        <v/>
      </c>
      <c r="U19" s="54" t="str">
        <f aca="false">IF(A19="","",IF(COUNTIFS(EXT_SUP,B19,EXT_MAND,"&lt;&gt;No",EXT_DONE,"No")&gt;0,"Not ready - "&amp;COUNTIFS(EXT_SUP,B19,EXT_MAND,"&lt;&gt;No",EXT_DONE,"No")&amp;" mandatory action(s) open",IF(SUMPRODUCT(--(COUNTIFS(EXT_SUP,B19,EXT_ITEM,L_ExitItems)=0))&gt;0,"Not ready - "&amp;SUMPRODUCT(--(COUNTIFS(EXT_SUP,B19,EXT_ITEM,L_ExitItems)=0))&amp;" checklist item(s) not yet recorded","Ready for closure review (not a formal approval)")))</f>
        <v>Not ready - 9 mandatory action(s) open</v>
      </c>
      <c r="V19" s="54" t="str">
        <f aca="false">IF(A19="","",IF(COUNTIF(EXT_ID,A19)&gt;1,"CHECK: duplicate ID",IF(B19="","CHECK: Supplier ID missing",IF(COUNTIF(INV_ID,B19)=0,"CHECK: Supplier ID not in inventory",IF(AND(H19&lt;&gt;"",COUNTIF(INV_ID,H19)=0),"CHECK: Replacement supplier ID not in inventory",IF(AND(Q19="Closed - approved",OR(LEFT(U19,9)="Not ready",R19="")),"CHECK: closed without readiness or approval reference",IF(AND(Q19="Ready for closure review",LEFT(U19,9)="Not ready"),"CHECK: marked ready but mandatory items open","OK")))))))</f>
        <v>OK</v>
      </c>
    </row>
    <row r="20" customFormat="false" ht="15" hidden="false" customHeight="false" outlineLevel="0" collapsed="false">
      <c r="A20" s="50"/>
      <c r="B20" s="50"/>
      <c r="C20" s="59" t="str">
        <f aca="false">IF(B20="","",IFERROR(INDEX(INV_NAME,MATCH(B20,INV_ID,0)),"CHECK: Supplier ID not found"))</f>
        <v/>
      </c>
      <c r="D20" s="34"/>
      <c r="E20" s="34"/>
      <c r="F20" s="51"/>
      <c r="G20" s="34"/>
      <c r="H20" s="50"/>
      <c r="I20" s="34"/>
      <c r="J20" s="50"/>
      <c r="K20" s="34"/>
      <c r="L20" s="50"/>
      <c r="M20" s="51"/>
      <c r="N20" s="34"/>
      <c r="O20" s="34"/>
      <c r="P20" s="50"/>
      <c r="Q20" s="34"/>
      <c r="R20" s="60"/>
      <c r="S20" s="52" t="str">
        <f aca="false">IF(A20="","",IF(AND(OR(N20="Complete",N20="Not applicable - justified"),O20&lt;&gt;""),"Yes","No"))</f>
        <v/>
      </c>
      <c r="T20" s="52" t="str">
        <f aca="false">IF(A20="","",IF(AND(S20="No",ISNUMBER(M20),M20&lt;AsOf),"Overdue",""))</f>
        <v/>
      </c>
      <c r="U20" s="54" t="str">
        <f aca="false">IF(A20="","",IF(COUNTIFS(EXT_SUP,B20,EXT_MAND,"&lt;&gt;No",EXT_DONE,"No")&gt;0,"Not ready - "&amp;COUNTIFS(EXT_SUP,B20,EXT_MAND,"&lt;&gt;No",EXT_DONE,"No")&amp;" mandatory action(s) open",IF(SUMPRODUCT(--(COUNTIFS(EXT_SUP,B20,EXT_ITEM,L_ExitItems)=0))&gt;0,"Not ready - "&amp;SUMPRODUCT(--(COUNTIFS(EXT_SUP,B20,EXT_ITEM,L_ExitItems)=0))&amp;" checklist item(s) not yet recorded","Ready for closure review (not a formal approval)")))</f>
        <v/>
      </c>
      <c r="V20" s="54" t="str">
        <f aca="false">IF(A20="","",IF(COUNTIF(EXT_ID,A20)&gt;1,"CHECK: duplicate ID",IF(B20="","CHECK: Supplier ID missing",IF(COUNTIF(INV_ID,B20)=0,"CHECK: Supplier ID not in inventory",IF(AND(H20&lt;&gt;"",COUNTIF(INV_ID,H20)=0),"CHECK: Replacement supplier ID not in inventory",IF(AND(Q20="Closed - approved",OR(LEFT(U20,9)="Not ready",R20="")),"CHECK: closed without readiness or approval reference",IF(AND(Q20="Ready for closure review",LEFT(U20,9)="Not ready"),"CHECK: marked ready but mandatory items open","OK")))))))</f>
        <v/>
      </c>
    </row>
    <row r="21" customFormat="false" ht="15" hidden="false" customHeight="false" outlineLevel="0" collapsed="false">
      <c r="A21" s="50"/>
      <c r="B21" s="50"/>
      <c r="C21" s="59" t="str">
        <f aca="false">IF(B21="","",IFERROR(INDEX(INV_NAME,MATCH(B21,INV_ID,0)),"CHECK: Supplier ID not found"))</f>
        <v/>
      </c>
      <c r="D21" s="34"/>
      <c r="E21" s="34"/>
      <c r="F21" s="51"/>
      <c r="G21" s="34"/>
      <c r="H21" s="50"/>
      <c r="I21" s="34"/>
      <c r="J21" s="50"/>
      <c r="K21" s="34"/>
      <c r="L21" s="50"/>
      <c r="M21" s="51"/>
      <c r="N21" s="34"/>
      <c r="O21" s="34"/>
      <c r="P21" s="50"/>
      <c r="Q21" s="34"/>
      <c r="R21" s="60"/>
      <c r="S21" s="52" t="str">
        <f aca="false">IF(A21="","",IF(AND(OR(N21="Complete",N21="Not applicable - justified"),O21&lt;&gt;""),"Yes","No"))</f>
        <v/>
      </c>
      <c r="T21" s="52" t="str">
        <f aca="false">IF(A21="","",IF(AND(S21="No",ISNUMBER(M21),M21&lt;AsOf),"Overdue",""))</f>
        <v/>
      </c>
      <c r="U21" s="54" t="str">
        <f aca="false">IF(A21="","",IF(COUNTIFS(EXT_SUP,B21,EXT_MAND,"&lt;&gt;No",EXT_DONE,"No")&gt;0,"Not ready - "&amp;COUNTIFS(EXT_SUP,B21,EXT_MAND,"&lt;&gt;No",EXT_DONE,"No")&amp;" mandatory action(s) open",IF(SUMPRODUCT(--(COUNTIFS(EXT_SUP,B21,EXT_ITEM,L_ExitItems)=0))&gt;0,"Not ready - "&amp;SUMPRODUCT(--(COUNTIFS(EXT_SUP,B21,EXT_ITEM,L_ExitItems)=0))&amp;" checklist item(s) not yet recorded","Ready for closure review (not a formal approval)")))</f>
        <v/>
      </c>
      <c r="V21" s="54" t="str">
        <f aca="false">IF(A21="","",IF(COUNTIF(EXT_ID,A21)&gt;1,"CHECK: duplicate ID",IF(B21="","CHECK: Supplier ID missing",IF(COUNTIF(INV_ID,B21)=0,"CHECK: Supplier ID not in inventory",IF(AND(H21&lt;&gt;"",COUNTIF(INV_ID,H21)=0),"CHECK: Replacement supplier ID not in inventory",IF(AND(Q21="Closed - approved",OR(LEFT(U21,9)="Not ready",R21="")),"CHECK: closed without readiness or approval reference",IF(AND(Q21="Ready for closure review",LEFT(U21,9)="Not ready"),"CHECK: marked ready but mandatory items open","OK")))))))</f>
        <v/>
      </c>
    </row>
    <row r="22" customFormat="false" ht="15" hidden="false" customHeight="false" outlineLevel="0" collapsed="false">
      <c r="A22" s="50"/>
      <c r="B22" s="50"/>
      <c r="C22" s="59" t="str">
        <f aca="false">IF(B22="","",IFERROR(INDEX(INV_NAME,MATCH(B22,INV_ID,0)),"CHECK: Supplier ID not found"))</f>
        <v/>
      </c>
      <c r="D22" s="34"/>
      <c r="E22" s="34"/>
      <c r="F22" s="51"/>
      <c r="G22" s="34"/>
      <c r="H22" s="50"/>
      <c r="I22" s="34"/>
      <c r="J22" s="50"/>
      <c r="K22" s="34"/>
      <c r="L22" s="50"/>
      <c r="M22" s="51"/>
      <c r="N22" s="34"/>
      <c r="O22" s="34"/>
      <c r="P22" s="50"/>
      <c r="Q22" s="34"/>
      <c r="R22" s="60"/>
      <c r="S22" s="52" t="str">
        <f aca="false">IF(A22="","",IF(AND(OR(N22="Complete",N22="Not applicable - justified"),O22&lt;&gt;""),"Yes","No"))</f>
        <v/>
      </c>
      <c r="T22" s="52" t="str">
        <f aca="false">IF(A22="","",IF(AND(S22="No",ISNUMBER(M22),M22&lt;AsOf),"Overdue",""))</f>
        <v/>
      </c>
      <c r="U22" s="54" t="str">
        <f aca="false">IF(A22="","",IF(COUNTIFS(EXT_SUP,B22,EXT_MAND,"&lt;&gt;No",EXT_DONE,"No")&gt;0,"Not ready - "&amp;COUNTIFS(EXT_SUP,B22,EXT_MAND,"&lt;&gt;No",EXT_DONE,"No")&amp;" mandatory action(s) open",IF(SUMPRODUCT(--(COUNTIFS(EXT_SUP,B22,EXT_ITEM,L_ExitItems)=0))&gt;0,"Not ready - "&amp;SUMPRODUCT(--(COUNTIFS(EXT_SUP,B22,EXT_ITEM,L_ExitItems)=0))&amp;" checklist item(s) not yet recorded","Ready for closure review (not a formal approval)")))</f>
        <v/>
      </c>
      <c r="V22" s="54" t="str">
        <f aca="false">IF(A22="","",IF(COUNTIF(EXT_ID,A22)&gt;1,"CHECK: duplicate ID",IF(B22="","CHECK: Supplier ID missing",IF(COUNTIF(INV_ID,B22)=0,"CHECK: Supplier ID not in inventory",IF(AND(H22&lt;&gt;"",COUNTIF(INV_ID,H22)=0),"CHECK: Replacement supplier ID not in inventory",IF(AND(Q22="Closed - approved",OR(LEFT(U22,9)="Not ready",R22="")),"CHECK: closed without readiness or approval reference",IF(AND(Q22="Ready for closure review",LEFT(U22,9)="Not ready"),"CHECK: marked ready but mandatory items open","OK")))))))</f>
        <v/>
      </c>
    </row>
    <row r="23" customFormat="false" ht="15" hidden="false" customHeight="false" outlineLevel="0" collapsed="false">
      <c r="A23" s="50"/>
      <c r="B23" s="50"/>
      <c r="C23" s="59" t="str">
        <f aca="false">IF(B23="","",IFERROR(INDEX(INV_NAME,MATCH(B23,INV_ID,0)),"CHECK: Supplier ID not found"))</f>
        <v/>
      </c>
      <c r="D23" s="34"/>
      <c r="E23" s="34"/>
      <c r="F23" s="51"/>
      <c r="G23" s="34"/>
      <c r="H23" s="50"/>
      <c r="I23" s="34"/>
      <c r="J23" s="50"/>
      <c r="K23" s="34"/>
      <c r="L23" s="50"/>
      <c r="M23" s="51"/>
      <c r="N23" s="34"/>
      <c r="O23" s="34"/>
      <c r="P23" s="50"/>
      <c r="Q23" s="34"/>
      <c r="R23" s="60"/>
      <c r="S23" s="52" t="str">
        <f aca="false">IF(A23="","",IF(AND(OR(N23="Complete",N23="Not applicable - justified"),O23&lt;&gt;""),"Yes","No"))</f>
        <v/>
      </c>
      <c r="T23" s="52" t="str">
        <f aca="false">IF(A23="","",IF(AND(S23="No",ISNUMBER(M23),M23&lt;AsOf),"Overdue",""))</f>
        <v/>
      </c>
      <c r="U23" s="54" t="str">
        <f aca="false">IF(A23="","",IF(COUNTIFS(EXT_SUP,B23,EXT_MAND,"&lt;&gt;No",EXT_DONE,"No")&gt;0,"Not ready - "&amp;COUNTIFS(EXT_SUP,B23,EXT_MAND,"&lt;&gt;No",EXT_DONE,"No")&amp;" mandatory action(s) open",IF(SUMPRODUCT(--(COUNTIFS(EXT_SUP,B23,EXT_ITEM,L_ExitItems)=0))&gt;0,"Not ready - "&amp;SUMPRODUCT(--(COUNTIFS(EXT_SUP,B23,EXT_ITEM,L_ExitItems)=0))&amp;" checklist item(s) not yet recorded","Ready for closure review (not a formal approval)")))</f>
        <v/>
      </c>
      <c r="V23" s="54" t="str">
        <f aca="false">IF(A23="","",IF(COUNTIF(EXT_ID,A23)&gt;1,"CHECK: duplicate ID",IF(B23="","CHECK: Supplier ID missing",IF(COUNTIF(INV_ID,B23)=0,"CHECK: Supplier ID not in inventory",IF(AND(H23&lt;&gt;"",COUNTIF(INV_ID,H23)=0),"CHECK: Replacement supplier ID not in inventory",IF(AND(Q23="Closed - approved",OR(LEFT(U23,9)="Not ready",R23="")),"CHECK: closed without readiness or approval reference",IF(AND(Q23="Ready for closure review",LEFT(U23,9)="Not ready"),"CHECK: marked ready but mandatory items open","OK")))))))</f>
        <v/>
      </c>
    </row>
    <row r="24" customFormat="false" ht="15" hidden="false" customHeight="false" outlineLevel="0" collapsed="false">
      <c r="A24" s="50"/>
      <c r="B24" s="50"/>
      <c r="C24" s="59" t="str">
        <f aca="false">IF(B24="","",IFERROR(INDEX(INV_NAME,MATCH(B24,INV_ID,0)),"CHECK: Supplier ID not found"))</f>
        <v/>
      </c>
      <c r="D24" s="34"/>
      <c r="E24" s="34"/>
      <c r="F24" s="51"/>
      <c r="G24" s="34"/>
      <c r="H24" s="50"/>
      <c r="I24" s="34"/>
      <c r="J24" s="50"/>
      <c r="K24" s="34"/>
      <c r="L24" s="50"/>
      <c r="M24" s="51"/>
      <c r="N24" s="34"/>
      <c r="O24" s="34"/>
      <c r="P24" s="50"/>
      <c r="Q24" s="34"/>
      <c r="R24" s="60"/>
      <c r="S24" s="52" t="str">
        <f aca="false">IF(A24="","",IF(AND(OR(N24="Complete",N24="Not applicable - justified"),O24&lt;&gt;""),"Yes","No"))</f>
        <v/>
      </c>
      <c r="T24" s="52" t="str">
        <f aca="false">IF(A24="","",IF(AND(S24="No",ISNUMBER(M24),M24&lt;AsOf),"Overdue",""))</f>
        <v/>
      </c>
      <c r="U24" s="54" t="str">
        <f aca="false">IF(A24="","",IF(COUNTIFS(EXT_SUP,B24,EXT_MAND,"&lt;&gt;No",EXT_DONE,"No")&gt;0,"Not ready - "&amp;COUNTIFS(EXT_SUP,B24,EXT_MAND,"&lt;&gt;No",EXT_DONE,"No")&amp;" mandatory action(s) open",IF(SUMPRODUCT(--(COUNTIFS(EXT_SUP,B24,EXT_ITEM,L_ExitItems)=0))&gt;0,"Not ready - "&amp;SUMPRODUCT(--(COUNTIFS(EXT_SUP,B24,EXT_ITEM,L_ExitItems)=0))&amp;" checklist item(s) not yet recorded","Ready for closure review (not a formal approval)")))</f>
        <v/>
      </c>
      <c r="V24" s="54" t="str">
        <f aca="false">IF(A24="","",IF(COUNTIF(EXT_ID,A24)&gt;1,"CHECK: duplicate ID",IF(B24="","CHECK: Supplier ID missing",IF(COUNTIF(INV_ID,B24)=0,"CHECK: Supplier ID not in inventory",IF(AND(H24&lt;&gt;"",COUNTIF(INV_ID,H24)=0),"CHECK: Replacement supplier ID not in inventory",IF(AND(Q24="Closed - approved",OR(LEFT(U24,9)="Not ready",R24="")),"CHECK: closed without readiness or approval reference",IF(AND(Q24="Ready for closure review",LEFT(U24,9)="Not ready"),"CHECK: marked ready but mandatory items open","OK")))))))</f>
        <v/>
      </c>
    </row>
    <row r="25" customFormat="false" ht="15" hidden="false" customHeight="false" outlineLevel="0" collapsed="false">
      <c r="A25" s="50"/>
      <c r="B25" s="50"/>
      <c r="C25" s="59" t="str">
        <f aca="false">IF(B25="","",IFERROR(INDEX(INV_NAME,MATCH(B25,INV_ID,0)),"CHECK: Supplier ID not found"))</f>
        <v/>
      </c>
      <c r="D25" s="34"/>
      <c r="E25" s="34"/>
      <c r="F25" s="51"/>
      <c r="G25" s="34"/>
      <c r="H25" s="50"/>
      <c r="I25" s="34"/>
      <c r="J25" s="50"/>
      <c r="K25" s="34"/>
      <c r="L25" s="50"/>
      <c r="M25" s="51"/>
      <c r="N25" s="34"/>
      <c r="O25" s="34"/>
      <c r="P25" s="50"/>
      <c r="Q25" s="34"/>
      <c r="R25" s="60"/>
      <c r="S25" s="52" t="str">
        <f aca="false">IF(A25="","",IF(AND(OR(N25="Complete",N25="Not applicable - justified"),O25&lt;&gt;""),"Yes","No"))</f>
        <v/>
      </c>
      <c r="T25" s="52" t="str">
        <f aca="false">IF(A25="","",IF(AND(S25="No",ISNUMBER(M25),M25&lt;AsOf),"Overdue",""))</f>
        <v/>
      </c>
      <c r="U25" s="54" t="str">
        <f aca="false">IF(A25="","",IF(COUNTIFS(EXT_SUP,B25,EXT_MAND,"&lt;&gt;No",EXT_DONE,"No")&gt;0,"Not ready - "&amp;COUNTIFS(EXT_SUP,B25,EXT_MAND,"&lt;&gt;No",EXT_DONE,"No")&amp;" mandatory action(s) open",IF(SUMPRODUCT(--(COUNTIFS(EXT_SUP,B25,EXT_ITEM,L_ExitItems)=0))&gt;0,"Not ready - "&amp;SUMPRODUCT(--(COUNTIFS(EXT_SUP,B25,EXT_ITEM,L_ExitItems)=0))&amp;" checklist item(s) not yet recorded","Ready for closure review (not a formal approval)")))</f>
        <v/>
      </c>
      <c r="V25" s="54" t="str">
        <f aca="false">IF(A25="","",IF(COUNTIF(EXT_ID,A25)&gt;1,"CHECK: duplicate ID",IF(B25="","CHECK: Supplier ID missing",IF(COUNTIF(INV_ID,B25)=0,"CHECK: Supplier ID not in inventory",IF(AND(H25&lt;&gt;"",COUNTIF(INV_ID,H25)=0),"CHECK: Replacement supplier ID not in inventory",IF(AND(Q25="Closed - approved",OR(LEFT(U25,9)="Not ready",R25="")),"CHECK: closed without readiness or approval reference",IF(AND(Q25="Ready for closure review",LEFT(U25,9)="Not ready"),"CHECK: marked ready but mandatory items open","OK")))))))</f>
        <v/>
      </c>
    </row>
    <row r="26" customFormat="false" ht="15" hidden="false" customHeight="false" outlineLevel="0" collapsed="false">
      <c r="A26" s="50"/>
      <c r="B26" s="50"/>
      <c r="C26" s="59" t="str">
        <f aca="false">IF(B26="","",IFERROR(INDEX(INV_NAME,MATCH(B26,INV_ID,0)),"CHECK: Supplier ID not found"))</f>
        <v/>
      </c>
      <c r="D26" s="34"/>
      <c r="E26" s="34"/>
      <c r="F26" s="51"/>
      <c r="G26" s="34"/>
      <c r="H26" s="50"/>
      <c r="I26" s="34"/>
      <c r="J26" s="50"/>
      <c r="K26" s="34"/>
      <c r="L26" s="50"/>
      <c r="M26" s="51"/>
      <c r="N26" s="34"/>
      <c r="O26" s="34"/>
      <c r="P26" s="50"/>
      <c r="Q26" s="34"/>
      <c r="R26" s="60"/>
      <c r="S26" s="52" t="str">
        <f aca="false">IF(A26="","",IF(AND(OR(N26="Complete",N26="Not applicable - justified"),O26&lt;&gt;""),"Yes","No"))</f>
        <v/>
      </c>
      <c r="T26" s="52" t="str">
        <f aca="false">IF(A26="","",IF(AND(S26="No",ISNUMBER(M26),M26&lt;AsOf),"Overdue",""))</f>
        <v/>
      </c>
      <c r="U26" s="54" t="str">
        <f aca="false">IF(A26="","",IF(COUNTIFS(EXT_SUP,B26,EXT_MAND,"&lt;&gt;No",EXT_DONE,"No")&gt;0,"Not ready - "&amp;COUNTIFS(EXT_SUP,B26,EXT_MAND,"&lt;&gt;No",EXT_DONE,"No")&amp;" mandatory action(s) open",IF(SUMPRODUCT(--(COUNTIFS(EXT_SUP,B26,EXT_ITEM,L_ExitItems)=0))&gt;0,"Not ready - "&amp;SUMPRODUCT(--(COUNTIFS(EXT_SUP,B26,EXT_ITEM,L_ExitItems)=0))&amp;" checklist item(s) not yet recorded","Ready for closure review (not a formal approval)")))</f>
        <v/>
      </c>
      <c r="V26" s="54" t="str">
        <f aca="false">IF(A26="","",IF(COUNTIF(EXT_ID,A26)&gt;1,"CHECK: duplicate ID",IF(B26="","CHECK: Supplier ID missing",IF(COUNTIF(INV_ID,B26)=0,"CHECK: Supplier ID not in inventory",IF(AND(H26&lt;&gt;"",COUNTIF(INV_ID,H26)=0),"CHECK: Replacement supplier ID not in inventory",IF(AND(Q26="Closed - approved",OR(LEFT(U26,9)="Not ready",R26="")),"CHECK: closed without readiness or approval reference",IF(AND(Q26="Ready for closure review",LEFT(U26,9)="Not ready"),"CHECK: marked ready but mandatory items open","OK")))))))</f>
        <v/>
      </c>
    </row>
    <row r="27" customFormat="false" ht="15" hidden="false" customHeight="false" outlineLevel="0" collapsed="false">
      <c r="A27" s="50"/>
      <c r="B27" s="50"/>
      <c r="C27" s="59" t="str">
        <f aca="false">IF(B27="","",IFERROR(INDEX(INV_NAME,MATCH(B27,INV_ID,0)),"CHECK: Supplier ID not found"))</f>
        <v/>
      </c>
      <c r="D27" s="34"/>
      <c r="E27" s="34"/>
      <c r="F27" s="51"/>
      <c r="G27" s="34"/>
      <c r="H27" s="50"/>
      <c r="I27" s="34"/>
      <c r="J27" s="50"/>
      <c r="K27" s="34"/>
      <c r="L27" s="50"/>
      <c r="M27" s="51"/>
      <c r="N27" s="34"/>
      <c r="O27" s="34"/>
      <c r="P27" s="50"/>
      <c r="Q27" s="34"/>
      <c r="R27" s="60"/>
      <c r="S27" s="52" t="str">
        <f aca="false">IF(A27="","",IF(AND(OR(N27="Complete",N27="Not applicable - justified"),O27&lt;&gt;""),"Yes","No"))</f>
        <v/>
      </c>
      <c r="T27" s="52" t="str">
        <f aca="false">IF(A27="","",IF(AND(S27="No",ISNUMBER(M27),M27&lt;AsOf),"Overdue",""))</f>
        <v/>
      </c>
      <c r="U27" s="54" t="str">
        <f aca="false">IF(A27="","",IF(COUNTIFS(EXT_SUP,B27,EXT_MAND,"&lt;&gt;No",EXT_DONE,"No")&gt;0,"Not ready - "&amp;COUNTIFS(EXT_SUP,B27,EXT_MAND,"&lt;&gt;No",EXT_DONE,"No")&amp;" mandatory action(s) open",IF(SUMPRODUCT(--(COUNTIFS(EXT_SUP,B27,EXT_ITEM,L_ExitItems)=0))&gt;0,"Not ready - "&amp;SUMPRODUCT(--(COUNTIFS(EXT_SUP,B27,EXT_ITEM,L_ExitItems)=0))&amp;" checklist item(s) not yet recorded","Ready for closure review (not a formal approval)")))</f>
        <v/>
      </c>
      <c r="V27" s="54" t="str">
        <f aca="false">IF(A27="","",IF(COUNTIF(EXT_ID,A27)&gt;1,"CHECK: duplicate ID",IF(B27="","CHECK: Supplier ID missing",IF(COUNTIF(INV_ID,B27)=0,"CHECK: Supplier ID not in inventory",IF(AND(H27&lt;&gt;"",COUNTIF(INV_ID,H27)=0),"CHECK: Replacement supplier ID not in inventory",IF(AND(Q27="Closed - approved",OR(LEFT(U27,9)="Not ready",R27="")),"CHECK: closed without readiness or approval reference",IF(AND(Q27="Ready for closure review",LEFT(U27,9)="Not ready"),"CHECK: marked ready but mandatory items open","OK")))))))</f>
        <v/>
      </c>
    </row>
    <row r="28" customFormat="false" ht="15" hidden="false" customHeight="false" outlineLevel="0" collapsed="false">
      <c r="A28" s="50"/>
      <c r="B28" s="50"/>
      <c r="C28" s="59" t="str">
        <f aca="false">IF(B28="","",IFERROR(INDEX(INV_NAME,MATCH(B28,INV_ID,0)),"CHECK: Supplier ID not found"))</f>
        <v/>
      </c>
      <c r="D28" s="34"/>
      <c r="E28" s="34"/>
      <c r="F28" s="51"/>
      <c r="G28" s="34"/>
      <c r="H28" s="50"/>
      <c r="I28" s="34"/>
      <c r="J28" s="50"/>
      <c r="K28" s="34"/>
      <c r="L28" s="50"/>
      <c r="M28" s="51"/>
      <c r="N28" s="34"/>
      <c r="O28" s="34"/>
      <c r="P28" s="50"/>
      <c r="Q28" s="34"/>
      <c r="R28" s="60"/>
      <c r="S28" s="52" t="str">
        <f aca="false">IF(A28="","",IF(AND(OR(N28="Complete",N28="Not applicable - justified"),O28&lt;&gt;""),"Yes","No"))</f>
        <v/>
      </c>
      <c r="T28" s="52" t="str">
        <f aca="false">IF(A28="","",IF(AND(S28="No",ISNUMBER(M28),M28&lt;AsOf),"Overdue",""))</f>
        <v/>
      </c>
      <c r="U28" s="54" t="str">
        <f aca="false">IF(A28="","",IF(COUNTIFS(EXT_SUP,B28,EXT_MAND,"&lt;&gt;No",EXT_DONE,"No")&gt;0,"Not ready - "&amp;COUNTIFS(EXT_SUP,B28,EXT_MAND,"&lt;&gt;No",EXT_DONE,"No")&amp;" mandatory action(s) open",IF(SUMPRODUCT(--(COUNTIFS(EXT_SUP,B28,EXT_ITEM,L_ExitItems)=0))&gt;0,"Not ready - "&amp;SUMPRODUCT(--(COUNTIFS(EXT_SUP,B28,EXT_ITEM,L_ExitItems)=0))&amp;" checklist item(s) not yet recorded","Ready for closure review (not a formal approval)")))</f>
        <v/>
      </c>
      <c r="V28" s="54" t="str">
        <f aca="false">IF(A28="","",IF(COUNTIF(EXT_ID,A28)&gt;1,"CHECK: duplicate ID",IF(B28="","CHECK: Supplier ID missing",IF(COUNTIF(INV_ID,B28)=0,"CHECK: Supplier ID not in inventory",IF(AND(H28&lt;&gt;"",COUNTIF(INV_ID,H28)=0),"CHECK: Replacement supplier ID not in inventory",IF(AND(Q28="Closed - approved",OR(LEFT(U28,9)="Not ready",R28="")),"CHECK: closed without readiness or approval reference",IF(AND(Q28="Ready for closure review",LEFT(U28,9)="Not ready"),"CHECK: marked ready but mandatory items open","OK")))))))</f>
        <v/>
      </c>
    </row>
    <row r="29" customFormat="false" ht="15" hidden="false" customHeight="false" outlineLevel="0" collapsed="false">
      <c r="A29" s="50"/>
      <c r="B29" s="50"/>
      <c r="C29" s="59" t="str">
        <f aca="false">IF(B29="","",IFERROR(INDEX(INV_NAME,MATCH(B29,INV_ID,0)),"CHECK: Supplier ID not found"))</f>
        <v/>
      </c>
      <c r="D29" s="34"/>
      <c r="E29" s="34"/>
      <c r="F29" s="51"/>
      <c r="G29" s="34"/>
      <c r="H29" s="50"/>
      <c r="I29" s="34"/>
      <c r="J29" s="50"/>
      <c r="K29" s="34"/>
      <c r="L29" s="50"/>
      <c r="M29" s="51"/>
      <c r="N29" s="34"/>
      <c r="O29" s="34"/>
      <c r="P29" s="50"/>
      <c r="Q29" s="34"/>
      <c r="R29" s="60"/>
      <c r="S29" s="52" t="str">
        <f aca="false">IF(A29="","",IF(AND(OR(N29="Complete",N29="Not applicable - justified"),O29&lt;&gt;""),"Yes","No"))</f>
        <v/>
      </c>
      <c r="T29" s="52" t="str">
        <f aca="false">IF(A29="","",IF(AND(S29="No",ISNUMBER(M29),M29&lt;AsOf),"Overdue",""))</f>
        <v/>
      </c>
      <c r="U29" s="54" t="str">
        <f aca="false">IF(A29="","",IF(COUNTIFS(EXT_SUP,B29,EXT_MAND,"&lt;&gt;No",EXT_DONE,"No")&gt;0,"Not ready - "&amp;COUNTIFS(EXT_SUP,B29,EXT_MAND,"&lt;&gt;No",EXT_DONE,"No")&amp;" mandatory action(s) open",IF(SUMPRODUCT(--(COUNTIFS(EXT_SUP,B29,EXT_ITEM,L_ExitItems)=0))&gt;0,"Not ready - "&amp;SUMPRODUCT(--(COUNTIFS(EXT_SUP,B29,EXT_ITEM,L_ExitItems)=0))&amp;" checklist item(s) not yet recorded","Ready for closure review (not a formal approval)")))</f>
        <v/>
      </c>
      <c r="V29" s="54" t="str">
        <f aca="false">IF(A29="","",IF(COUNTIF(EXT_ID,A29)&gt;1,"CHECK: duplicate ID",IF(B29="","CHECK: Supplier ID missing",IF(COUNTIF(INV_ID,B29)=0,"CHECK: Supplier ID not in inventory",IF(AND(H29&lt;&gt;"",COUNTIF(INV_ID,H29)=0),"CHECK: Replacement supplier ID not in inventory",IF(AND(Q29="Closed - approved",OR(LEFT(U29,9)="Not ready",R29="")),"CHECK: closed without readiness or approval reference",IF(AND(Q29="Ready for closure review",LEFT(U29,9)="Not ready"),"CHECK: marked ready but mandatory items open","OK")))))))</f>
        <v/>
      </c>
    </row>
    <row r="30" customFormat="false" ht="15" hidden="false" customHeight="false" outlineLevel="0" collapsed="false">
      <c r="A30" s="50"/>
      <c r="B30" s="50"/>
      <c r="C30" s="59" t="str">
        <f aca="false">IF(B30="","",IFERROR(INDEX(INV_NAME,MATCH(B30,INV_ID,0)),"CHECK: Supplier ID not found"))</f>
        <v/>
      </c>
      <c r="D30" s="34"/>
      <c r="E30" s="34"/>
      <c r="F30" s="51"/>
      <c r="G30" s="34"/>
      <c r="H30" s="50"/>
      <c r="I30" s="34"/>
      <c r="J30" s="50"/>
      <c r="K30" s="34"/>
      <c r="L30" s="50"/>
      <c r="M30" s="51"/>
      <c r="N30" s="34"/>
      <c r="O30" s="34"/>
      <c r="P30" s="50"/>
      <c r="Q30" s="34"/>
      <c r="R30" s="60"/>
      <c r="S30" s="52" t="str">
        <f aca="false">IF(A30="","",IF(AND(OR(N30="Complete",N30="Not applicable - justified"),O30&lt;&gt;""),"Yes","No"))</f>
        <v/>
      </c>
      <c r="T30" s="52" t="str">
        <f aca="false">IF(A30="","",IF(AND(S30="No",ISNUMBER(M30),M30&lt;AsOf),"Overdue",""))</f>
        <v/>
      </c>
      <c r="U30" s="54" t="str">
        <f aca="false">IF(A30="","",IF(COUNTIFS(EXT_SUP,B30,EXT_MAND,"&lt;&gt;No",EXT_DONE,"No")&gt;0,"Not ready - "&amp;COUNTIFS(EXT_SUP,B30,EXT_MAND,"&lt;&gt;No",EXT_DONE,"No")&amp;" mandatory action(s) open",IF(SUMPRODUCT(--(COUNTIFS(EXT_SUP,B30,EXT_ITEM,L_ExitItems)=0))&gt;0,"Not ready - "&amp;SUMPRODUCT(--(COUNTIFS(EXT_SUP,B30,EXT_ITEM,L_ExitItems)=0))&amp;" checklist item(s) not yet recorded","Ready for closure review (not a formal approval)")))</f>
        <v/>
      </c>
      <c r="V30" s="54" t="str">
        <f aca="false">IF(A30="","",IF(COUNTIF(EXT_ID,A30)&gt;1,"CHECK: duplicate ID",IF(B30="","CHECK: Supplier ID missing",IF(COUNTIF(INV_ID,B30)=0,"CHECK: Supplier ID not in inventory",IF(AND(H30&lt;&gt;"",COUNTIF(INV_ID,H30)=0),"CHECK: Replacement supplier ID not in inventory",IF(AND(Q30="Closed - approved",OR(LEFT(U30,9)="Not ready",R30="")),"CHECK: closed without readiness or approval reference",IF(AND(Q30="Ready for closure review",LEFT(U30,9)="Not ready"),"CHECK: marked ready but mandatory items open","OK")))))))</f>
        <v/>
      </c>
    </row>
    <row r="31" customFormat="false" ht="15" hidden="false" customHeight="false" outlineLevel="0" collapsed="false">
      <c r="A31" s="50"/>
      <c r="B31" s="50"/>
      <c r="C31" s="59" t="str">
        <f aca="false">IF(B31="","",IFERROR(INDEX(INV_NAME,MATCH(B31,INV_ID,0)),"CHECK: Supplier ID not found"))</f>
        <v/>
      </c>
      <c r="D31" s="34"/>
      <c r="E31" s="34"/>
      <c r="F31" s="51"/>
      <c r="G31" s="34"/>
      <c r="H31" s="50"/>
      <c r="I31" s="34"/>
      <c r="J31" s="50"/>
      <c r="K31" s="34"/>
      <c r="L31" s="50"/>
      <c r="M31" s="51"/>
      <c r="N31" s="34"/>
      <c r="O31" s="34"/>
      <c r="P31" s="50"/>
      <c r="Q31" s="34"/>
      <c r="R31" s="60"/>
      <c r="S31" s="52" t="str">
        <f aca="false">IF(A31="","",IF(AND(OR(N31="Complete",N31="Not applicable - justified"),O31&lt;&gt;""),"Yes","No"))</f>
        <v/>
      </c>
      <c r="T31" s="52" t="str">
        <f aca="false">IF(A31="","",IF(AND(S31="No",ISNUMBER(M31),M31&lt;AsOf),"Overdue",""))</f>
        <v/>
      </c>
      <c r="U31" s="54" t="str">
        <f aca="false">IF(A31="","",IF(COUNTIFS(EXT_SUP,B31,EXT_MAND,"&lt;&gt;No",EXT_DONE,"No")&gt;0,"Not ready - "&amp;COUNTIFS(EXT_SUP,B31,EXT_MAND,"&lt;&gt;No",EXT_DONE,"No")&amp;" mandatory action(s) open",IF(SUMPRODUCT(--(COUNTIFS(EXT_SUP,B31,EXT_ITEM,L_ExitItems)=0))&gt;0,"Not ready - "&amp;SUMPRODUCT(--(COUNTIFS(EXT_SUP,B31,EXT_ITEM,L_ExitItems)=0))&amp;" checklist item(s) not yet recorded","Ready for closure review (not a formal approval)")))</f>
        <v/>
      </c>
      <c r="V31" s="54" t="str">
        <f aca="false">IF(A31="","",IF(COUNTIF(EXT_ID,A31)&gt;1,"CHECK: duplicate ID",IF(B31="","CHECK: Supplier ID missing",IF(COUNTIF(INV_ID,B31)=0,"CHECK: Supplier ID not in inventory",IF(AND(H31&lt;&gt;"",COUNTIF(INV_ID,H31)=0),"CHECK: Replacement supplier ID not in inventory",IF(AND(Q31="Closed - approved",OR(LEFT(U31,9)="Not ready",R31="")),"CHECK: closed without readiness or approval reference",IF(AND(Q31="Ready for closure review",LEFT(U31,9)="Not ready"),"CHECK: marked ready but mandatory items open","OK")))))))</f>
        <v/>
      </c>
    </row>
    <row r="32" customFormat="false" ht="15" hidden="false" customHeight="false" outlineLevel="0" collapsed="false">
      <c r="A32" s="50"/>
      <c r="B32" s="50"/>
      <c r="C32" s="59" t="str">
        <f aca="false">IF(B32="","",IFERROR(INDEX(INV_NAME,MATCH(B32,INV_ID,0)),"CHECK: Supplier ID not found"))</f>
        <v/>
      </c>
      <c r="D32" s="34"/>
      <c r="E32" s="34"/>
      <c r="F32" s="51"/>
      <c r="G32" s="34"/>
      <c r="H32" s="50"/>
      <c r="I32" s="34"/>
      <c r="J32" s="50"/>
      <c r="K32" s="34"/>
      <c r="L32" s="50"/>
      <c r="M32" s="51"/>
      <c r="N32" s="34"/>
      <c r="O32" s="34"/>
      <c r="P32" s="50"/>
      <c r="Q32" s="34"/>
      <c r="R32" s="60"/>
      <c r="S32" s="52" t="str">
        <f aca="false">IF(A32="","",IF(AND(OR(N32="Complete",N32="Not applicable - justified"),O32&lt;&gt;""),"Yes","No"))</f>
        <v/>
      </c>
      <c r="T32" s="52" t="str">
        <f aca="false">IF(A32="","",IF(AND(S32="No",ISNUMBER(M32),M32&lt;AsOf),"Overdue",""))</f>
        <v/>
      </c>
      <c r="U32" s="54" t="str">
        <f aca="false">IF(A32="","",IF(COUNTIFS(EXT_SUP,B32,EXT_MAND,"&lt;&gt;No",EXT_DONE,"No")&gt;0,"Not ready - "&amp;COUNTIFS(EXT_SUP,B32,EXT_MAND,"&lt;&gt;No",EXT_DONE,"No")&amp;" mandatory action(s) open",IF(SUMPRODUCT(--(COUNTIFS(EXT_SUP,B32,EXT_ITEM,L_ExitItems)=0))&gt;0,"Not ready - "&amp;SUMPRODUCT(--(COUNTIFS(EXT_SUP,B32,EXT_ITEM,L_ExitItems)=0))&amp;" checklist item(s) not yet recorded","Ready for closure review (not a formal approval)")))</f>
        <v/>
      </c>
      <c r="V32" s="54" t="str">
        <f aca="false">IF(A32="","",IF(COUNTIF(EXT_ID,A32)&gt;1,"CHECK: duplicate ID",IF(B32="","CHECK: Supplier ID missing",IF(COUNTIF(INV_ID,B32)=0,"CHECK: Supplier ID not in inventory",IF(AND(H32&lt;&gt;"",COUNTIF(INV_ID,H32)=0),"CHECK: Replacement supplier ID not in inventory",IF(AND(Q32="Closed - approved",OR(LEFT(U32,9)="Not ready",R32="")),"CHECK: closed without readiness or approval reference",IF(AND(Q32="Ready for closure review",LEFT(U32,9)="Not ready"),"CHECK: marked ready but mandatory items open","OK")))))))</f>
        <v/>
      </c>
    </row>
    <row r="33" customFormat="false" ht="15" hidden="false" customHeight="false" outlineLevel="0" collapsed="false">
      <c r="A33" s="50"/>
      <c r="B33" s="50"/>
      <c r="C33" s="59" t="str">
        <f aca="false">IF(B33="","",IFERROR(INDEX(INV_NAME,MATCH(B33,INV_ID,0)),"CHECK: Supplier ID not found"))</f>
        <v/>
      </c>
      <c r="D33" s="34"/>
      <c r="E33" s="34"/>
      <c r="F33" s="51"/>
      <c r="G33" s="34"/>
      <c r="H33" s="50"/>
      <c r="I33" s="34"/>
      <c r="J33" s="50"/>
      <c r="K33" s="34"/>
      <c r="L33" s="50"/>
      <c r="M33" s="51"/>
      <c r="N33" s="34"/>
      <c r="O33" s="34"/>
      <c r="P33" s="50"/>
      <c r="Q33" s="34"/>
      <c r="R33" s="60"/>
      <c r="S33" s="52" t="str">
        <f aca="false">IF(A33="","",IF(AND(OR(N33="Complete",N33="Not applicable - justified"),O33&lt;&gt;""),"Yes","No"))</f>
        <v/>
      </c>
      <c r="T33" s="52" t="str">
        <f aca="false">IF(A33="","",IF(AND(S33="No",ISNUMBER(M33),M33&lt;AsOf),"Overdue",""))</f>
        <v/>
      </c>
      <c r="U33" s="54" t="str">
        <f aca="false">IF(A33="","",IF(COUNTIFS(EXT_SUP,B33,EXT_MAND,"&lt;&gt;No",EXT_DONE,"No")&gt;0,"Not ready - "&amp;COUNTIFS(EXT_SUP,B33,EXT_MAND,"&lt;&gt;No",EXT_DONE,"No")&amp;" mandatory action(s) open",IF(SUMPRODUCT(--(COUNTIFS(EXT_SUP,B33,EXT_ITEM,L_ExitItems)=0))&gt;0,"Not ready - "&amp;SUMPRODUCT(--(COUNTIFS(EXT_SUP,B33,EXT_ITEM,L_ExitItems)=0))&amp;" checklist item(s) not yet recorded","Ready for closure review (not a formal approval)")))</f>
        <v/>
      </c>
      <c r="V33" s="54" t="str">
        <f aca="false">IF(A33="","",IF(COUNTIF(EXT_ID,A33)&gt;1,"CHECK: duplicate ID",IF(B33="","CHECK: Supplier ID missing",IF(COUNTIF(INV_ID,B33)=0,"CHECK: Supplier ID not in inventory",IF(AND(H33&lt;&gt;"",COUNTIF(INV_ID,H33)=0),"CHECK: Replacement supplier ID not in inventory",IF(AND(Q33="Closed - approved",OR(LEFT(U33,9)="Not ready",R33="")),"CHECK: closed without readiness or approval reference",IF(AND(Q33="Ready for closure review",LEFT(U33,9)="Not ready"),"CHECK: marked ready but mandatory items open","OK")))))))</f>
        <v/>
      </c>
    </row>
    <row r="34" customFormat="false" ht="15" hidden="false" customHeight="false" outlineLevel="0" collapsed="false">
      <c r="A34" s="50"/>
      <c r="B34" s="50"/>
      <c r="C34" s="59" t="str">
        <f aca="false">IF(B34="","",IFERROR(INDEX(INV_NAME,MATCH(B34,INV_ID,0)),"CHECK: Supplier ID not found"))</f>
        <v/>
      </c>
      <c r="D34" s="34"/>
      <c r="E34" s="34"/>
      <c r="F34" s="51"/>
      <c r="G34" s="34"/>
      <c r="H34" s="50"/>
      <c r="I34" s="34"/>
      <c r="J34" s="50"/>
      <c r="K34" s="34"/>
      <c r="L34" s="50"/>
      <c r="M34" s="51"/>
      <c r="N34" s="34"/>
      <c r="O34" s="34"/>
      <c r="P34" s="50"/>
      <c r="Q34" s="34"/>
      <c r="R34" s="60"/>
      <c r="S34" s="52" t="str">
        <f aca="false">IF(A34="","",IF(AND(OR(N34="Complete",N34="Not applicable - justified"),O34&lt;&gt;""),"Yes","No"))</f>
        <v/>
      </c>
      <c r="T34" s="52" t="str">
        <f aca="false">IF(A34="","",IF(AND(S34="No",ISNUMBER(M34),M34&lt;AsOf),"Overdue",""))</f>
        <v/>
      </c>
      <c r="U34" s="54" t="str">
        <f aca="false">IF(A34="","",IF(COUNTIFS(EXT_SUP,B34,EXT_MAND,"&lt;&gt;No",EXT_DONE,"No")&gt;0,"Not ready - "&amp;COUNTIFS(EXT_SUP,B34,EXT_MAND,"&lt;&gt;No",EXT_DONE,"No")&amp;" mandatory action(s) open",IF(SUMPRODUCT(--(COUNTIFS(EXT_SUP,B34,EXT_ITEM,L_ExitItems)=0))&gt;0,"Not ready - "&amp;SUMPRODUCT(--(COUNTIFS(EXT_SUP,B34,EXT_ITEM,L_ExitItems)=0))&amp;" checklist item(s) not yet recorded","Ready for closure review (not a formal approval)")))</f>
        <v/>
      </c>
      <c r="V34" s="54" t="str">
        <f aca="false">IF(A34="","",IF(COUNTIF(EXT_ID,A34)&gt;1,"CHECK: duplicate ID",IF(B34="","CHECK: Supplier ID missing",IF(COUNTIF(INV_ID,B34)=0,"CHECK: Supplier ID not in inventory",IF(AND(H34&lt;&gt;"",COUNTIF(INV_ID,H34)=0),"CHECK: Replacement supplier ID not in inventory",IF(AND(Q34="Closed - approved",OR(LEFT(U34,9)="Not ready",R34="")),"CHECK: closed without readiness or approval reference",IF(AND(Q34="Ready for closure review",LEFT(U34,9)="Not ready"),"CHECK: marked ready but mandatory items open","OK")))))))</f>
        <v/>
      </c>
    </row>
    <row r="35" customFormat="false" ht="15" hidden="false" customHeight="false" outlineLevel="0" collapsed="false">
      <c r="A35" s="50"/>
      <c r="B35" s="50"/>
      <c r="C35" s="59" t="str">
        <f aca="false">IF(B35="","",IFERROR(INDEX(INV_NAME,MATCH(B35,INV_ID,0)),"CHECK: Supplier ID not found"))</f>
        <v/>
      </c>
      <c r="D35" s="34"/>
      <c r="E35" s="34"/>
      <c r="F35" s="51"/>
      <c r="G35" s="34"/>
      <c r="H35" s="50"/>
      <c r="I35" s="34"/>
      <c r="J35" s="50"/>
      <c r="K35" s="34"/>
      <c r="L35" s="50"/>
      <c r="M35" s="51"/>
      <c r="N35" s="34"/>
      <c r="O35" s="34"/>
      <c r="P35" s="50"/>
      <c r="Q35" s="34"/>
      <c r="R35" s="60"/>
      <c r="S35" s="52" t="str">
        <f aca="false">IF(A35="","",IF(AND(OR(N35="Complete",N35="Not applicable - justified"),O35&lt;&gt;""),"Yes","No"))</f>
        <v/>
      </c>
      <c r="T35" s="52" t="str">
        <f aca="false">IF(A35="","",IF(AND(S35="No",ISNUMBER(M35),M35&lt;AsOf),"Overdue",""))</f>
        <v/>
      </c>
      <c r="U35" s="54" t="str">
        <f aca="false">IF(A35="","",IF(COUNTIFS(EXT_SUP,B35,EXT_MAND,"&lt;&gt;No",EXT_DONE,"No")&gt;0,"Not ready - "&amp;COUNTIFS(EXT_SUP,B35,EXT_MAND,"&lt;&gt;No",EXT_DONE,"No")&amp;" mandatory action(s) open",IF(SUMPRODUCT(--(COUNTIFS(EXT_SUP,B35,EXT_ITEM,L_ExitItems)=0))&gt;0,"Not ready - "&amp;SUMPRODUCT(--(COUNTIFS(EXT_SUP,B35,EXT_ITEM,L_ExitItems)=0))&amp;" checklist item(s) not yet recorded","Ready for closure review (not a formal approval)")))</f>
        <v/>
      </c>
      <c r="V35" s="54" t="str">
        <f aca="false">IF(A35="","",IF(COUNTIF(EXT_ID,A35)&gt;1,"CHECK: duplicate ID",IF(B35="","CHECK: Supplier ID missing",IF(COUNTIF(INV_ID,B35)=0,"CHECK: Supplier ID not in inventory",IF(AND(H35&lt;&gt;"",COUNTIF(INV_ID,H35)=0),"CHECK: Replacement supplier ID not in inventory",IF(AND(Q35="Closed - approved",OR(LEFT(U35,9)="Not ready",R35="")),"CHECK: closed without readiness or approval reference",IF(AND(Q35="Ready for closure review",LEFT(U35,9)="Not ready"),"CHECK: marked ready but mandatory items open","OK")))))))</f>
        <v/>
      </c>
    </row>
    <row r="36" customFormat="false" ht="15" hidden="false" customHeight="false" outlineLevel="0" collapsed="false">
      <c r="A36" s="50"/>
      <c r="B36" s="50"/>
      <c r="C36" s="59" t="str">
        <f aca="false">IF(B36="","",IFERROR(INDEX(INV_NAME,MATCH(B36,INV_ID,0)),"CHECK: Supplier ID not found"))</f>
        <v/>
      </c>
      <c r="D36" s="34"/>
      <c r="E36" s="34"/>
      <c r="F36" s="51"/>
      <c r="G36" s="34"/>
      <c r="H36" s="50"/>
      <c r="I36" s="34"/>
      <c r="J36" s="50"/>
      <c r="K36" s="34"/>
      <c r="L36" s="50"/>
      <c r="M36" s="51"/>
      <c r="N36" s="34"/>
      <c r="O36" s="34"/>
      <c r="P36" s="50"/>
      <c r="Q36" s="34"/>
      <c r="R36" s="60"/>
      <c r="S36" s="52" t="str">
        <f aca="false">IF(A36="","",IF(AND(OR(N36="Complete",N36="Not applicable - justified"),O36&lt;&gt;""),"Yes","No"))</f>
        <v/>
      </c>
      <c r="T36" s="52" t="str">
        <f aca="false">IF(A36="","",IF(AND(S36="No",ISNUMBER(M36),M36&lt;AsOf),"Overdue",""))</f>
        <v/>
      </c>
      <c r="U36" s="54" t="str">
        <f aca="false">IF(A36="","",IF(COUNTIFS(EXT_SUP,B36,EXT_MAND,"&lt;&gt;No",EXT_DONE,"No")&gt;0,"Not ready - "&amp;COUNTIFS(EXT_SUP,B36,EXT_MAND,"&lt;&gt;No",EXT_DONE,"No")&amp;" mandatory action(s) open",IF(SUMPRODUCT(--(COUNTIFS(EXT_SUP,B36,EXT_ITEM,L_ExitItems)=0))&gt;0,"Not ready - "&amp;SUMPRODUCT(--(COUNTIFS(EXT_SUP,B36,EXT_ITEM,L_ExitItems)=0))&amp;" checklist item(s) not yet recorded","Ready for closure review (not a formal approval)")))</f>
        <v/>
      </c>
      <c r="V36" s="54" t="str">
        <f aca="false">IF(A36="","",IF(COUNTIF(EXT_ID,A36)&gt;1,"CHECK: duplicate ID",IF(B36="","CHECK: Supplier ID missing",IF(COUNTIF(INV_ID,B36)=0,"CHECK: Supplier ID not in inventory",IF(AND(H36&lt;&gt;"",COUNTIF(INV_ID,H36)=0),"CHECK: Replacement supplier ID not in inventory",IF(AND(Q36="Closed - approved",OR(LEFT(U36,9)="Not ready",R36="")),"CHECK: closed without readiness or approval reference",IF(AND(Q36="Ready for closure review",LEFT(U36,9)="Not ready"),"CHECK: marked ready but mandatory items open","OK")))))))</f>
        <v/>
      </c>
    </row>
    <row r="37" customFormat="false" ht="15" hidden="false" customHeight="false" outlineLevel="0" collapsed="false">
      <c r="A37" s="50"/>
      <c r="B37" s="50"/>
      <c r="C37" s="59" t="str">
        <f aca="false">IF(B37="","",IFERROR(INDEX(INV_NAME,MATCH(B37,INV_ID,0)),"CHECK: Supplier ID not found"))</f>
        <v/>
      </c>
      <c r="D37" s="34"/>
      <c r="E37" s="34"/>
      <c r="F37" s="51"/>
      <c r="G37" s="34"/>
      <c r="H37" s="50"/>
      <c r="I37" s="34"/>
      <c r="J37" s="50"/>
      <c r="K37" s="34"/>
      <c r="L37" s="50"/>
      <c r="M37" s="51"/>
      <c r="N37" s="34"/>
      <c r="O37" s="34"/>
      <c r="P37" s="50"/>
      <c r="Q37" s="34"/>
      <c r="R37" s="60"/>
      <c r="S37" s="52" t="str">
        <f aca="false">IF(A37="","",IF(AND(OR(N37="Complete",N37="Not applicable - justified"),O37&lt;&gt;""),"Yes","No"))</f>
        <v/>
      </c>
      <c r="T37" s="52" t="str">
        <f aca="false">IF(A37="","",IF(AND(S37="No",ISNUMBER(M37),M37&lt;AsOf),"Overdue",""))</f>
        <v/>
      </c>
      <c r="U37" s="54" t="str">
        <f aca="false">IF(A37="","",IF(COUNTIFS(EXT_SUP,B37,EXT_MAND,"&lt;&gt;No",EXT_DONE,"No")&gt;0,"Not ready - "&amp;COUNTIFS(EXT_SUP,B37,EXT_MAND,"&lt;&gt;No",EXT_DONE,"No")&amp;" mandatory action(s) open",IF(SUMPRODUCT(--(COUNTIFS(EXT_SUP,B37,EXT_ITEM,L_ExitItems)=0))&gt;0,"Not ready - "&amp;SUMPRODUCT(--(COUNTIFS(EXT_SUP,B37,EXT_ITEM,L_ExitItems)=0))&amp;" checklist item(s) not yet recorded","Ready for closure review (not a formal approval)")))</f>
        <v/>
      </c>
      <c r="V37" s="54" t="str">
        <f aca="false">IF(A37="","",IF(COUNTIF(EXT_ID,A37)&gt;1,"CHECK: duplicate ID",IF(B37="","CHECK: Supplier ID missing",IF(COUNTIF(INV_ID,B37)=0,"CHECK: Supplier ID not in inventory",IF(AND(H37&lt;&gt;"",COUNTIF(INV_ID,H37)=0),"CHECK: Replacement supplier ID not in inventory",IF(AND(Q37="Closed - approved",OR(LEFT(U37,9)="Not ready",R37="")),"CHECK: closed without readiness or approval reference",IF(AND(Q37="Ready for closure review",LEFT(U37,9)="Not ready"),"CHECK: marked ready but mandatory items open","OK")))))))</f>
        <v/>
      </c>
    </row>
    <row r="38" customFormat="false" ht="15" hidden="false" customHeight="false" outlineLevel="0" collapsed="false">
      <c r="A38" s="50"/>
      <c r="B38" s="50"/>
      <c r="C38" s="59" t="str">
        <f aca="false">IF(B38="","",IFERROR(INDEX(INV_NAME,MATCH(B38,INV_ID,0)),"CHECK: Supplier ID not found"))</f>
        <v/>
      </c>
      <c r="D38" s="34"/>
      <c r="E38" s="34"/>
      <c r="F38" s="51"/>
      <c r="G38" s="34"/>
      <c r="H38" s="50"/>
      <c r="I38" s="34"/>
      <c r="J38" s="50"/>
      <c r="K38" s="34"/>
      <c r="L38" s="50"/>
      <c r="M38" s="51"/>
      <c r="N38" s="34"/>
      <c r="O38" s="34"/>
      <c r="P38" s="50"/>
      <c r="Q38" s="34"/>
      <c r="R38" s="60"/>
      <c r="S38" s="52" t="str">
        <f aca="false">IF(A38="","",IF(AND(OR(N38="Complete",N38="Not applicable - justified"),O38&lt;&gt;""),"Yes","No"))</f>
        <v/>
      </c>
      <c r="T38" s="52" t="str">
        <f aca="false">IF(A38="","",IF(AND(S38="No",ISNUMBER(M38),M38&lt;AsOf),"Overdue",""))</f>
        <v/>
      </c>
      <c r="U38" s="54" t="str">
        <f aca="false">IF(A38="","",IF(COUNTIFS(EXT_SUP,B38,EXT_MAND,"&lt;&gt;No",EXT_DONE,"No")&gt;0,"Not ready - "&amp;COUNTIFS(EXT_SUP,B38,EXT_MAND,"&lt;&gt;No",EXT_DONE,"No")&amp;" mandatory action(s) open",IF(SUMPRODUCT(--(COUNTIFS(EXT_SUP,B38,EXT_ITEM,L_ExitItems)=0))&gt;0,"Not ready - "&amp;SUMPRODUCT(--(COUNTIFS(EXT_SUP,B38,EXT_ITEM,L_ExitItems)=0))&amp;" checklist item(s) not yet recorded","Ready for closure review (not a formal approval)")))</f>
        <v/>
      </c>
      <c r="V38" s="54" t="str">
        <f aca="false">IF(A38="","",IF(COUNTIF(EXT_ID,A38)&gt;1,"CHECK: duplicate ID",IF(B38="","CHECK: Supplier ID missing",IF(COUNTIF(INV_ID,B38)=0,"CHECK: Supplier ID not in inventory",IF(AND(H38&lt;&gt;"",COUNTIF(INV_ID,H38)=0),"CHECK: Replacement supplier ID not in inventory",IF(AND(Q38="Closed - approved",OR(LEFT(U38,9)="Not ready",R38="")),"CHECK: closed without readiness or approval reference",IF(AND(Q38="Ready for closure review",LEFT(U38,9)="Not ready"),"CHECK: marked ready but mandatory items open","OK")))))))</f>
        <v/>
      </c>
    </row>
    <row r="39" customFormat="false" ht="15" hidden="false" customHeight="false" outlineLevel="0" collapsed="false">
      <c r="A39" s="50"/>
      <c r="B39" s="50"/>
      <c r="C39" s="59" t="str">
        <f aca="false">IF(B39="","",IFERROR(INDEX(INV_NAME,MATCH(B39,INV_ID,0)),"CHECK: Supplier ID not found"))</f>
        <v/>
      </c>
      <c r="D39" s="34"/>
      <c r="E39" s="34"/>
      <c r="F39" s="51"/>
      <c r="G39" s="34"/>
      <c r="H39" s="50"/>
      <c r="I39" s="34"/>
      <c r="J39" s="50"/>
      <c r="K39" s="34"/>
      <c r="L39" s="50"/>
      <c r="M39" s="51"/>
      <c r="N39" s="34"/>
      <c r="O39" s="34"/>
      <c r="P39" s="50"/>
      <c r="Q39" s="34"/>
      <c r="R39" s="60"/>
      <c r="S39" s="52" t="str">
        <f aca="false">IF(A39="","",IF(AND(OR(N39="Complete",N39="Not applicable - justified"),O39&lt;&gt;""),"Yes","No"))</f>
        <v/>
      </c>
      <c r="T39" s="52" t="str">
        <f aca="false">IF(A39="","",IF(AND(S39="No",ISNUMBER(M39),M39&lt;AsOf),"Overdue",""))</f>
        <v/>
      </c>
      <c r="U39" s="54" t="str">
        <f aca="false">IF(A39="","",IF(COUNTIFS(EXT_SUP,B39,EXT_MAND,"&lt;&gt;No",EXT_DONE,"No")&gt;0,"Not ready - "&amp;COUNTIFS(EXT_SUP,B39,EXT_MAND,"&lt;&gt;No",EXT_DONE,"No")&amp;" mandatory action(s) open",IF(SUMPRODUCT(--(COUNTIFS(EXT_SUP,B39,EXT_ITEM,L_ExitItems)=0))&gt;0,"Not ready - "&amp;SUMPRODUCT(--(COUNTIFS(EXT_SUP,B39,EXT_ITEM,L_ExitItems)=0))&amp;" checklist item(s) not yet recorded","Ready for closure review (not a formal approval)")))</f>
        <v/>
      </c>
      <c r="V39" s="54" t="str">
        <f aca="false">IF(A39="","",IF(COUNTIF(EXT_ID,A39)&gt;1,"CHECK: duplicate ID",IF(B39="","CHECK: Supplier ID missing",IF(COUNTIF(INV_ID,B39)=0,"CHECK: Supplier ID not in inventory",IF(AND(H39&lt;&gt;"",COUNTIF(INV_ID,H39)=0),"CHECK: Replacement supplier ID not in inventory",IF(AND(Q39="Closed - approved",OR(LEFT(U39,9)="Not ready",R39="")),"CHECK: closed without readiness or approval reference",IF(AND(Q39="Ready for closure review",LEFT(U39,9)="Not ready"),"CHECK: marked ready but mandatory items open","OK")))))))</f>
        <v/>
      </c>
    </row>
    <row r="40" customFormat="false" ht="15" hidden="false" customHeight="false" outlineLevel="0" collapsed="false">
      <c r="A40" s="50"/>
      <c r="B40" s="50"/>
      <c r="C40" s="59" t="str">
        <f aca="false">IF(B40="","",IFERROR(INDEX(INV_NAME,MATCH(B40,INV_ID,0)),"CHECK: Supplier ID not found"))</f>
        <v/>
      </c>
      <c r="D40" s="34"/>
      <c r="E40" s="34"/>
      <c r="F40" s="51"/>
      <c r="G40" s="34"/>
      <c r="H40" s="50"/>
      <c r="I40" s="34"/>
      <c r="J40" s="50"/>
      <c r="K40" s="34"/>
      <c r="L40" s="50"/>
      <c r="M40" s="51"/>
      <c r="N40" s="34"/>
      <c r="O40" s="34"/>
      <c r="P40" s="50"/>
      <c r="Q40" s="34"/>
      <c r="R40" s="60"/>
      <c r="S40" s="52" t="str">
        <f aca="false">IF(A40="","",IF(AND(OR(N40="Complete",N40="Not applicable - justified"),O40&lt;&gt;""),"Yes","No"))</f>
        <v/>
      </c>
      <c r="T40" s="52" t="str">
        <f aca="false">IF(A40="","",IF(AND(S40="No",ISNUMBER(M40),M40&lt;AsOf),"Overdue",""))</f>
        <v/>
      </c>
      <c r="U40" s="54" t="str">
        <f aca="false">IF(A40="","",IF(COUNTIFS(EXT_SUP,B40,EXT_MAND,"&lt;&gt;No",EXT_DONE,"No")&gt;0,"Not ready - "&amp;COUNTIFS(EXT_SUP,B40,EXT_MAND,"&lt;&gt;No",EXT_DONE,"No")&amp;" mandatory action(s) open",IF(SUMPRODUCT(--(COUNTIFS(EXT_SUP,B40,EXT_ITEM,L_ExitItems)=0))&gt;0,"Not ready - "&amp;SUMPRODUCT(--(COUNTIFS(EXT_SUP,B40,EXT_ITEM,L_ExitItems)=0))&amp;" checklist item(s) not yet recorded","Ready for closure review (not a formal approval)")))</f>
        <v/>
      </c>
      <c r="V40" s="54" t="str">
        <f aca="false">IF(A40="","",IF(COUNTIF(EXT_ID,A40)&gt;1,"CHECK: duplicate ID",IF(B40="","CHECK: Supplier ID missing",IF(COUNTIF(INV_ID,B40)=0,"CHECK: Supplier ID not in inventory",IF(AND(H40&lt;&gt;"",COUNTIF(INV_ID,H40)=0),"CHECK: Replacement supplier ID not in inventory",IF(AND(Q40="Closed - approved",OR(LEFT(U40,9)="Not ready",R40="")),"CHECK: closed without readiness or approval reference",IF(AND(Q40="Ready for closure review",LEFT(U40,9)="Not ready"),"CHECK: marked ready but mandatory items open","OK")))))))</f>
        <v/>
      </c>
    </row>
    <row r="41" customFormat="false" ht="15" hidden="false" customHeight="false" outlineLevel="0" collapsed="false">
      <c r="A41" s="50"/>
      <c r="B41" s="50"/>
      <c r="C41" s="59" t="str">
        <f aca="false">IF(B41="","",IFERROR(INDEX(INV_NAME,MATCH(B41,INV_ID,0)),"CHECK: Supplier ID not found"))</f>
        <v/>
      </c>
      <c r="D41" s="34"/>
      <c r="E41" s="34"/>
      <c r="F41" s="51"/>
      <c r="G41" s="34"/>
      <c r="H41" s="50"/>
      <c r="I41" s="34"/>
      <c r="J41" s="50"/>
      <c r="K41" s="34"/>
      <c r="L41" s="50"/>
      <c r="M41" s="51"/>
      <c r="N41" s="34"/>
      <c r="O41" s="34"/>
      <c r="P41" s="50"/>
      <c r="Q41" s="34"/>
      <c r="R41" s="60"/>
      <c r="S41" s="52" t="str">
        <f aca="false">IF(A41="","",IF(AND(OR(N41="Complete",N41="Not applicable - justified"),O41&lt;&gt;""),"Yes","No"))</f>
        <v/>
      </c>
      <c r="T41" s="52" t="str">
        <f aca="false">IF(A41="","",IF(AND(S41="No",ISNUMBER(M41),M41&lt;AsOf),"Overdue",""))</f>
        <v/>
      </c>
      <c r="U41" s="54" t="str">
        <f aca="false">IF(A41="","",IF(COUNTIFS(EXT_SUP,B41,EXT_MAND,"&lt;&gt;No",EXT_DONE,"No")&gt;0,"Not ready - "&amp;COUNTIFS(EXT_SUP,B41,EXT_MAND,"&lt;&gt;No",EXT_DONE,"No")&amp;" mandatory action(s) open",IF(SUMPRODUCT(--(COUNTIFS(EXT_SUP,B41,EXT_ITEM,L_ExitItems)=0))&gt;0,"Not ready - "&amp;SUMPRODUCT(--(COUNTIFS(EXT_SUP,B41,EXT_ITEM,L_ExitItems)=0))&amp;" checklist item(s) not yet recorded","Ready for closure review (not a formal approval)")))</f>
        <v/>
      </c>
      <c r="V41" s="54" t="str">
        <f aca="false">IF(A41="","",IF(COUNTIF(EXT_ID,A41)&gt;1,"CHECK: duplicate ID",IF(B41="","CHECK: Supplier ID missing",IF(COUNTIF(INV_ID,B41)=0,"CHECK: Supplier ID not in inventory",IF(AND(H41&lt;&gt;"",COUNTIF(INV_ID,H41)=0),"CHECK: Replacement supplier ID not in inventory",IF(AND(Q41="Closed - approved",OR(LEFT(U41,9)="Not ready",R41="")),"CHECK: closed without readiness or approval reference",IF(AND(Q41="Ready for closure review",LEFT(U41,9)="Not ready"),"CHECK: marked ready but mandatory items open","OK")))))))</f>
        <v/>
      </c>
    </row>
    <row r="42" customFormat="false" ht="15" hidden="false" customHeight="false" outlineLevel="0" collapsed="false">
      <c r="A42" s="50"/>
      <c r="B42" s="50"/>
      <c r="C42" s="59" t="str">
        <f aca="false">IF(B42="","",IFERROR(INDEX(INV_NAME,MATCH(B42,INV_ID,0)),"CHECK: Supplier ID not found"))</f>
        <v/>
      </c>
      <c r="D42" s="34"/>
      <c r="E42" s="34"/>
      <c r="F42" s="51"/>
      <c r="G42" s="34"/>
      <c r="H42" s="50"/>
      <c r="I42" s="34"/>
      <c r="J42" s="50"/>
      <c r="K42" s="34"/>
      <c r="L42" s="50"/>
      <c r="M42" s="51"/>
      <c r="N42" s="34"/>
      <c r="O42" s="34"/>
      <c r="P42" s="50"/>
      <c r="Q42" s="34"/>
      <c r="R42" s="60"/>
      <c r="S42" s="52" t="str">
        <f aca="false">IF(A42="","",IF(AND(OR(N42="Complete",N42="Not applicable - justified"),O42&lt;&gt;""),"Yes","No"))</f>
        <v/>
      </c>
      <c r="T42" s="52" t="str">
        <f aca="false">IF(A42="","",IF(AND(S42="No",ISNUMBER(M42),M42&lt;AsOf),"Overdue",""))</f>
        <v/>
      </c>
      <c r="U42" s="54" t="str">
        <f aca="false">IF(A42="","",IF(COUNTIFS(EXT_SUP,B42,EXT_MAND,"&lt;&gt;No",EXT_DONE,"No")&gt;0,"Not ready - "&amp;COUNTIFS(EXT_SUP,B42,EXT_MAND,"&lt;&gt;No",EXT_DONE,"No")&amp;" mandatory action(s) open",IF(SUMPRODUCT(--(COUNTIFS(EXT_SUP,B42,EXT_ITEM,L_ExitItems)=0))&gt;0,"Not ready - "&amp;SUMPRODUCT(--(COUNTIFS(EXT_SUP,B42,EXT_ITEM,L_ExitItems)=0))&amp;" checklist item(s) not yet recorded","Ready for closure review (not a formal approval)")))</f>
        <v/>
      </c>
      <c r="V42" s="54" t="str">
        <f aca="false">IF(A42="","",IF(COUNTIF(EXT_ID,A42)&gt;1,"CHECK: duplicate ID",IF(B42="","CHECK: Supplier ID missing",IF(COUNTIF(INV_ID,B42)=0,"CHECK: Supplier ID not in inventory",IF(AND(H42&lt;&gt;"",COUNTIF(INV_ID,H42)=0),"CHECK: Replacement supplier ID not in inventory",IF(AND(Q42="Closed - approved",OR(LEFT(U42,9)="Not ready",R42="")),"CHECK: closed without readiness or approval reference",IF(AND(Q42="Ready for closure review",LEFT(U42,9)="Not ready"),"CHECK: marked ready but mandatory items open","OK")))))))</f>
        <v/>
      </c>
    </row>
    <row r="43" customFormat="false" ht="15" hidden="false" customHeight="false" outlineLevel="0" collapsed="false">
      <c r="A43" s="50"/>
      <c r="B43" s="50"/>
      <c r="C43" s="59" t="str">
        <f aca="false">IF(B43="","",IFERROR(INDEX(INV_NAME,MATCH(B43,INV_ID,0)),"CHECK: Supplier ID not found"))</f>
        <v/>
      </c>
      <c r="D43" s="34"/>
      <c r="E43" s="34"/>
      <c r="F43" s="51"/>
      <c r="G43" s="34"/>
      <c r="H43" s="50"/>
      <c r="I43" s="34"/>
      <c r="J43" s="50"/>
      <c r="K43" s="34"/>
      <c r="L43" s="50"/>
      <c r="M43" s="51"/>
      <c r="N43" s="34"/>
      <c r="O43" s="34"/>
      <c r="P43" s="50"/>
      <c r="Q43" s="34"/>
      <c r="R43" s="60"/>
      <c r="S43" s="52" t="str">
        <f aca="false">IF(A43="","",IF(AND(OR(N43="Complete",N43="Not applicable - justified"),O43&lt;&gt;""),"Yes","No"))</f>
        <v/>
      </c>
      <c r="T43" s="52" t="str">
        <f aca="false">IF(A43="","",IF(AND(S43="No",ISNUMBER(M43),M43&lt;AsOf),"Overdue",""))</f>
        <v/>
      </c>
      <c r="U43" s="54" t="str">
        <f aca="false">IF(A43="","",IF(COUNTIFS(EXT_SUP,B43,EXT_MAND,"&lt;&gt;No",EXT_DONE,"No")&gt;0,"Not ready - "&amp;COUNTIFS(EXT_SUP,B43,EXT_MAND,"&lt;&gt;No",EXT_DONE,"No")&amp;" mandatory action(s) open",IF(SUMPRODUCT(--(COUNTIFS(EXT_SUP,B43,EXT_ITEM,L_ExitItems)=0))&gt;0,"Not ready - "&amp;SUMPRODUCT(--(COUNTIFS(EXT_SUP,B43,EXT_ITEM,L_ExitItems)=0))&amp;" checklist item(s) not yet recorded","Ready for closure review (not a formal approval)")))</f>
        <v/>
      </c>
      <c r="V43" s="54" t="str">
        <f aca="false">IF(A43="","",IF(COUNTIF(EXT_ID,A43)&gt;1,"CHECK: duplicate ID",IF(B43="","CHECK: Supplier ID missing",IF(COUNTIF(INV_ID,B43)=0,"CHECK: Supplier ID not in inventory",IF(AND(H43&lt;&gt;"",COUNTIF(INV_ID,H43)=0),"CHECK: Replacement supplier ID not in inventory",IF(AND(Q43="Closed - approved",OR(LEFT(U43,9)="Not ready",R43="")),"CHECK: closed without readiness or approval reference",IF(AND(Q43="Ready for closure review",LEFT(U43,9)="Not ready"),"CHECK: marked ready but mandatory items open","OK")))))))</f>
        <v/>
      </c>
    </row>
    <row r="44" customFormat="false" ht="15" hidden="false" customHeight="false" outlineLevel="0" collapsed="false">
      <c r="A44" s="50"/>
      <c r="B44" s="50"/>
      <c r="C44" s="59" t="str">
        <f aca="false">IF(B44="","",IFERROR(INDEX(INV_NAME,MATCH(B44,INV_ID,0)),"CHECK: Supplier ID not found"))</f>
        <v/>
      </c>
      <c r="D44" s="34"/>
      <c r="E44" s="34"/>
      <c r="F44" s="51"/>
      <c r="G44" s="34"/>
      <c r="H44" s="50"/>
      <c r="I44" s="34"/>
      <c r="J44" s="50"/>
      <c r="K44" s="34"/>
      <c r="L44" s="50"/>
      <c r="M44" s="51"/>
      <c r="N44" s="34"/>
      <c r="O44" s="34"/>
      <c r="P44" s="50"/>
      <c r="Q44" s="34"/>
      <c r="R44" s="60"/>
      <c r="S44" s="52" t="str">
        <f aca="false">IF(A44="","",IF(AND(OR(N44="Complete",N44="Not applicable - justified"),O44&lt;&gt;""),"Yes","No"))</f>
        <v/>
      </c>
      <c r="T44" s="52" t="str">
        <f aca="false">IF(A44="","",IF(AND(S44="No",ISNUMBER(M44),M44&lt;AsOf),"Overdue",""))</f>
        <v/>
      </c>
      <c r="U44" s="54" t="str">
        <f aca="false">IF(A44="","",IF(COUNTIFS(EXT_SUP,B44,EXT_MAND,"&lt;&gt;No",EXT_DONE,"No")&gt;0,"Not ready - "&amp;COUNTIFS(EXT_SUP,B44,EXT_MAND,"&lt;&gt;No",EXT_DONE,"No")&amp;" mandatory action(s) open",IF(SUMPRODUCT(--(COUNTIFS(EXT_SUP,B44,EXT_ITEM,L_ExitItems)=0))&gt;0,"Not ready - "&amp;SUMPRODUCT(--(COUNTIFS(EXT_SUP,B44,EXT_ITEM,L_ExitItems)=0))&amp;" checklist item(s) not yet recorded","Ready for closure review (not a formal approval)")))</f>
        <v/>
      </c>
      <c r="V44" s="54" t="str">
        <f aca="false">IF(A44="","",IF(COUNTIF(EXT_ID,A44)&gt;1,"CHECK: duplicate ID",IF(B44="","CHECK: Supplier ID missing",IF(COUNTIF(INV_ID,B44)=0,"CHECK: Supplier ID not in inventory",IF(AND(H44&lt;&gt;"",COUNTIF(INV_ID,H44)=0),"CHECK: Replacement supplier ID not in inventory",IF(AND(Q44="Closed - approved",OR(LEFT(U44,9)="Not ready",R44="")),"CHECK: closed without readiness or approval reference",IF(AND(Q44="Ready for closure review",LEFT(U44,9)="Not ready"),"CHECK: marked ready but mandatory items open","OK")))))))</f>
        <v/>
      </c>
    </row>
    <row r="45" customFormat="false" ht="15" hidden="false" customHeight="false" outlineLevel="0" collapsed="false">
      <c r="A45" s="50"/>
      <c r="B45" s="50"/>
      <c r="C45" s="59" t="str">
        <f aca="false">IF(B45="","",IFERROR(INDEX(INV_NAME,MATCH(B45,INV_ID,0)),"CHECK: Supplier ID not found"))</f>
        <v/>
      </c>
      <c r="D45" s="34"/>
      <c r="E45" s="34"/>
      <c r="F45" s="51"/>
      <c r="G45" s="34"/>
      <c r="H45" s="50"/>
      <c r="I45" s="34"/>
      <c r="J45" s="50"/>
      <c r="K45" s="34"/>
      <c r="L45" s="50"/>
      <c r="M45" s="51"/>
      <c r="N45" s="34"/>
      <c r="O45" s="34"/>
      <c r="P45" s="50"/>
      <c r="Q45" s="34"/>
      <c r="R45" s="60"/>
      <c r="S45" s="52" t="str">
        <f aca="false">IF(A45="","",IF(AND(OR(N45="Complete",N45="Not applicable - justified"),O45&lt;&gt;""),"Yes","No"))</f>
        <v/>
      </c>
      <c r="T45" s="52" t="str">
        <f aca="false">IF(A45="","",IF(AND(S45="No",ISNUMBER(M45),M45&lt;AsOf),"Overdue",""))</f>
        <v/>
      </c>
      <c r="U45" s="54" t="str">
        <f aca="false">IF(A45="","",IF(COUNTIFS(EXT_SUP,B45,EXT_MAND,"&lt;&gt;No",EXT_DONE,"No")&gt;0,"Not ready - "&amp;COUNTIFS(EXT_SUP,B45,EXT_MAND,"&lt;&gt;No",EXT_DONE,"No")&amp;" mandatory action(s) open",IF(SUMPRODUCT(--(COUNTIFS(EXT_SUP,B45,EXT_ITEM,L_ExitItems)=0))&gt;0,"Not ready - "&amp;SUMPRODUCT(--(COUNTIFS(EXT_SUP,B45,EXT_ITEM,L_ExitItems)=0))&amp;" checklist item(s) not yet recorded","Ready for closure review (not a formal approval)")))</f>
        <v/>
      </c>
      <c r="V45" s="54" t="str">
        <f aca="false">IF(A45="","",IF(COUNTIF(EXT_ID,A45)&gt;1,"CHECK: duplicate ID",IF(B45="","CHECK: Supplier ID missing",IF(COUNTIF(INV_ID,B45)=0,"CHECK: Supplier ID not in inventory",IF(AND(H45&lt;&gt;"",COUNTIF(INV_ID,H45)=0),"CHECK: Replacement supplier ID not in inventory",IF(AND(Q45="Closed - approved",OR(LEFT(U45,9)="Not ready",R45="")),"CHECK: closed without readiness or approval reference",IF(AND(Q45="Ready for closure review",LEFT(U45,9)="Not ready"),"CHECK: marked ready but mandatory items open","OK")))))))</f>
        <v/>
      </c>
    </row>
    <row r="46" customFormat="false" ht="15" hidden="false" customHeight="false" outlineLevel="0" collapsed="false">
      <c r="A46" s="50"/>
      <c r="B46" s="50"/>
      <c r="C46" s="59" t="str">
        <f aca="false">IF(B46="","",IFERROR(INDEX(INV_NAME,MATCH(B46,INV_ID,0)),"CHECK: Supplier ID not found"))</f>
        <v/>
      </c>
      <c r="D46" s="34"/>
      <c r="E46" s="34"/>
      <c r="F46" s="51"/>
      <c r="G46" s="34"/>
      <c r="H46" s="50"/>
      <c r="I46" s="34"/>
      <c r="J46" s="50"/>
      <c r="K46" s="34"/>
      <c r="L46" s="50"/>
      <c r="M46" s="51"/>
      <c r="N46" s="34"/>
      <c r="O46" s="34"/>
      <c r="P46" s="50"/>
      <c r="Q46" s="34"/>
      <c r="R46" s="60"/>
      <c r="S46" s="52" t="str">
        <f aca="false">IF(A46="","",IF(AND(OR(N46="Complete",N46="Not applicable - justified"),O46&lt;&gt;""),"Yes","No"))</f>
        <v/>
      </c>
      <c r="T46" s="52" t="str">
        <f aca="false">IF(A46="","",IF(AND(S46="No",ISNUMBER(M46),M46&lt;AsOf),"Overdue",""))</f>
        <v/>
      </c>
      <c r="U46" s="54" t="str">
        <f aca="false">IF(A46="","",IF(COUNTIFS(EXT_SUP,B46,EXT_MAND,"&lt;&gt;No",EXT_DONE,"No")&gt;0,"Not ready - "&amp;COUNTIFS(EXT_SUP,B46,EXT_MAND,"&lt;&gt;No",EXT_DONE,"No")&amp;" mandatory action(s) open",IF(SUMPRODUCT(--(COUNTIFS(EXT_SUP,B46,EXT_ITEM,L_ExitItems)=0))&gt;0,"Not ready - "&amp;SUMPRODUCT(--(COUNTIFS(EXT_SUP,B46,EXT_ITEM,L_ExitItems)=0))&amp;" checklist item(s) not yet recorded","Ready for closure review (not a formal approval)")))</f>
        <v/>
      </c>
      <c r="V46" s="54" t="str">
        <f aca="false">IF(A46="","",IF(COUNTIF(EXT_ID,A46)&gt;1,"CHECK: duplicate ID",IF(B46="","CHECK: Supplier ID missing",IF(COUNTIF(INV_ID,B46)=0,"CHECK: Supplier ID not in inventory",IF(AND(H46&lt;&gt;"",COUNTIF(INV_ID,H46)=0),"CHECK: Replacement supplier ID not in inventory",IF(AND(Q46="Closed - approved",OR(LEFT(U46,9)="Not ready",R46="")),"CHECK: closed without readiness or approval reference",IF(AND(Q46="Ready for closure review",LEFT(U46,9)="Not ready"),"CHECK: marked ready but mandatory items open","OK")))))))</f>
        <v/>
      </c>
    </row>
    <row r="47" customFormat="false" ht="15" hidden="false" customHeight="false" outlineLevel="0" collapsed="false">
      <c r="A47" s="50"/>
      <c r="B47" s="50"/>
      <c r="C47" s="59" t="str">
        <f aca="false">IF(B47="","",IFERROR(INDEX(INV_NAME,MATCH(B47,INV_ID,0)),"CHECK: Supplier ID not found"))</f>
        <v/>
      </c>
      <c r="D47" s="34"/>
      <c r="E47" s="34"/>
      <c r="F47" s="51"/>
      <c r="G47" s="34"/>
      <c r="H47" s="50"/>
      <c r="I47" s="34"/>
      <c r="J47" s="50"/>
      <c r="K47" s="34"/>
      <c r="L47" s="50"/>
      <c r="M47" s="51"/>
      <c r="N47" s="34"/>
      <c r="O47" s="34"/>
      <c r="P47" s="50"/>
      <c r="Q47" s="34"/>
      <c r="R47" s="60"/>
      <c r="S47" s="52" t="str">
        <f aca="false">IF(A47="","",IF(AND(OR(N47="Complete",N47="Not applicable - justified"),O47&lt;&gt;""),"Yes","No"))</f>
        <v/>
      </c>
      <c r="T47" s="52" t="str">
        <f aca="false">IF(A47="","",IF(AND(S47="No",ISNUMBER(M47),M47&lt;AsOf),"Overdue",""))</f>
        <v/>
      </c>
      <c r="U47" s="54" t="str">
        <f aca="false">IF(A47="","",IF(COUNTIFS(EXT_SUP,B47,EXT_MAND,"&lt;&gt;No",EXT_DONE,"No")&gt;0,"Not ready - "&amp;COUNTIFS(EXT_SUP,B47,EXT_MAND,"&lt;&gt;No",EXT_DONE,"No")&amp;" mandatory action(s) open",IF(SUMPRODUCT(--(COUNTIFS(EXT_SUP,B47,EXT_ITEM,L_ExitItems)=0))&gt;0,"Not ready - "&amp;SUMPRODUCT(--(COUNTIFS(EXT_SUP,B47,EXT_ITEM,L_ExitItems)=0))&amp;" checklist item(s) not yet recorded","Ready for closure review (not a formal approval)")))</f>
        <v/>
      </c>
      <c r="V47" s="54" t="str">
        <f aca="false">IF(A47="","",IF(COUNTIF(EXT_ID,A47)&gt;1,"CHECK: duplicate ID",IF(B47="","CHECK: Supplier ID missing",IF(COUNTIF(INV_ID,B47)=0,"CHECK: Supplier ID not in inventory",IF(AND(H47&lt;&gt;"",COUNTIF(INV_ID,H47)=0),"CHECK: Replacement supplier ID not in inventory",IF(AND(Q47="Closed - approved",OR(LEFT(U47,9)="Not ready",R47="")),"CHECK: closed without readiness or approval reference",IF(AND(Q47="Ready for closure review",LEFT(U47,9)="Not ready"),"CHECK: marked ready but mandatory items open","OK")))))))</f>
        <v/>
      </c>
    </row>
    <row r="48" customFormat="false" ht="15" hidden="false" customHeight="false" outlineLevel="0" collapsed="false">
      <c r="A48" s="50"/>
      <c r="B48" s="50"/>
      <c r="C48" s="59" t="str">
        <f aca="false">IF(B48="","",IFERROR(INDEX(INV_NAME,MATCH(B48,INV_ID,0)),"CHECK: Supplier ID not found"))</f>
        <v/>
      </c>
      <c r="D48" s="34"/>
      <c r="E48" s="34"/>
      <c r="F48" s="51"/>
      <c r="G48" s="34"/>
      <c r="H48" s="50"/>
      <c r="I48" s="34"/>
      <c r="J48" s="50"/>
      <c r="K48" s="34"/>
      <c r="L48" s="50"/>
      <c r="M48" s="51"/>
      <c r="N48" s="34"/>
      <c r="O48" s="34"/>
      <c r="P48" s="50"/>
      <c r="Q48" s="34"/>
      <c r="R48" s="60"/>
      <c r="S48" s="52" t="str">
        <f aca="false">IF(A48="","",IF(AND(OR(N48="Complete",N48="Not applicable - justified"),O48&lt;&gt;""),"Yes","No"))</f>
        <v/>
      </c>
      <c r="T48" s="52" t="str">
        <f aca="false">IF(A48="","",IF(AND(S48="No",ISNUMBER(M48),M48&lt;AsOf),"Overdue",""))</f>
        <v/>
      </c>
      <c r="U48" s="54" t="str">
        <f aca="false">IF(A48="","",IF(COUNTIFS(EXT_SUP,B48,EXT_MAND,"&lt;&gt;No",EXT_DONE,"No")&gt;0,"Not ready - "&amp;COUNTIFS(EXT_SUP,B48,EXT_MAND,"&lt;&gt;No",EXT_DONE,"No")&amp;" mandatory action(s) open",IF(SUMPRODUCT(--(COUNTIFS(EXT_SUP,B48,EXT_ITEM,L_ExitItems)=0))&gt;0,"Not ready - "&amp;SUMPRODUCT(--(COUNTIFS(EXT_SUP,B48,EXT_ITEM,L_ExitItems)=0))&amp;" checklist item(s) not yet recorded","Ready for closure review (not a formal approval)")))</f>
        <v/>
      </c>
      <c r="V48" s="54" t="str">
        <f aca="false">IF(A48="","",IF(COUNTIF(EXT_ID,A48)&gt;1,"CHECK: duplicate ID",IF(B48="","CHECK: Supplier ID missing",IF(COUNTIF(INV_ID,B48)=0,"CHECK: Supplier ID not in inventory",IF(AND(H48&lt;&gt;"",COUNTIF(INV_ID,H48)=0),"CHECK: Replacement supplier ID not in inventory",IF(AND(Q48="Closed - approved",OR(LEFT(U48,9)="Not ready",R48="")),"CHECK: closed without readiness or approval reference",IF(AND(Q48="Ready for closure review",LEFT(U48,9)="Not ready"),"CHECK: marked ready but mandatory items open","OK")))))))</f>
        <v/>
      </c>
    </row>
    <row r="49" customFormat="false" ht="15" hidden="false" customHeight="false" outlineLevel="0" collapsed="false">
      <c r="A49" s="50"/>
      <c r="B49" s="50"/>
      <c r="C49" s="59" t="str">
        <f aca="false">IF(B49="","",IFERROR(INDEX(INV_NAME,MATCH(B49,INV_ID,0)),"CHECK: Supplier ID not found"))</f>
        <v/>
      </c>
      <c r="D49" s="34"/>
      <c r="E49" s="34"/>
      <c r="F49" s="51"/>
      <c r="G49" s="34"/>
      <c r="H49" s="50"/>
      <c r="I49" s="34"/>
      <c r="J49" s="50"/>
      <c r="K49" s="34"/>
      <c r="L49" s="50"/>
      <c r="M49" s="51"/>
      <c r="N49" s="34"/>
      <c r="O49" s="34"/>
      <c r="P49" s="50"/>
      <c r="Q49" s="34"/>
      <c r="R49" s="60"/>
      <c r="S49" s="52" t="str">
        <f aca="false">IF(A49="","",IF(AND(OR(N49="Complete",N49="Not applicable - justified"),O49&lt;&gt;""),"Yes","No"))</f>
        <v/>
      </c>
      <c r="T49" s="52" t="str">
        <f aca="false">IF(A49="","",IF(AND(S49="No",ISNUMBER(M49),M49&lt;AsOf),"Overdue",""))</f>
        <v/>
      </c>
      <c r="U49" s="54" t="str">
        <f aca="false">IF(A49="","",IF(COUNTIFS(EXT_SUP,B49,EXT_MAND,"&lt;&gt;No",EXT_DONE,"No")&gt;0,"Not ready - "&amp;COUNTIFS(EXT_SUP,B49,EXT_MAND,"&lt;&gt;No",EXT_DONE,"No")&amp;" mandatory action(s) open",IF(SUMPRODUCT(--(COUNTIFS(EXT_SUP,B49,EXT_ITEM,L_ExitItems)=0))&gt;0,"Not ready - "&amp;SUMPRODUCT(--(COUNTIFS(EXT_SUP,B49,EXT_ITEM,L_ExitItems)=0))&amp;" checklist item(s) not yet recorded","Ready for closure review (not a formal approval)")))</f>
        <v/>
      </c>
      <c r="V49" s="54" t="str">
        <f aca="false">IF(A49="","",IF(COUNTIF(EXT_ID,A49)&gt;1,"CHECK: duplicate ID",IF(B49="","CHECK: Supplier ID missing",IF(COUNTIF(INV_ID,B49)=0,"CHECK: Supplier ID not in inventory",IF(AND(H49&lt;&gt;"",COUNTIF(INV_ID,H49)=0),"CHECK: Replacement supplier ID not in inventory",IF(AND(Q49="Closed - approved",OR(LEFT(U49,9)="Not ready",R49="")),"CHECK: closed without readiness or approval reference",IF(AND(Q49="Ready for closure review",LEFT(U49,9)="Not ready"),"CHECK: marked ready but mandatory items open","OK")))))))</f>
        <v/>
      </c>
    </row>
    <row r="50" customFormat="false" ht="15" hidden="false" customHeight="false" outlineLevel="0" collapsed="false">
      <c r="A50" s="50"/>
      <c r="B50" s="50"/>
      <c r="C50" s="59" t="str">
        <f aca="false">IF(B50="","",IFERROR(INDEX(INV_NAME,MATCH(B50,INV_ID,0)),"CHECK: Supplier ID not found"))</f>
        <v/>
      </c>
      <c r="D50" s="34"/>
      <c r="E50" s="34"/>
      <c r="F50" s="51"/>
      <c r="G50" s="34"/>
      <c r="H50" s="50"/>
      <c r="I50" s="34"/>
      <c r="J50" s="50"/>
      <c r="K50" s="34"/>
      <c r="L50" s="50"/>
      <c r="M50" s="51"/>
      <c r="N50" s="34"/>
      <c r="O50" s="34"/>
      <c r="P50" s="50"/>
      <c r="Q50" s="34"/>
      <c r="R50" s="60"/>
      <c r="S50" s="52" t="str">
        <f aca="false">IF(A50="","",IF(AND(OR(N50="Complete",N50="Not applicable - justified"),O50&lt;&gt;""),"Yes","No"))</f>
        <v/>
      </c>
      <c r="T50" s="52" t="str">
        <f aca="false">IF(A50="","",IF(AND(S50="No",ISNUMBER(M50),M50&lt;AsOf),"Overdue",""))</f>
        <v/>
      </c>
      <c r="U50" s="54" t="str">
        <f aca="false">IF(A50="","",IF(COUNTIFS(EXT_SUP,B50,EXT_MAND,"&lt;&gt;No",EXT_DONE,"No")&gt;0,"Not ready - "&amp;COUNTIFS(EXT_SUP,B50,EXT_MAND,"&lt;&gt;No",EXT_DONE,"No")&amp;" mandatory action(s) open",IF(SUMPRODUCT(--(COUNTIFS(EXT_SUP,B50,EXT_ITEM,L_ExitItems)=0))&gt;0,"Not ready - "&amp;SUMPRODUCT(--(COUNTIFS(EXT_SUP,B50,EXT_ITEM,L_ExitItems)=0))&amp;" checklist item(s) not yet recorded","Ready for closure review (not a formal approval)")))</f>
        <v/>
      </c>
      <c r="V50" s="54" t="str">
        <f aca="false">IF(A50="","",IF(COUNTIF(EXT_ID,A50)&gt;1,"CHECK: duplicate ID",IF(B50="","CHECK: Supplier ID missing",IF(COUNTIF(INV_ID,B50)=0,"CHECK: Supplier ID not in inventory",IF(AND(H50&lt;&gt;"",COUNTIF(INV_ID,H50)=0),"CHECK: Replacement supplier ID not in inventory",IF(AND(Q50="Closed - approved",OR(LEFT(U50,9)="Not ready",R50="")),"CHECK: closed without readiness or approval reference",IF(AND(Q50="Ready for closure review",LEFT(U50,9)="Not ready"),"CHECK: marked ready but mandatory items open","OK")))))))</f>
        <v/>
      </c>
    </row>
    <row r="51" customFormat="false" ht="15" hidden="false" customHeight="false" outlineLevel="0" collapsed="false">
      <c r="A51" s="50"/>
      <c r="B51" s="50"/>
      <c r="C51" s="59" t="str">
        <f aca="false">IF(B51="","",IFERROR(INDEX(INV_NAME,MATCH(B51,INV_ID,0)),"CHECK: Supplier ID not found"))</f>
        <v/>
      </c>
      <c r="D51" s="34"/>
      <c r="E51" s="34"/>
      <c r="F51" s="51"/>
      <c r="G51" s="34"/>
      <c r="H51" s="50"/>
      <c r="I51" s="34"/>
      <c r="J51" s="50"/>
      <c r="K51" s="34"/>
      <c r="L51" s="50"/>
      <c r="M51" s="51"/>
      <c r="N51" s="34"/>
      <c r="O51" s="34"/>
      <c r="P51" s="50"/>
      <c r="Q51" s="34"/>
      <c r="R51" s="60"/>
      <c r="S51" s="52" t="str">
        <f aca="false">IF(A51="","",IF(AND(OR(N51="Complete",N51="Not applicable - justified"),O51&lt;&gt;""),"Yes","No"))</f>
        <v/>
      </c>
      <c r="T51" s="52" t="str">
        <f aca="false">IF(A51="","",IF(AND(S51="No",ISNUMBER(M51),M51&lt;AsOf),"Overdue",""))</f>
        <v/>
      </c>
      <c r="U51" s="54" t="str">
        <f aca="false">IF(A51="","",IF(COUNTIFS(EXT_SUP,B51,EXT_MAND,"&lt;&gt;No",EXT_DONE,"No")&gt;0,"Not ready - "&amp;COUNTIFS(EXT_SUP,B51,EXT_MAND,"&lt;&gt;No",EXT_DONE,"No")&amp;" mandatory action(s) open",IF(SUMPRODUCT(--(COUNTIFS(EXT_SUP,B51,EXT_ITEM,L_ExitItems)=0))&gt;0,"Not ready - "&amp;SUMPRODUCT(--(COUNTIFS(EXT_SUP,B51,EXT_ITEM,L_ExitItems)=0))&amp;" checklist item(s) not yet recorded","Ready for closure review (not a formal approval)")))</f>
        <v/>
      </c>
      <c r="V51" s="54" t="str">
        <f aca="false">IF(A51="","",IF(COUNTIF(EXT_ID,A51)&gt;1,"CHECK: duplicate ID",IF(B51="","CHECK: Supplier ID missing",IF(COUNTIF(INV_ID,B51)=0,"CHECK: Supplier ID not in inventory",IF(AND(H51&lt;&gt;"",COUNTIF(INV_ID,H51)=0),"CHECK: Replacement supplier ID not in inventory",IF(AND(Q51="Closed - approved",OR(LEFT(U51,9)="Not ready",R51="")),"CHECK: closed without readiness or approval reference",IF(AND(Q51="Ready for closure review",LEFT(U51,9)="Not ready"),"CHECK: marked ready but mandatory items open","OK")))))))</f>
        <v/>
      </c>
    </row>
    <row r="52" customFormat="false" ht="15" hidden="false" customHeight="false" outlineLevel="0" collapsed="false">
      <c r="A52" s="50"/>
      <c r="B52" s="50"/>
      <c r="C52" s="59" t="str">
        <f aca="false">IF(B52="","",IFERROR(INDEX(INV_NAME,MATCH(B52,INV_ID,0)),"CHECK: Supplier ID not found"))</f>
        <v/>
      </c>
      <c r="D52" s="34"/>
      <c r="E52" s="34"/>
      <c r="F52" s="51"/>
      <c r="G52" s="34"/>
      <c r="H52" s="50"/>
      <c r="I52" s="34"/>
      <c r="J52" s="50"/>
      <c r="K52" s="34"/>
      <c r="L52" s="50"/>
      <c r="M52" s="51"/>
      <c r="N52" s="34"/>
      <c r="O52" s="34"/>
      <c r="P52" s="50"/>
      <c r="Q52" s="34"/>
      <c r="R52" s="60"/>
      <c r="S52" s="52" t="str">
        <f aca="false">IF(A52="","",IF(AND(OR(N52="Complete",N52="Not applicable - justified"),O52&lt;&gt;""),"Yes","No"))</f>
        <v/>
      </c>
      <c r="T52" s="52" t="str">
        <f aca="false">IF(A52="","",IF(AND(S52="No",ISNUMBER(M52),M52&lt;AsOf),"Overdue",""))</f>
        <v/>
      </c>
      <c r="U52" s="54" t="str">
        <f aca="false">IF(A52="","",IF(COUNTIFS(EXT_SUP,B52,EXT_MAND,"&lt;&gt;No",EXT_DONE,"No")&gt;0,"Not ready - "&amp;COUNTIFS(EXT_SUP,B52,EXT_MAND,"&lt;&gt;No",EXT_DONE,"No")&amp;" mandatory action(s) open",IF(SUMPRODUCT(--(COUNTIFS(EXT_SUP,B52,EXT_ITEM,L_ExitItems)=0))&gt;0,"Not ready - "&amp;SUMPRODUCT(--(COUNTIFS(EXT_SUP,B52,EXT_ITEM,L_ExitItems)=0))&amp;" checklist item(s) not yet recorded","Ready for closure review (not a formal approval)")))</f>
        <v/>
      </c>
      <c r="V52" s="54" t="str">
        <f aca="false">IF(A52="","",IF(COUNTIF(EXT_ID,A52)&gt;1,"CHECK: duplicate ID",IF(B52="","CHECK: Supplier ID missing",IF(COUNTIF(INV_ID,B52)=0,"CHECK: Supplier ID not in inventory",IF(AND(H52&lt;&gt;"",COUNTIF(INV_ID,H52)=0),"CHECK: Replacement supplier ID not in inventory",IF(AND(Q52="Closed - approved",OR(LEFT(U52,9)="Not ready",R52="")),"CHECK: closed without readiness or approval reference",IF(AND(Q52="Ready for closure review",LEFT(U52,9)="Not ready"),"CHECK: marked ready but mandatory items open","OK")))))))</f>
        <v/>
      </c>
    </row>
    <row r="53" customFormat="false" ht="15" hidden="false" customHeight="false" outlineLevel="0" collapsed="false">
      <c r="A53" s="50"/>
      <c r="B53" s="50"/>
      <c r="C53" s="59" t="str">
        <f aca="false">IF(B53="","",IFERROR(INDEX(INV_NAME,MATCH(B53,INV_ID,0)),"CHECK: Supplier ID not found"))</f>
        <v/>
      </c>
      <c r="D53" s="34"/>
      <c r="E53" s="34"/>
      <c r="F53" s="51"/>
      <c r="G53" s="34"/>
      <c r="H53" s="50"/>
      <c r="I53" s="34"/>
      <c r="J53" s="50"/>
      <c r="K53" s="34"/>
      <c r="L53" s="50"/>
      <c r="M53" s="51"/>
      <c r="N53" s="34"/>
      <c r="O53" s="34"/>
      <c r="P53" s="50"/>
      <c r="Q53" s="34"/>
      <c r="R53" s="60"/>
      <c r="S53" s="52" t="str">
        <f aca="false">IF(A53="","",IF(AND(OR(N53="Complete",N53="Not applicable - justified"),O53&lt;&gt;""),"Yes","No"))</f>
        <v/>
      </c>
      <c r="T53" s="52" t="str">
        <f aca="false">IF(A53="","",IF(AND(S53="No",ISNUMBER(M53),M53&lt;AsOf),"Overdue",""))</f>
        <v/>
      </c>
      <c r="U53" s="54" t="str">
        <f aca="false">IF(A53="","",IF(COUNTIFS(EXT_SUP,B53,EXT_MAND,"&lt;&gt;No",EXT_DONE,"No")&gt;0,"Not ready - "&amp;COUNTIFS(EXT_SUP,B53,EXT_MAND,"&lt;&gt;No",EXT_DONE,"No")&amp;" mandatory action(s) open",IF(SUMPRODUCT(--(COUNTIFS(EXT_SUP,B53,EXT_ITEM,L_ExitItems)=0))&gt;0,"Not ready - "&amp;SUMPRODUCT(--(COUNTIFS(EXT_SUP,B53,EXT_ITEM,L_ExitItems)=0))&amp;" checklist item(s) not yet recorded","Ready for closure review (not a formal approval)")))</f>
        <v/>
      </c>
      <c r="V53" s="54" t="str">
        <f aca="false">IF(A53="","",IF(COUNTIF(EXT_ID,A53)&gt;1,"CHECK: duplicate ID",IF(B53="","CHECK: Supplier ID missing",IF(COUNTIF(INV_ID,B53)=0,"CHECK: Supplier ID not in inventory",IF(AND(H53&lt;&gt;"",COUNTIF(INV_ID,H53)=0),"CHECK: Replacement supplier ID not in inventory",IF(AND(Q53="Closed - approved",OR(LEFT(U53,9)="Not ready",R53="")),"CHECK: closed without readiness or approval reference",IF(AND(Q53="Ready for closure review",LEFT(U53,9)="Not ready"),"CHECK: marked ready but mandatory items open","OK")))))))</f>
        <v/>
      </c>
    </row>
    <row r="54" customFormat="false" ht="15" hidden="false" customHeight="false" outlineLevel="0" collapsed="false">
      <c r="A54" s="50"/>
      <c r="B54" s="50"/>
      <c r="C54" s="59" t="str">
        <f aca="false">IF(B54="","",IFERROR(INDEX(INV_NAME,MATCH(B54,INV_ID,0)),"CHECK: Supplier ID not found"))</f>
        <v/>
      </c>
      <c r="D54" s="34"/>
      <c r="E54" s="34"/>
      <c r="F54" s="51"/>
      <c r="G54" s="34"/>
      <c r="H54" s="50"/>
      <c r="I54" s="34"/>
      <c r="J54" s="50"/>
      <c r="K54" s="34"/>
      <c r="L54" s="50"/>
      <c r="M54" s="51"/>
      <c r="N54" s="34"/>
      <c r="O54" s="34"/>
      <c r="P54" s="50"/>
      <c r="Q54" s="34"/>
      <c r="R54" s="60"/>
      <c r="S54" s="52" t="str">
        <f aca="false">IF(A54="","",IF(AND(OR(N54="Complete",N54="Not applicable - justified"),O54&lt;&gt;""),"Yes","No"))</f>
        <v/>
      </c>
      <c r="T54" s="52" t="str">
        <f aca="false">IF(A54="","",IF(AND(S54="No",ISNUMBER(M54),M54&lt;AsOf),"Overdue",""))</f>
        <v/>
      </c>
      <c r="U54" s="54" t="str">
        <f aca="false">IF(A54="","",IF(COUNTIFS(EXT_SUP,B54,EXT_MAND,"&lt;&gt;No",EXT_DONE,"No")&gt;0,"Not ready - "&amp;COUNTIFS(EXT_SUP,B54,EXT_MAND,"&lt;&gt;No",EXT_DONE,"No")&amp;" mandatory action(s) open",IF(SUMPRODUCT(--(COUNTIFS(EXT_SUP,B54,EXT_ITEM,L_ExitItems)=0))&gt;0,"Not ready - "&amp;SUMPRODUCT(--(COUNTIFS(EXT_SUP,B54,EXT_ITEM,L_ExitItems)=0))&amp;" checklist item(s) not yet recorded","Ready for closure review (not a formal approval)")))</f>
        <v/>
      </c>
      <c r="V54" s="54" t="str">
        <f aca="false">IF(A54="","",IF(COUNTIF(EXT_ID,A54)&gt;1,"CHECK: duplicate ID",IF(B54="","CHECK: Supplier ID missing",IF(COUNTIF(INV_ID,B54)=0,"CHECK: Supplier ID not in inventory",IF(AND(H54&lt;&gt;"",COUNTIF(INV_ID,H54)=0),"CHECK: Replacement supplier ID not in inventory",IF(AND(Q54="Closed - approved",OR(LEFT(U54,9)="Not ready",R54="")),"CHECK: closed without readiness or approval reference",IF(AND(Q54="Ready for closure review",LEFT(U54,9)="Not ready"),"CHECK: marked ready but mandatory items open","OK")))))))</f>
        <v/>
      </c>
    </row>
    <row r="55" customFormat="false" ht="15" hidden="false" customHeight="false" outlineLevel="0" collapsed="false">
      <c r="A55" s="50"/>
      <c r="B55" s="50"/>
      <c r="C55" s="59" t="str">
        <f aca="false">IF(B55="","",IFERROR(INDEX(INV_NAME,MATCH(B55,INV_ID,0)),"CHECK: Supplier ID not found"))</f>
        <v/>
      </c>
      <c r="D55" s="34"/>
      <c r="E55" s="34"/>
      <c r="F55" s="51"/>
      <c r="G55" s="34"/>
      <c r="H55" s="50"/>
      <c r="I55" s="34"/>
      <c r="J55" s="50"/>
      <c r="K55" s="34"/>
      <c r="L55" s="50"/>
      <c r="M55" s="51"/>
      <c r="N55" s="34"/>
      <c r="O55" s="34"/>
      <c r="P55" s="50"/>
      <c r="Q55" s="34"/>
      <c r="R55" s="60"/>
      <c r="S55" s="52" t="str">
        <f aca="false">IF(A55="","",IF(AND(OR(N55="Complete",N55="Not applicable - justified"),O55&lt;&gt;""),"Yes","No"))</f>
        <v/>
      </c>
      <c r="T55" s="52" t="str">
        <f aca="false">IF(A55="","",IF(AND(S55="No",ISNUMBER(M55),M55&lt;AsOf),"Overdue",""))</f>
        <v/>
      </c>
      <c r="U55" s="54" t="str">
        <f aca="false">IF(A55="","",IF(COUNTIFS(EXT_SUP,B55,EXT_MAND,"&lt;&gt;No",EXT_DONE,"No")&gt;0,"Not ready - "&amp;COUNTIFS(EXT_SUP,B55,EXT_MAND,"&lt;&gt;No",EXT_DONE,"No")&amp;" mandatory action(s) open",IF(SUMPRODUCT(--(COUNTIFS(EXT_SUP,B55,EXT_ITEM,L_ExitItems)=0))&gt;0,"Not ready - "&amp;SUMPRODUCT(--(COUNTIFS(EXT_SUP,B55,EXT_ITEM,L_ExitItems)=0))&amp;" checklist item(s) not yet recorded","Ready for closure review (not a formal approval)")))</f>
        <v/>
      </c>
      <c r="V55" s="54" t="str">
        <f aca="false">IF(A55="","",IF(COUNTIF(EXT_ID,A55)&gt;1,"CHECK: duplicate ID",IF(B55="","CHECK: Supplier ID missing",IF(COUNTIF(INV_ID,B55)=0,"CHECK: Supplier ID not in inventory",IF(AND(H55&lt;&gt;"",COUNTIF(INV_ID,H55)=0),"CHECK: Replacement supplier ID not in inventory",IF(AND(Q55="Closed - approved",OR(LEFT(U55,9)="Not ready",R55="")),"CHECK: closed without readiness or approval reference",IF(AND(Q55="Ready for closure review",LEFT(U55,9)="Not ready"),"CHECK: marked ready but mandatory items open","OK")))))))</f>
        <v/>
      </c>
    </row>
    <row r="56" customFormat="false" ht="15" hidden="false" customHeight="false" outlineLevel="0" collapsed="false">
      <c r="A56" s="50"/>
      <c r="B56" s="50"/>
      <c r="C56" s="59" t="str">
        <f aca="false">IF(B56="","",IFERROR(INDEX(INV_NAME,MATCH(B56,INV_ID,0)),"CHECK: Supplier ID not found"))</f>
        <v/>
      </c>
      <c r="D56" s="34"/>
      <c r="E56" s="34"/>
      <c r="F56" s="51"/>
      <c r="G56" s="34"/>
      <c r="H56" s="50"/>
      <c r="I56" s="34"/>
      <c r="J56" s="50"/>
      <c r="K56" s="34"/>
      <c r="L56" s="50"/>
      <c r="M56" s="51"/>
      <c r="N56" s="34"/>
      <c r="O56" s="34"/>
      <c r="P56" s="50"/>
      <c r="Q56" s="34"/>
      <c r="R56" s="60"/>
      <c r="S56" s="52" t="str">
        <f aca="false">IF(A56="","",IF(AND(OR(N56="Complete",N56="Not applicable - justified"),O56&lt;&gt;""),"Yes","No"))</f>
        <v/>
      </c>
      <c r="T56" s="52" t="str">
        <f aca="false">IF(A56="","",IF(AND(S56="No",ISNUMBER(M56),M56&lt;AsOf),"Overdue",""))</f>
        <v/>
      </c>
      <c r="U56" s="54" t="str">
        <f aca="false">IF(A56="","",IF(COUNTIFS(EXT_SUP,B56,EXT_MAND,"&lt;&gt;No",EXT_DONE,"No")&gt;0,"Not ready - "&amp;COUNTIFS(EXT_SUP,B56,EXT_MAND,"&lt;&gt;No",EXT_DONE,"No")&amp;" mandatory action(s) open",IF(SUMPRODUCT(--(COUNTIFS(EXT_SUP,B56,EXT_ITEM,L_ExitItems)=0))&gt;0,"Not ready - "&amp;SUMPRODUCT(--(COUNTIFS(EXT_SUP,B56,EXT_ITEM,L_ExitItems)=0))&amp;" checklist item(s) not yet recorded","Ready for closure review (not a formal approval)")))</f>
        <v/>
      </c>
      <c r="V56" s="54" t="str">
        <f aca="false">IF(A56="","",IF(COUNTIF(EXT_ID,A56)&gt;1,"CHECK: duplicate ID",IF(B56="","CHECK: Supplier ID missing",IF(COUNTIF(INV_ID,B56)=0,"CHECK: Supplier ID not in inventory",IF(AND(H56&lt;&gt;"",COUNTIF(INV_ID,H56)=0),"CHECK: Replacement supplier ID not in inventory",IF(AND(Q56="Closed - approved",OR(LEFT(U56,9)="Not ready",R56="")),"CHECK: closed without readiness or approval reference",IF(AND(Q56="Ready for closure review",LEFT(U56,9)="Not ready"),"CHECK: marked ready but mandatory items open","OK")))))))</f>
        <v/>
      </c>
    </row>
    <row r="57" customFormat="false" ht="15" hidden="false" customHeight="false" outlineLevel="0" collapsed="false">
      <c r="A57" s="50"/>
      <c r="B57" s="50"/>
      <c r="C57" s="59" t="str">
        <f aca="false">IF(B57="","",IFERROR(INDEX(INV_NAME,MATCH(B57,INV_ID,0)),"CHECK: Supplier ID not found"))</f>
        <v/>
      </c>
      <c r="D57" s="34"/>
      <c r="E57" s="34"/>
      <c r="F57" s="51"/>
      <c r="G57" s="34"/>
      <c r="H57" s="50"/>
      <c r="I57" s="34"/>
      <c r="J57" s="50"/>
      <c r="K57" s="34"/>
      <c r="L57" s="50"/>
      <c r="M57" s="51"/>
      <c r="N57" s="34"/>
      <c r="O57" s="34"/>
      <c r="P57" s="50"/>
      <c r="Q57" s="34"/>
      <c r="R57" s="60"/>
      <c r="S57" s="52" t="str">
        <f aca="false">IF(A57="","",IF(AND(OR(N57="Complete",N57="Not applicable - justified"),O57&lt;&gt;""),"Yes","No"))</f>
        <v/>
      </c>
      <c r="T57" s="52" t="str">
        <f aca="false">IF(A57="","",IF(AND(S57="No",ISNUMBER(M57),M57&lt;AsOf),"Overdue",""))</f>
        <v/>
      </c>
      <c r="U57" s="54" t="str">
        <f aca="false">IF(A57="","",IF(COUNTIFS(EXT_SUP,B57,EXT_MAND,"&lt;&gt;No",EXT_DONE,"No")&gt;0,"Not ready - "&amp;COUNTIFS(EXT_SUP,B57,EXT_MAND,"&lt;&gt;No",EXT_DONE,"No")&amp;" mandatory action(s) open",IF(SUMPRODUCT(--(COUNTIFS(EXT_SUP,B57,EXT_ITEM,L_ExitItems)=0))&gt;0,"Not ready - "&amp;SUMPRODUCT(--(COUNTIFS(EXT_SUP,B57,EXT_ITEM,L_ExitItems)=0))&amp;" checklist item(s) not yet recorded","Ready for closure review (not a formal approval)")))</f>
        <v/>
      </c>
      <c r="V57" s="54" t="str">
        <f aca="false">IF(A57="","",IF(COUNTIF(EXT_ID,A57)&gt;1,"CHECK: duplicate ID",IF(B57="","CHECK: Supplier ID missing",IF(COUNTIF(INV_ID,B57)=0,"CHECK: Supplier ID not in inventory",IF(AND(H57&lt;&gt;"",COUNTIF(INV_ID,H57)=0),"CHECK: Replacement supplier ID not in inventory",IF(AND(Q57="Closed - approved",OR(LEFT(U57,9)="Not ready",R57="")),"CHECK: closed without readiness or approval reference",IF(AND(Q57="Ready for closure review",LEFT(U57,9)="Not ready"),"CHECK: marked ready but mandatory items open","OK")))))))</f>
        <v/>
      </c>
    </row>
    <row r="58" customFormat="false" ht="15" hidden="false" customHeight="false" outlineLevel="0" collapsed="false">
      <c r="A58" s="50"/>
      <c r="B58" s="50"/>
      <c r="C58" s="59" t="str">
        <f aca="false">IF(B58="","",IFERROR(INDEX(INV_NAME,MATCH(B58,INV_ID,0)),"CHECK: Supplier ID not found"))</f>
        <v/>
      </c>
      <c r="D58" s="34"/>
      <c r="E58" s="34"/>
      <c r="F58" s="51"/>
      <c r="G58" s="34"/>
      <c r="H58" s="50"/>
      <c r="I58" s="34"/>
      <c r="J58" s="50"/>
      <c r="K58" s="34"/>
      <c r="L58" s="50"/>
      <c r="M58" s="51"/>
      <c r="N58" s="34"/>
      <c r="O58" s="34"/>
      <c r="P58" s="50"/>
      <c r="Q58" s="34"/>
      <c r="R58" s="60"/>
      <c r="S58" s="52" t="str">
        <f aca="false">IF(A58="","",IF(AND(OR(N58="Complete",N58="Not applicable - justified"),O58&lt;&gt;""),"Yes","No"))</f>
        <v/>
      </c>
      <c r="T58" s="52" t="str">
        <f aca="false">IF(A58="","",IF(AND(S58="No",ISNUMBER(M58),M58&lt;AsOf),"Overdue",""))</f>
        <v/>
      </c>
      <c r="U58" s="54" t="str">
        <f aca="false">IF(A58="","",IF(COUNTIFS(EXT_SUP,B58,EXT_MAND,"&lt;&gt;No",EXT_DONE,"No")&gt;0,"Not ready - "&amp;COUNTIFS(EXT_SUP,B58,EXT_MAND,"&lt;&gt;No",EXT_DONE,"No")&amp;" mandatory action(s) open",IF(SUMPRODUCT(--(COUNTIFS(EXT_SUP,B58,EXT_ITEM,L_ExitItems)=0))&gt;0,"Not ready - "&amp;SUMPRODUCT(--(COUNTIFS(EXT_SUP,B58,EXT_ITEM,L_ExitItems)=0))&amp;" checklist item(s) not yet recorded","Ready for closure review (not a formal approval)")))</f>
        <v/>
      </c>
      <c r="V58" s="54" t="str">
        <f aca="false">IF(A58="","",IF(COUNTIF(EXT_ID,A58)&gt;1,"CHECK: duplicate ID",IF(B58="","CHECK: Supplier ID missing",IF(COUNTIF(INV_ID,B58)=0,"CHECK: Supplier ID not in inventory",IF(AND(H58&lt;&gt;"",COUNTIF(INV_ID,H58)=0),"CHECK: Replacement supplier ID not in inventory",IF(AND(Q58="Closed - approved",OR(LEFT(U58,9)="Not ready",R58="")),"CHECK: closed without readiness or approval reference",IF(AND(Q58="Ready for closure review",LEFT(U58,9)="Not ready"),"CHECK: marked ready but mandatory items open","OK")))))))</f>
        <v/>
      </c>
    </row>
    <row r="59" customFormat="false" ht="15" hidden="false" customHeight="false" outlineLevel="0" collapsed="false">
      <c r="A59" s="50"/>
      <c r="B59" s="50"/>
      <c r="C59" s="59" t="str">
        <f aca="false">IF(B59="","",IFERROR(INDEX(INV_NAME,MATCH(B59,INV_ID,0)),"CHECK: Supplier ID not found"))</f>
        <v/>
      </c>
      <c r="D59" s="34"/>
      <c r="E59" s="34"/>
      <c r="F59" s="51"/>
      <c r="G59" s="34"/>
      <c r="H59" s="50"/>
      <c r="I59" s="34"/>
      <c r="J59" s="50"/>
      <c r="K59" s="34"/>
      <c r="L59" s="50"/>
      <c r="M59" s="51"/>
      <c r="N59" s="34"/>
      <c r="O59" s="34"/>
      <c r="P59" s="50"/>
      <c r="Q59" s="34"/>
      <c r="R59" s="60"/>
      <c r="S59" s="52" t="str">
        <f aca="false">IF(A59="","",IF(AND(OR(N59="Complete",N59="Not applicable - justified"),O59&lt;&gt;""),"Yes","No"))</f>
        <v/>
      </c>
      <c r="T59" s="52" t="str">
        <f aca="false">IF(A59="","",IF(AND(S59="No",ISNUMBER(M59),M59&lt;AsOf),"Overdue",""))</f>
        <v/>
      </c>
      <c r="U59" s="54" t="str">
        <f aca="false">IF(A59="","",IF(COUNTIFS(EXT_SUP,B59,EXT_MAND,"&lt;&gt;No",EXT_DONE,"No")&gt;0,"Not ready - "&amp;COUNTIFS(EXT_SUP,B59,EXT_MAND,"&lt;&gt;No",EXT_DONE,"No")&amp;" mandatory action(s) open",IF(SUMPRODUCT(--(COUNTIFS(EXT_SUP,B59,EXT_ITEM,L_ExitItems)=0))&gt;0,"Not ready - "&amp;SUMPRODUCT(--(COUNTIFS(EXT_SUP,B59,EXT_ITEM,L_ExitItems)=0))&amp;" checklist item(s) not yet recorded","Ready for closure review (not a formal approval)")))</f>
        <v/>
      </c>
      <c r="V59" s="54" t="str">
        <f aca="false">IF(A59="","",IF(COUNTIF(EXT_ID,A59)&gt;1,"CHECK: duplicate ID",IF(B59="","CHECK: Supplier ID missing",IF(COUNTIF(INV_ID,B59)=0,"CHECK: Supplier ID not in inventory",IF(AND(H59&lt;&gt;"",COUNTIF(INV_ID,H59)=0),"CHECK: Replacement supplier ID not in inventory",IF(AND(Q59="Closed - approved",OR(LEFT(U59,9)="Not ready",R59="")),"CHECK: closed without readiness or approval reference",IF(AND(Q59="Ready for closure review",LEFT(U59,9)="Not ready"),"CHECK: marked ready but mandatory items open","OK")))))))</f>
        <v/>
      </c>
    </row>
    <row r="60" customFormat="false" ht="15" hidden="false" customHeight="false" outlineLevel="0" collapsed="false">
      <c r="A60" s="50"/>
      <c r="B60" s="50"/>
      <c r="C60" s="59" t="str">
        <f aca="false">IF(B60="","",IFERROR(INDEX(INV_NAME,MATCH(B60,INV_ID,0)),"CHECK: Supplier ID not found"))</f>
        <v/>
      </c>
      <c r="D60" s="34"/>
      <c r="E60" s="34"/>
      <c r="F60" s="51"/>
      <c r="G60" s="34"/>
      <c r="H60" s="50"/>
      <c r="I60" s="34"/>
      <c r="J60" s="50"/>
      <c r="K60" s="34"/>
      <c r="L60" s="50"/>
      <c r="M60" s="51"/>
      <c r="N60" s="34"/>
      <c r="O60" s="34"/>
      <c r="P60" s="50"/>
      <c r="Q60" s="34"/>
      <c r="R60" s="60"/>
      <c r="S60" s="52" t="str">
        <f aca="false">IF(A60="","",IF(AND(OR(N60="Complete",N60="Not applicable - justified"),O60&lt;&gt;""),"Yes","No"))</f>
        <v/>
      </c>
      <c r="T60" s="52" t="str">
        <f aca="false">IF(A60="","",IF(AND(S60="No",ISNUMBER(M60),M60&lt;AsOf),"Overdue",""))</f>
        <v/>
      </c>
      <c r="U60" s="54" t="str">
        <f aca="false">IF(A60="","",IF(COUNTIFS(EXT_SUP,B60,EXT_MAND,"&lt;&gt;No",EXT_DONE,"No")&gt;0,"Not ready - "&amp;COUNTIFS(EXT_SUP,B60,EXT_MAND,"&lt;&gt;No",EXT_DONE,"No")&amp;" mandatory action(s) open",IF(SUMPRODUCT(--(COUNTIFS(EXT_SUP,B60,EXT_ITEM,L_ExitItems)=0))&gt;0,"Not ready - "&amp;SUMPRODUCT(--(COUNTIFS(EXT_SUP,B60,EXT_ITEM,L_ExitItems)=0))&amp;" checklist item(s) not yet recorded","Ready for closure review (not a formal approval)")))</f>
        <v/>
      </c>
      <c r="V60" s="54" t="str">
        <f aca="false">IF(A60="","",IF(COUNTIF(EXT_ID,A60)&gt;1,"CHECK: duplicate ID",IF(B60="","CHECK: Supplier ID missing",IF(COUNTIF(INV_ID,B60)=0,"CHECK: Supplier ID not in inventory",IF(AND(H60&lt;&gt;"",COUNTIF(INV_ID,H60)=0),"CHECK: Replacement supplier ID not in inventory",IF(AND(Q60="Closed - approved",OR(LEFT(U60,9)="Not ready",R60="")),"CHECK: closed without readiness or approval reference",IF(AND(Q60="Ready for closure review",LEFT(U60,9)="Not ready"),"CHECK: marked ready but mandatory items open","OK")))))))</f>
        <v/>
      </c>
    </row>
    <row r="61" customFormat="false" ht="15" hidden="false" customHeight="false" outlineLevel="0" collapsed="false">
      <c r="A61" s="50"/>
      <c r="B61" s="50"/>
      <c r="C61" s="59" t="str">
        <f aca="false">IF(B61="","",IFERROR(INDEX(INV_NAME,MATCH(B61,INV_ID,0)),"CHECK: Supplier ID not found"))</f>
        <v/>
      </c>
      <c r="D61" s="34"/>
      <c r="E61" s="34"/>
      <c r="F61" s="51"/>
      <c r="G61" s="34"/>
      <c r="H61" s="50"/>
      <c r="I61" s="34"/>
      <c r="J61" s="50"/>
      <c r="K61" s="34"/>
      <c r="L61" s="50"/>
      <c r="M61" s="51"/>
      <c r="N61" s="34"/>
      <c r="O61" s="34"/>
      <c r="P61" s="50"/>
      <c r="Q61" s="34"/>
      <c r="R61" s="60"/>
      <c r="S61" s="52" t="str">
        <f aca="false">IF(A61="","",IF(AND(OR(N61="Complete",N61="Not applicable - justified"),O61&lt;&gt;""),"Yes","No"))</f>
        <v/>
      </c>
      <c r="T61" s="52" t="str">
        <f aca="false">IF(A61="","",IF(AND(S61="No",ISNUMBER(M61),M61&lt;AsOf),"Overdue",""))</f>
        <v/>
      </c>
      <c r="U61" s="54" t="str">
        <f aca="false">IF(A61="","",IF(COUNTIFS(EXT_SUP,B61,EXT_MAND,"&lt;&gt;No",EXT_DONE,"No")&gt;0,"Not ready - "&amp;COUNTIFS(EXT_SUP,B61,EXT_MAND,"&lt;&gt;No",EXT_DONE,"No")&amp;" mandatory action(s) open",IF(SUMPRODUCT(--(COUNTIFS(EXT_SUP,B61,EXT_ITEM,L_ExitItems)=0))&gt;0,"Not ready - "&amp;SUMPRODUCT(--(COUNTIFS(EXT_SUP,B61,EXT_ITEM,L_ExitItems)=0))&amp;" checklist item(s) not yet recorded","Ready for closure review (not a formal approval)")))</f>
        <v/>
      </c>
      <c r="V61" s="54" t="str">
        <f aca="false">IF(A61="","",IF(COUNTIF(EXT_ID,A61)&gt;1,"CHECK: duplicate ID",IF(B61="","CHECK: Supplier ID missing",IF(COUNTIF(INV_ID,B61)=0,"CHECK: Supplier ID not in inventory",IF(AND(H61&lt;&gt;"",COUNTIF(INV_ID,H61)=0),"CHECK: Replacement supplier ID not in inventory",IF(AND(Q61="Closed - approved",OR(LEFT(U61,9)="Not ready",R61="")),"CHECK: closed without readiness or approval reference",IF(AND(Q61="Ready for closure review",LEFT(U61,9)="Not ready"),"CHECK: marked ready but mandatory items open","OK")))))))</f>
        <v/>
      </c>
    </row>
    <row r="62" customFormat="false" ht="15" hidden="false" customHeight="false" outlineLevel="0" collapsed="false">
      <c r="A62" s="50"/>
      <c r="B62" s="50"/>
      <c r="C62" s="59" t="str">
        <f aca="false">IF(B62="","",IFERROR(INDEX(INV_NAME,MATCH(B62,INV_ID,0)),"CHECK: Supplier ID not found"))</f>
        <v/>
      </c>
      <c r="D62" s="34"/>
      <c r="E62" s="34"/>
      <c r="F62" s="51"/>
      <c r="G62" s="34"/>
      <c r="H62" s="50"/>
      <c r="I62" s="34"/>
      <c r="J62" s="50"/>
      <c r="K62" s="34"/>
      <c r="L62" s="50"/>
      <c r="M62" s="51"/>
      <c r="N62" s="34"/>
      <c r="O62" s="34"/>
      <c r="P62" s="50"/>
      <c r="Q62" s="34"/>
      <c r="R62" s="60"/>
      <c r="S62" s="52" t="str">
        <f aca="false">IF(A62="","",IF(AND(OR(N62="Complete",N62="Not applicable - justified"),O62&lt;&gt;""),"Yes","No"))</f>
        <v/>
      </c>
      <c r="T62" s="52" t="str">
        <f aca="false">IF(A62="","",IF(AND(S62="No",ISNUMBER(M62),M62&lt;AsOf),"Overdue",""))</f>
        <v/>
      </c>
      <c r="U62" s="54" t="str">
        <f aca="false">IF(A62="","",IF(COUNTIFS(EXT_SUP,B62,EXT_MAND,"&lt;&gt;No",EXT_DONE,"No")&gt;0,"Not ready - "&amp;COUNTIFS(EXT_SUP,B62,EXT_MAND,"&lt;&gt;No",EXT_DONE,"No")&amp;" mandatory action(s) open",IF(SUMPRODUCT(--(COUNTIFS(EXT_SUP,B62,EXT_ITEM,L_ExitItems)=0))&gt;0,"Not ready - "&amp;SUMPRODUCT(--(COUNTIFS(EXT_SUP,B62,EXT_ITEM,L_ExitItems)=0))&amp;" checklist item(s) not yet recorded","Ready for closure review (not a formal approval)")))</f>
        <v/>
      </c>
      <c r="V62" s="54" t="str">
        <f aca="false">IF(A62="","",IF(COUNTIF(EXT_ID,A62)&gt;1,"CHECK: duplicate ID",IF(B62="","CHECK: Supplier ID missing",IF(COUNTIF(INV_ID,B62)=0,"CHECK: Supplier ID not in inventory",IF(AND(H62&lt;&gt;"",COUNTIF(INV_ID,H62)=0),"CHECK: Replacement supplier ID not in inventory",IF(AND(Q62="Closed - approved",OR(LEFT(U62,9)="Not ready",R62="")),"CHECK: closed without readiness or approval reference",IF(AND(Q62="Ready for closure review",LEFT(U62,9)="Not ready"),"CHECK: marked ready but mandatory items open","OK")))))))</f>
        <v/>
      </c>
    </row>
    <row r="63" customFormat="false" ht="15" hidden="false" customHeight="false" outlineLevel="0" collapsed="false">
      <c r="A63" s="50"/>
      <c r="B63" s="50"/>
      <c r="C63" s="59" t="str">
        <f aca="false">IF(B63="","",IFERROR(INDEX(INV_NAME,MATCH(B63,INV_ID,0)),"CHECK: Supplier ID not found"))</f>
        <v/>
      </c>
      <c r="D63" s="34"/>
      <c r="E63" s="34"/>
      <c r="F63" s="51"/>
      <c r="G63" s="34"/>
      <c r="H63" s="50"/>
      <c r="I63" s="34"/>
      <c r="J63" s="50"/>
      <c r="K63" s="34"/>
      <c r="L63" s="50"/>
      <c r="M63" s="51"/>
      <c r="N63" s="34"/>
      <c r="O63" s="34"/>
      <c r="P63" s="50"/>
      <c r="Q63" s="34"/>
      <c r="R63" s="60"/>
      <c r="S63" s="52" t="str">
        <f aca="false">IF(A63="","",IF(AND(OR(N63="Complete",N63="Not applicable - justified"),O63&lt;&gt;""),"Yes","No"))</f>
        <v/>
      </c>
      <c r="T63" s="52" t="str">
        <f aca="false">IF(A63="","",IF(AND(S63="No",ISNUMBER(M63),M63&lt;AsOf),"Overdue",""))</f>
        <v/>
      </c>
      <c r="U63" s="54" t="str">
        <f aca="false">IF(A63="","",IF(COUNTIFS(EXT_SUP,B63,EXT_MAND,"&lt;&gt;No",EXT_DONE,"No")&gt;0,"Not ready - "&amp;COUNTIFS(EXT_SUP,B63,EXT_MAND,"&lt;&gt;No",EXT_DONE,"No")&amp;" mandatory action(s) open",IF(SUMPRODUCT(--(COUNTIFS(EXT_SUP,B63,EXT_ITEM,L_ExitItems)=0))&gt;0,"Not ready - "&amp;SUMPRODUCT(--(COUNTIFS(EXT_SUP,B63,EXT_ITEM,L_ExitItems)=0))&amp;" checklist item(s) not yet recorded","Ready for closure review (not a formal approval)")))</f>
        <v/>
      </c>
      <c r="V63" s="54" t="str">
        <f aca="false">IF(A63="","",IF(COUNTIF(EXT_ID,A63)&gt;1,"CHECK: duplicate ID",IF(B63="","CHECK: Supplier ID missing",IF(COUNTIF(INV_ID,B63)=0,"CHECK: Supplier ID not in inventory",IF(AND(H63&lt;&gt;"",COUNTIF(INV_ID,H63)=0),"CHECK: Replacement supplier ID not in inventory",IF(AND(Q63="Closed - approved",OR(LEFT(U63,9)="Not ready",R63="")),"CHECK: closed without readiness or approval reference",IF(AND(Q63="Ready for closure review",LEFT(U63,9)="Not ready"),"CHECK: marked ready but mandatory items open","OK")))))))</f>
        <v/>
      </c>
    </row>
    <row r="64" customFormat="false" ht="15" hidden="false" customHeight="false" outlineLevel="0" collapsed="false">
      <c r="A64" s="50"/>
      <c r="B64" s="50"/>
      <c r="C64" s="59" t="str">
        <f aca="false">IF(B64="","",IFERROR(INDEX(INV_NAME,MATCH(B64,INV_ID,0)),"CHECK: Supplier ID not found"))</f>
        <v/>
      </c>
      <c r="D64" s="34"/>
      <c r="E64" s="34"/>
      <c r="F64" s="51"/>
      <c r="G64" s="34"/>
      <c r="H64" s="50"/>
      <c r="I64" s="34"/>
      <c r="J64" s="50"/>
      <c r="K64" s="34"/>
      <c r="L64" s="50"/>
      <c r="M64" s="51"/>
      <c r="N64" s="34"/>
      <c r="O64" s="34"/>
      <c r="P64" s="50"/>
      <c r="Q64" s="34"/>
      <c r="R64" s="60"/>
      <c r="S64" s="52" t="str">
        <f aca="false">IF(A64="","",IF(AND(OR(N64="Complete",N64="Not applicable - justified"),O64&lt;&gt;""),"Yes","No"))</f>
        <v/>
      </c>
      <c r="T64" s="52" t="str">
        <f aca="false">IF(A64="","",IF(AND(S64="No",ISNUMBER(M64),M64&lt;AsOf),"Overdue",""))</f>
        <v/>
      </c>
      <c r="U64" s="54" t="str">
        <f aca="false">IF(A64="","",IF(COUNTIFS(EXT_SUP,B64,EXT_MAND,"&lt;&gt;No",EXT_DONE,"No")&gt;0,"Not ready - "&amp;COUNTIFS(EXT_SUP,B64,EXT_MAND,"&lt;&gt;No",EXT_DONE,"No")&amp;" mandatory action(s) open",IF(SUMPRODUCT(--(COUNTIFS(EXT_SUP,B64,EXT_ITEM,L_ExitItems)=0))&gt;0,"Not ready - "&amp;SUMPRODUCT(--(COUNTIFS(EXT_SUP,B64,EXT_ITEM,L_ExitItems)=0))&amp;" checklist item(s) not yet recorded","Ready for closure review (not a formal approval)")))</f>
        <v/>
      </c>
      <c r="V64" s="54" t="str">
        <f aca="false">IF(A64="","",IF(COUNTIF(EXT_ID,A64)&gt;1,"CHECK: duplicate ID",IF(B64="","CHECK: Supplier ID missing",IF(COUNTIF(INV_ID,B64)=0,"CHECK: Supplier ID not in inventory",IF(AND(H64&lt;&gt;"",COUNTIF(INV_ID,H64)=0),"CHECK: Replacement supplier ID not in inventory",IF(AND(Q64="Closed - approved",OR(LEFT(U64,9)="Not ready",R64="")),"CHECK: closed without readiness or approval reference",IF(AND(Q64="Ready for closure review",LEFT(U64,9)="Not ready"),"CHECK: marked ready but mandatory items open","OK")))))))</f>
        <v/>
      </c>
    </row>
    <row r="65" customFormat="false" ht="15" hidden="false" customHeight="false" outlineLevel="0" collapsed="false">
      <c r="A65" s="50"/>
      <c r="B65" s="50"/>
      <c r="C65" s="59" t="str">
        <f aca="false">IF(B65="","",IFERROR(INDEX(INV_NAME,MATCH(B65,INV_ID,0)),"CHECK: Supplier ID not found"))</f>
        <v/>
      </c>
      <c r="D65" s="34"/>
      <c r="E65" s="34"/>
      <c r="F65" s="51"/>
      <c r="G65" s="34"/>
      <c r="H65" s="50"/>
      <c r="I65" s="34"/>
      <c r="J65" s="50"/>
      <c r="K65" s="34"/>
      <c r="L65" s="50"/>
      <c r="M65" s="51"/>
      <c r="N65" s="34"/>
      <c r="O65" s="34"/>
      <c r="P65" s="50"/>
      <c r="Q65" s="34"/>
      <c r="R65" s="60"/>
      <c r="S65" s="52" t="str">
        <f aca="false">IF(A65="","",IF(AND(OR(N65="Complete",N65="Not applicable - justified"),O65&lt;&gt;""),"Yes","No"))</f>
        <v/>
      </c>
      <c r="T65" s="52" t="str">
        <f aca="false">IF(A65="","",IF(AND(S65="No",ISNUMBER(M65),M65&lt;AsOf),"Overdue",""))</f>
        <v/>
      </c>
      <c r="U65" s="54" t="str">
        <f aca="false">IF(A65="","",IF(COUNTIFS(EXT_SUP,B65,EXT_MAND,"&lt;&gt;No",EXT_DONE,"No")&gt;0,"Not ready - "&amp;COUNTIFS(EXT_SUP,B65,EXT_MAND,"&lt;&gt;No",EXT_DONE,"No")&amp;" mandatory action(s) open",IF(SUMPRODUCT(--(COUNTIFS(EXT_SUP,B65,EXT_ITEM,L_ExitItems)=0))&gt;0,"Not ready - "&amp;SUMPRODUCT(--(COUNTIFS(EXT_SUP,B65,EXT_ITEM,L_ExitItems)=0))&amp;" checklist item(s) not yet recorded","Ready for closure review (not a formal approval)")))</f>
        <v/>
      </c>
      <c r="V65" s="54" t="str">
        <f aca="false">IF(A65="","",IF(COUNTIF(EXT_ID,A65)&gt;1,"CHECK: duplicate ID",IF(B65="","CHECK: Supplier ID missing",IF(COUNTIF(INV_ID,B65)=0,"CHECK: Supplier ID not in inventory",IF(AND(H65&lt;&gt;"",COUNTIF(INV_ID,H65)=0),"CHECK: Replacement supplier ID not in inventory",IF(AND(Q65="Closed - approved",OR(LEFT(U65,9)="Not ready",R65="")),"CHECK: closed without readiness or approval reference",IF(AND(Q65="Ready for closure review",LEFT(U65,9)="Not ready"),"CHECK: marked ready but mandatory items open","OK")))))))</f>
        <v/>
      </c>
    </row>
    <row r="66" customFormat="false" ht="15" hidden="false" customHeight="false" outlineLevel="0" collapsed="false">
      <c r="A66" s="50"/>
      <c r="B66" s="50"/>
      <c r="C66" s="59" t="str">
        <f aca="false">IF(B66="","",IFERROR(INDEX(INV_NAME,MATCH(B66,INV_ID,0)),"CHECK: Supplier ID not found"))</f>
        <v/>
      </c>
      <c r="D66" s="34"/>
      <c r="E66" s="34"/>
      <c r="F66" s="51"/>
      <c r="G66" s="34"/>
      <c r="H66" s="50"/>
      <c r="I66" s="34"/>
      <c r="J66" s="50"/>
      <c r="K66" s="34"/>
      <c r="L66" s="50"/>
      <c r="M66" s="51"/>
      <c r="N66" s="34"/>
      <c r="O66" s="34"/>
      <c r="P66" s="50"/>
      <c r="Q66" s="34"/>
      <c r="R66" s="60"/>
      <c r="S66" s="52" t="str">
        <f aca="false">IF(A66="","",IF(AND(OR(N66="Complete",N66="Not applicable - justified"),O66&lt;&gt;""),"Yes","No"))</f>
        <v/>
      </c>
      <c r="T66" s="52" t="str">
        <f aca="false">IF(A66="","",IF(AND(S66="No",ISNUMBER(M66),M66&lt;AsOf),"Overdue",""))</f>
        <v/>
      </c>
      <c r="U66" s="54" t="str">
        <f aca="false">IF(A66="","",IF(COUNTIFS(EXT_SUP,B66,EXT_MAND,"&lt;&gt;No",EXT_DONE,"No")&gt;0,"Not ready - "&amp;COUNTIFS(EXT_SUP,B66,EXT_MAND,"&lt;&gt;No",EXT_DONE,"No")&amp;" mandatory action(s) open",IF(SUMPRODUCT(--(COUNTIFS(EXT_SUP,B66,EXT_ITEM,L_ExitItems)=0))&gt;0,"Not ready - "&amp;SUMPRODUCT(--(COUNTIFS(EXT_SUP,B66,EXT_ITEM,L_ExitItems)=0))&amp;" checklist item(s) not yet recorded","Ready for closure review (not a formal approval)")))</f>
        <v/>
      </c>
      <c r="V66" s="54" t="str">
        <f aca="false">IF(A66="","",IF(COUNTIF(EXT_ID,A66)&gt;1,"CHECK: duplicate ID",IF(B66="","CHECK: Supplier ID missing",IF(COUNTIF(INV_ID,B66)=0,"CHECK: Supplier ID not in inventory",IF(AND(H66&lt;&gt;"",COUNTIF(INV_ID,H66)=0),"CHECK: Replacement supplier ID not in inventory",IF(AND(Q66="Closed - approved",OR(LEFT(U66,9)="Not ready",R66="")),"CHECK: closed without readiness or approval reference",IF(AND(Q66="Ready for closure review",LEFT(U66,9)="Not ready"),"CHECK: marked ready but mandatory items open","OK")))))))</f>
        <v/>
      </c>
    </row>
    <row r="67" customFormat="false" ht="15" hidden="false" customHeight="false" outlineLevel="0" collapsed="false">
      <c r="A67" s="50"/>
      <c r="B67" s="50"/>
      <c r="C67" s="59" t="str">
        <f aca="false">IF(B67="","",IFERROR(INDEX(INV_NAME,MATCH(B67,INV_ID,0)),"CHECK: Supplier ID not found"))</f>
        <v/>
      </c>
      <c r="D67" s="34"/>
      <c r="E67" s="34"/>
      <c r="F67" s="51"/>
      <c r="G67" s="34"/>
      <c r="H67" s="50"/>
      <c r="I67" s="34"/>
      <c r="J67" s="50"/>
      <c r="K67" s="34"/>
      <c r="L67" s="50"/>
      <c r="M67" s="51"/>
      <c r="N67" s="34"/>
      <c r="O67" s="34"/>
      <c r="P67" s="50"/>
      <c r="Q67" s="34"/>
      <c r="R67" s="60"/>
      <c r="S67" s="52" t="str">
        <f aca="false">IF(A67="","",IF(AND(OR(N67="Complete",N67="Not applicable - justified"),O67&lt;&gt;""),"Yes","No"))</f>
        <v/>
      </c>
      <c r="T67" s="52" t="str">
        <f aca="false">IF(A67="","",IF(AND(S67="No",ISNUMBER(M67),M67&lt;AsOf),"Overdue",""))</f>
        <v/>
      </c>
      <c r="U67" s="54" t="str">
        <f aca="false">IF(A67="","",IF(COUNTIFS(EXT_SUP,B67,EXT_MAND,"&lt;&gt;No",EXT_DONE,"No")&gt;0,"Not ready - "&amp;COUNTIFS(EXT_SUP,B67,EXT_MAND,"&lt;&gt;No",EXT_DONE,"No")&amp;" mandatory action(s) open",IF(SUMPRODUCT(--(COUNTIFS(EXT_SUP,B67,EXT_ITEM,L_ExitItems)=0))&gt;0,"Not ready - "&amp;SUMPRODUCT(--(COUNTIFS(EXT_SUP,B67,EXT_ITEM,L_ExitItems)=0))&amp;" checklist item(s) not yet recorded","Ready for closure review (not a formal approval)")))</f>
        <v/>
      </c>
      <c r="V67" s="54" t="str">
        <f aca="false">IF(A67="","",IF(COUNTIF(EXT_ID,A67)&gt;1,"CHECK: duplicate ID",IF(B67="","CHECK: Supplier ID missing",IF(COUNTIF(INV_ID,B67)=0,"CHECK: Supplier ID not in inventory",IF(AND(H67&lt;&gt;"",COUNTIF(INV_ID,H67)=0),"CHECK: Replacement supplier ID not in inventory",IF(AND(Q67="Closed - approved",OR(LEFT(U67,9)="Not ready",R67="")),"CHECK: closed without readiness or approval reference",IF(AND(Q67="Ready for closure review",LEFT(U67,9)="Not ready"),"CHECK: marked ready but mandatory items open","OK")))))))</f>
        <v/>
      </c>
    </row>
    <row r="68" customFormat="false" ht="15" hidden="false" customHeight="false" outlineLevel="0" collapsed="false">
      <c r="A68" s="50"/>
      <c r="B68" s="50"/>
      <c r="C68" s="59" t="str">
        <f aca="false">IF(B68="","",IFERROR(INDEX(INV_NAME,MATCH(B68,INV_ID,0)),"CHECK: Supplier ID not found"))</f>
        <v/>
      </c>
      <c r="D68" s="34"/>
      <c r="E68" s="34"/>
      <c r="F68" s="51"/>
      <c r="G68" s="34"/>
      <c r="H68" s="50"/>
      <c r="I68" s="34"/>
      <c r="J68" s="50"/>
      <c r="K68" s="34"/>
      <c r="L68" s="50"/>
      <c r="M68" s="51"/>
      <c r="N68" s="34"/>
      <c r="O68" s="34"/>
      <c r="P68" s="50"/>
      <c r="Q68" s="34"/>
      <c r="R68" s="60"/>
      <c r="S68" s="52" t="str">
        <f aca="false">IF(A68="","",IF(AND(OR(N68="Complete",N68="Not applicable - justified"),O68&lt;&gt;""),"Yes","No"))</f>
        <v/>
      </c>
      <c r="T68" s="52" t="str">
        <f aca="false">IF(A68="","",IF(AND(S68="No",ISNUMBER(M68),M68&lt;AsOf),"Overdue",""))</f>
        <v/>
      </c>
      <c r="U68" s="54" t="str">
        <f aca="false">IF(A68="","",IF(COUNTIFS(EXT_SUP,B68,EXT_MAND,"&lt;&gt;No",EXT_DONE,"No")&gt;0,"Not ready - "&amp;COUNTIFS(EXT_SUP,B68,EXT_MAND,"&lt;&gt;No",EXT_DONE,"No")&amp;" mandatory action(s) open",IF(SUMPRODUCT(--(COUNTIFS(EXT_SUP,B68,EXT_ITEM,L_ExitItems)=0))&gt;0,"Not ready - "&amp;SUMPRODUCT(--(COUNTIFS(EXT_SUP,B68,EXT_ITEM,L_ExitItems)=0))&amp;" checklist item(s) not yet recorded","Ready for closure review (not a formal approval)")))</f>
        <v/>
      </c>
      <c r="V68" s="54" t="str">
        <f aca="false">IF(A68="","",IF(COUNTIF(EXT_ID,A68)&gt;1,"CHECK: duplicate ID",IF(B68="","CHECK: Supplier ID missing",IF(COUNTIF(INV_ID,B68)=0,"CHECK: Supplier ID not in inventory",IF(AND(H68&lt;&gt;"",COUNTIF(INV_ID,H68)=0),"CHECK: Replacement supplier ID not in inventory",IF(AND(Q68="Closed - approved",OR(LEFT(U68,9)="Not ready",R68="")),"CHECK: closed without readiness or approval reference",IF(AND(Q68="Ready for closure review",LEFT(U68,9)="Not ready"),"CHECK: marked ready but mandatory items open","OK")))))))</f>
        <v/>
      </c>
    </row>
    <row r="69" customFormat="false" ht="15" hidden="false" customHeight="false" outlineLevel="0" collapsed="false">
      <c r="A69" s="50"/>
      <c r="B69" s="50"/>
      <c r="C69" s="59" t="str">
        <f aca="false">IF(B69="","",IFERROR(INDEX(INV_NAME,MATCH(B69,INV_ID,0)),"CHECK: Supplier ID not found"))</f>
        <v/>
      </c>
      <c r="D69" s="34"/>
      <c r="E69" s="34"/>
      <c r="F69" s="51"/>
      <c r="G69" s="34"/>
      <c r="H69" s="50"/>
      <c r="I69" s="34"/>
      <c r="J69" s="50"/>
      <c r="K69" s="34"/>
      <c r="L69" s="50"/>
      <c r="M69" s="51"/>
      <c r="N69" s="34"/>
      <c r="O69" s="34"/>
      <c r="P69" s="50"/>
      <c r="Q69" s="34"/>
      <c r="R69" s="60"/>
      <c r="S69" s="52" t="str">
        <f aca="false">IF(A69="","",IF(AND(OR(N69="Complete",N69="Not applicable - justified"),O69&lt;&gt;""),"Yes","No"))</f>
        <v/>
      </c>
      <c r="T69" s="52" t="str">
        <f aca="false">IF(A69="","",IF(AND(S69="No",ISNUMBER(M69),M69&lt;AsOf),"Overdue",""))</f>
        <v/>
      </c>
      <c r="U69" s="54" t="str">
        <f aca="false">IF(A69="","",IF(COUNTIFS(EXT_SUP,B69,EXT_MAND,"&lt;&gt;No",EXT_DONE,"No")&gt;0,"Not ready - "&amp;COUNTIFS(EXT_SUP,B69,EXT_MAND,"&lt;&gt;No",EXT_DONE,"No")&amp;" mandatory action(s) open",IF(SUMPRODUCT(--(COUNTIFS(EXT_SUP,B69,EXT_ITEM,L_ExitItems)=0))&gt;0,"Not ready - "&amp;SUMPRODUCT(--(COUNTIFS(EXT_SUP,B69,EXT_ITEM,L_ExitItems)=0))&amp;" checklist item(s) not yet recorded","Ready for closure review (not a formal approval)")))</f>
        <v/>
      </c>
      <c r="V69" s="54" t="str">
        <f aca="false">IF(A69="","",IF(COUNTIF(EXT_ID,A69)&gt;1,"CHECK: duplicate ID",IF(B69="","CHECK: Supplier ID missing",IF(COUNTIF(INV_ID,B69)=0,"CHECK: Supplier ID not in inventory",IF(AND(H69&lt;&gt;"",COUNTIF(INV_ID,H69)=0),"CHECK: Replacement supplier ID not in inventory",IF(AND(Q69="Closed - approved",OR(LEFT(U69,9)="Not ready",R69="")),"CHECK: closed without readiness or approval reference",IF(AND(Q69="Ready for closure review",LEFT(U69,9)="Not ready"),"CHECK: marked ready but mandatory items open","OK")))))))</f>
        <v/>
      </c>
    </row>
    <row r="70" customFormat="false" ht="15" hidden="false" customHeight="false" outlineLevel="0" collapsed="false">
      <c r="A70" s="50"/>
      <c r="B70" s="50"/>
      <c r="C70" s="59" t="str">
        <f aca="false">IF(B70="","",IFERROR(INDEX(INV_NAME,MATCH(B70,INV_ID,0)),"CHECK: Supplier ID not found"))</f>
        <v/>
      </c>
      <c r="D70" s="34"/>
      <c r="E70" s="34"/>
      <c r="F70" s="51"/>
      <c r="G70" s="34"/>
      <c r="H70" s="50"/>
      <c r="I70" s="34"/>
      <c r="J70" s="50"/>
      <c r="K70" s="34"/>
      <c r="L70" s="50"/>
      <c r="M70" s="51"/>
      <c r="N70" s="34"/>
      <c r="O70" s="34"/>
      <c r="P70" s="50"/>
      <c r="Q70" s="34"/>
      <c r="R70" s="60"/>
      <c r="S70" s="52" t="str">
        <f aca="false">IF(A70="","",IF(AND(OR(N70="Complete",N70="Not applicable - justified"),O70&lt;&gt;""),"Yes","No"))</f>
        <v/>
      </c>
      <c r="T70" s="52" t="str">
        <f aca="false">IF(A70="","",IF(AND(S70="No",ISNUMBER(M70),M70&lt;AsOf),"Overdue",""))</f>
        <v/>
      </c>
      <c r="U70" s="54" t="str">
        <f aca="false">IF(A70="","",IF(COUNTIFS(EXT_SUP,B70,EXT_MAND,"&lt;&gt;No",EXT_DONE,"No")&gt;0,"Not ready - "&amp;COUNTIFS(EXT_SUP,B70,EXT_MAND,"&lt;&gt;No",EXT_DONE,"No")&amp;" mandatory action(s) open",IF(SUMPRODUCT(--(COUNTIFS(EXT_SUP,B70,EXT_ITEM,L_ExitItems)=0))&gt;0,"Not ready - "&amp;SUMPRODUCT(--(COUNTIFS(EXT_SUP,B70,EXT_ITEM,L_ExitItems)=0))&amp;" checklist item(s) not yet recorded","Ready for closure review (not a formal approval)")))</f>
        <v/>
      </c>
      <c r="V70" s="54" t="str">
        <f aca="false">IF(A70="","",IF(COUNTIF(EXT_ID,A70)&gt;1,"CHECK: duplicate ID",IF(B70="","CHECK: Supplier ID missing",IF(COUNTIF(INV_ID,B70)=0,"CHECK: Supplier ID not in inventory",IF(AND(H70&lt;&gt;"",COUNTIF(INV_ID,H70)=0),"CHECK: Replacement supplier ID not in inventory",IF(AND(Q70="Closed - approved",OR(LEFT(U70,9)="Not ready",R70="")),"CHECK: closed without readiness or approval reference",IF(AND(Q70="Ready for closure review",LEFT(U70,9)="Not ready"),"CHECK: marked ready but mandatory items open","OK")))))))</f>
        <v/>
      </c>
    </row>
    <row r="71" customFormat="false" ht="15" hidden="false" customHeight="false" outlineLevel="0" collapsed="false">
      <c r="A71" s="50"/>
      <c r="B71" s="50"/>
      <c r="C71" s="59" t="str">
        <f aca="false">IF(B71="","",IFERROR(INDEX(INV_NAME,MATCH(B71,INV_ID,0)),"CHECK: Supplier ID not found"))</f>
        <v/>
      </c>
      <c r="D71" s="34"/>
      <c r="E71" s="34"/>
      <c r="F71" s="51"/>
      <c r="G71" s="34"/>
      <c r="H71" s="50"/>
      <c r="I71" s="34"/>
      <c r="J71" s="50"/>
      <c r="K71" s="34"/>
      <c r="L71" s="50"/>
      <c r="M71" s="51"/>
      <c r="N71" s="34"/>
      <c r="O71" s="34"/>
      <c r="P71" s="50"/>
      <c r="Q71" s="34"/>
      <c r="R71" s="60"/>
      <c r="S71" s="52" t="str">
        <f aca="false">IF(A71="","",IF(AND(OR(N71="Complete",N71="Not applicable - justified"),O71&lt;&gt;""),"Yes","No"))</f>
        <v/>
      </c>
      <c r="T71" s="52" t="str">
        <f aca="false">IF(A71="","",IF(AND(S71="No",ISNUMBER(M71),M71&lt;AsOf),"Overdue",""))</f>
        <v/>
      </c>
      <c r="U71" s="54" t="str">
        <f aca="false">IF(A71="","",IF(COUNTIFS(EXT_SUP,B71,EXT_MAND,"&lt;&gt;No",EXT_DONE,"No")&gt;0,"Not ready - "&amp;COUNTIFS(EXT_SUP,B71,EXT_MAND,"&lt;&gt;No",EXT_DONE,"No")&amp;" mandatory action(s) open",IF(SUMPRODUCT(--(COUNTIFS(EXT_SUP,B71,EXT_ITEM,L_ExitItems)=0))&gt;0,"Not ready - "&amp;SUMPRODUCT(--(COUNTIFS(EXT_SUP,B71,EXT_ITEM,L_ExitItems)=0))&amp;" checklist item(s) not yet recorded","Ready for closure review (not a formal approval)")))</f>
        <v/>
      </c>
      <c r="V71" s="54" t="str">
        <f aca="false">IF(A71="","",IF(COUNTIF(EXT_ID,A71)&gt;1,"CHECK: duplicate ID",IF(B71="","CHECK: Supplier ID missing",IF(COUNTIF(INV_ID,B71)=0,"CHECK: Supplier ID not in inventory",IF(AND(H71&lt;&gt;"",COUNTIF(INV_ID,H71)=0),"CHECK: Replacement supplier ID not in inventory",IF(AND(Q71="Closed - approved",OR(LEFT(U71,9)="Not ready",R71="")),"CHECK: closed without readiness or approval reference",IF(AND(Q71="Ready for closure review",LEFT(U71,9)="Not ready"),"CHECK: marked ready but mandatory items open","OK")))))))</f>
        <v/>
      </c>
    </row>
    <row r="72" customFormat="false" ht="15" hidden="false" customHeight="false" outlineLevel="0" collapsed="false">
      <c r="A72" s="50"/>
      <c r="B72" s="50"/>
      <c r="C72" s="59" t="str">
        <f aca="false">IF(B72="","",IFERROR(INDEX(INV_NAME,MATCH(B72,INV_ID,0)),"CHECK: Supplier ID not found"))</f>
        <v/>
      </c>
      <c r="D72" s="34"/>
      <c r="E72" s="34"/>
      <c r="F72" s="51"/>
      <c r="G72" s="34"/>
      <c r="H72" s="50"/>
      <c r="I72" s="34"/>
      <c r="J72" s="50"/>
      <c r="K72" s="34"/>
      <c r="L72" s="50"/>
      <c r="M72" s="51"/>
      <c r="N72" s="34"/>
      <c r="O72" s="34"/>
      <c r="P72" s="50"/>
      <c r="Q72" s="34"/>
      <c r="R72" s="60"/>
      <c r="S72" s="52" t="str">
        <f aca="false">IF(A72="","",IF(AND(OR(N72="Complete",N72="Not applicable - justified"),O72&lt;&gt;""),"Yes","No"))</f>
        <v/>
      </c>
      <c r="T72" s="52" t="str">
        <f aca="false">IF(A72="","",IF(AND(S72="No",ISNUMBER(M72),M72&lt;AsOf),"Overdue",""))</f>
        <v/>
      </c>
      <c r="U72" s="54" t="str">
        <f aca="false">IF(A72="","",IF(COUNTIFS(EXT_SUP,B72,EXT_MAND,"&lt;&gt;No",EXT_DONE,"No")&gt;0,"Not ready - "&amp;COUNTIFS(EXT_SUP,B72,EXT_MAND,"&lt;&gt;No",EXT_DONE,"No")&amp;" mandatory action(s) open",IF(SUMPRODUCT(--(COUNTIFS(EXT_SUP,B72,EXT_ITEM,L_ExitItems)=0))&gt;0,"Not ready - "&amp;SUMPRODUCT(--(COUNTIFS(EXT_SUP,B72,EXT_ITEM,L_ExitItems)=0))&amp;" checklist item(s) not yet recorded","Ready for closure review (not a formal approval)")))</f>
        <v/>
      </c>
      <c r="V72" s="54" t="str">
        <f aca="false">IF(A72="","",IF(COUNTIF(EXT_ID,A72)&gt;1,"CHECK: duplicate ID",IF(B72="","CHECK: Supplier ID missing",IF(COUNTIF(INV_ID,B72)=0,"CHECK: Supplier ID not in inventory",IF(AND(H72&lt;&gt;"",COUNTIF(INV_ID,H72)=0),"CHECK: Replacement supplier ID not in inventory",IF(AND(Q72="Closed - approved",OR(LEFT(U72,9)="Not ready",R72="")),"CHECK: closed without readiness or approval reference",IF(AND(Q72="Ready for closure review",LEFT(U72,9)="Not ready"),"CHECK: marked ready but mandatory items open","OK")))))))</f>
        <v/>
      </c>
    </row>
    <row r="73" customFormat="false" ht="15" hidden="false" customHeight="false" outlineLevel="0" collapsed="false">
      <c r="A73" s="50"/>
      <c r="B73" s="50"/>
      <c r="C73" s="59" t="str">
        <f aca="false">IF(B73="","",IFERROR(INDEX(INV_NAME,MATCH(B73,INV_ID,0)),"CHECK: Supplier ID not found"))</f>
        <v/>
      </c>
      <c r="D73" s="34"/>
      <c r="E73" s="34"/>
      <c r="F73" s="51"/>
      <c r="G73" s="34"/>
      <c r="H73" s="50"/>
      <c r="I73" s="34"/>
      <c r="J73" s="50"/>
      <c r="K73" s="34"/>
      <c r="L73" s="50"/>
      <c r="M73" s="51"/>
      <c r="N73" s="34"/>
      <c r="O73" s="34"/>
      <c r="P73" s="50"/>
      <c r="Q73" s="34"/>
      <c r="R73" s="60"/>
      <c r="S73" s="52" t="str">
        <f aca="false">IF(A73="","",IF(AND(OR(N73="Complete",N73="Not applicable - justified"),O73&lt;&gt;""),"Yes","No"))</f>
        <v/>
      </c>
      <c r="T73" s="52" t="str">
        <f aca="false">IF(A73="","",IF(AND(S73="No",ISNUMBER(M73),M73&lt;AsOf),"Overdue",""))</f>
        <v/>
      </c>
      <c r="U73" s="54" t="str">
        <f aca="false">IF(A73="","",IF(COUNTIFS(EXT_SUP,B73,EXT_MAND,"&lt;&gt;No",EXT_DONE,"No")&gt;0,"Not ready - "&amp;COUNTIFS(EXT_SUP,B73,EXT_MAND,"&lt;&gt;No",EXT_DONE,"No")&amp;" mandatory action(s) open",IF(SUMPRODUCT(--(COUNTIFS(EXT_SUP,B73,EXT_ITEM,L_ExitItems)=0))&gt;0,"Not ready - "&amp;SUMPRODUCT(--(COUNTIFS(EXT_SUP,B73,EXT_ITEM,L_ExitItems)=0))&amp;" checklist item(s) not yet recorded","Ready for closure review (not a formal approval)")))</f>
        <v/>
      </c>
      <c r="V73" s="54" t="str">
        <f aca="false">IF(A73="","",IF(COUNTIF(EXT_ID,A73)&gt;1,"CHECK: duplicate ID",IF(B73="","CHECK: Supplier ID missing",IF(COUNTIF(INV_ID,B73)=0,"CHECK: Supplier ID not in inventory",IF(AND(H73&lt;&gt;"",COUNTIF(INV_ID,H73)=0),"CHECK: Replacement supplier ID not in inventory",IF(AND(Q73="Closed - approved",OR(LEFT(U73,9)="Not ready",R73="")),"CHECK: closed without readiness or approval reference",IF(AND(Q73="Ready for closure review",LEFT(U73,9)="Not ready"),"CHECK: marked ready but mandatory items open","OK")))))))</f>
        <v/>
      </c>
    </row>
    <row r="74" customFormat="false" ht="15" hidden="false" customHeight="false" outlineLevel="0" collapsed="false">
      <c r="A74" s="50"/>
      <c r="B74" s="50"/>
      <c r="C74" s="59" t="str">
        <f aca="false">IF(B74="","",IFERROR(INDEX(INV_NAME,MATCH(B74,INV_ID,0)),"CHECK: Supplier ID not found"))</f>
        <v/>
      </c>
      <c r="D74" s="34"/>
      <c r="E74" s="34"/>
      <c r="F74" s="51"/>
      <c r="G74" s="34"/>
      <c r="H74" s="50"/>
      <c r="I74" s="34"/>
      <c r="J74" s="50"/>
      <c r="K74" s="34"/>
      <c r="L74" s="50"/>
      <c r="M74" s="51"/>
      <c r="N74" s="34"/>
      <c r="O74" s="34"/>
      <c r="P74" s="50"/>
      <c r="Q74" s="34"/>
      <c r="R74" s="60"/>
      <c r="S74" s="52" t="str">
        <f aca="false">IF(A74="","",IF(AND(OR(N74="Complete",N74="Not applicable - justified"),O74&lt;&gt;""),"Yes","No"))</f>
        <v/>
      </c>
      <c r="T74" s="52" t="str">
        <f aca="false">IF(A74="","",IF(AND(S74="No",ISNUMBER(M74),M74&lt;AsOf),"Overdue",""))</f>
        <v/>
      </c>
      <c r="U74" s="54" t="str">
        <f aca="false">IF(A74="","",IF(COUNTIFS(EXT_SUP,B74,EXT_MAND,"&lt;&gt;No",EXT_DONE,"No")&gt;0,"Not ready - "&amp;COUNTIFS(EXT_SUP,B74,EXT_MAND,"&lt;&gt;No",EXT_DONE,"No")&amp;" mandatory action(s) open",IF(SUMPRODUCT(--(COUNTIFS(EXT_SUP,B74,EXT_ITEM,L_ExitItems)=0))&gt;0,"Not ready - "&amp;SUMPRODUCT(--(COUNTIFS(EXT_SUP,B74,EXT_ITEM,L_ExitItems)=0))&amp;" checklist item(s) not yet recorded","Ready for closure review (not a formal approval)")))</f>
        <v/>
      </c>
      <c r="V74" s="54" t="str">
        <f aca="false">IF(A74="","",IF(COUNTIF(EXT_ID,A74)&gt;1,"CHECK: duplicate ID",IF(B74="","CHECK: Supplier ID missing",IF(COUNTIF(INV_ID,B74)=0,"CHECK: Supplier ID not in inventory",IF(AND(H74&lt;&gt;"",COUNTIF(INV_ID,H74)=0),"CHECK: Replacement supplier ID not in inventory",IF(AND(Q74="Closed - approved",OR(LEFT(U74,9)="Not ready",R74="")),"CHECK: closed without readiness or approval reference",IF(AND(Q74="Ready for closure review",LEFT(U74,9)="Not ready"),"CHECK: marked ready but mandatory items open","OK")))))))</f>
        <v/>
      </c>
    </row>
    <row r="75" customFormat="false" ht="15" hidden="false" customHeight="false" outlineLevel="0" collapsed="false">
      <c r="A75" s="50"/>
      <c r="B75" s="50"/>
      <c r="C75" s="59" t="str">
        <f aca="false">IF(B75="","",IFERROR(INDEX(INV_NAME,MATCH(B75,INV_ID,0)),"CHECK: Supplier ID not found"))</f>
        <v/>
      </c>
      <c r="D75" s="34"/>
      <c r="E75" s="34"/>
      <c r="F75" s="51"/>
      <c r="G75" s="34"/>
      <c r="H75" s="50"/>
      <c r="I75" s="34"/>
      <c r="J75" s="50"/>
      <c r="K75" s="34"/>
      <c r="L75" s="50"/>
      <c r="M75" s="51"/>
      <c r="N75" s="34"/>
      <c r="O75" s="34"/>
      <c r="P75" s="50"/>
      <c r="Q75" s="34"/>
      <c r="R75" s="60"/>
      <c r="S75" s="52" t="str">
        <f aca="false">IF(A75="","",IF(AND(OR(N75="Complete",N75="Not applicable - justified"),O75&lt;&gt;""),"Yes","No"))</f>
        <v/>
      </c>
      <c r="T75" s="52" t="str">
        <f aca="false">IF(A75="","",IF(AND(S75="No",ISNUMBER(M75),M75&lt;AsOf),"Overdue",""))</f>
        <v/>
      </c>
      <c r="U75" s="54" t="str">
        <f aca="false">IF(A75="","",IF(COUNTIFS(EXT_SUP,B75,EXT_MAND,"&lt;&gt;No",EXT_DONE,"No")&gt;0,"Not ready - "&amp;COUNTIFS(EXT_SUP,B75,EXT_MAND,"&lt;&gt;No",EXT_DONE,"No")&amp;" mandatory action(s) open",IF(SUMPRODUCT(--(COUNTIFS(EXT_SUP,B75,EXT_ITEM,L_ExitItems)=0))&gt;0,"Not ready - "&amp;SUMPRODUCT(--(COUNTIFS(EXT_SUP,B75,EXT_ITEM,L_ExitItems)=0))&amp;" checklist item(s) not yet recorded","Ready for closure review (not a formal approval)")))</f>
        <v/>
      </c>
      <c r="V75" s="54" t="str">
        <f aca="false">IF(A75="","",IF(COUNTIF(EXT_ID,A75)&gt;1,"CHECK: duplicate ID",IF(B75="","CHECK: Supplier ID missing",IF(COUNTIF(INV_ID,B75)=0,"CHECK: Supplier ID not in inventory",IF(AND(H75&lt;&gt;"",COUNTIF(INV_ID,H75)=0),"CHECK: Replacement supplier ID not in inventory",IF(AND(Q75="Closed - approved",OR(LEFT(U75,9)="Not ready",R75="")),"CHECK: closed without readiness or approval reference",IF(AND(Q75="Ready for closure review",LEFT(U75,9)="Not ready"),"CHECK: marked ready but mandatory items open","OK")))))))</f>
        <v/>
      </c>
    </row>
    <row r="76" customFormat="false" ht="15" hidden="false" customHeight="false" outlineLevel="0" collapsed="false">
      <c r="A76" s="50"/>
      <c r="B76" s="50"/>
      <c r="C76" s="59" t="str">
        <f aca="false">IF(B76="","",IFERROR(INDEX(INV_NAME,MATCH(B76,INV_ID,0)),"CHECK: Supplier ID not found"))</f>
        <v/>
      </c>
      <c r="D76" s="34"/>
      <c r="E76" s="34"/>
      <c r="F76" s="51"/>
      <c r="G76" s="34"/>
      <c r="H76" s="50"/>
      <c r="I76" s="34"/>
      <c r="J76" s="50"/>
      <c r="K76" s="34"/>
      <c r="L76" s="50"/>
      <c r="M76" s="51"/>
      <c r="N76" s="34"/>
      <c r="O76" s="34"/>
      <c r="P76" s="50"/>
      <c r="Q76" s="34"/>
      <c r="R76" s="60"/>
      <c r="S76" s="52" t="str">
        <f aca="false">IF(A76="","",IF(AND(OR(N76="Complete",N76="Not applicable - justified"),O76&lt;&gt;""),"Yes","No"))</f>
        <v/>
      </c>
      <c r="T76" s="52" t="str">
        <f aca="false">IF(A76="","",IF(AND(S76="No",ISNUMBER(M76),M76&lt;AsOf),"Overdue",""))</f>
        <v/>
      </c>
      <c r="U76" s="54" t="str">
        <f aca="false">IF(A76="","",IF(COUNTIFS(EXT_SUP,B76,EXT_MAND,"&lt;&gt;No",EXT_DONE,"No")&gt;0,"Not ready - "&amp;COUNTIFS(EXT_SUP,B76,EXT_MAND,"&lt;&gt;No",EXT_DONE,"No")&amp;" mandatory action(s) open",IF(SUMPRODUCT(--(COUNTIFS(EXT_SUP,B76,EXT_ITEM,L_ExitItems)=0))&gt;0,"Not ready - "&amp;SUMPRODUCT(--(COUNTIFS(EXT_SUP,B76,EXT_ITEM,L_ExitItems)=0))&amp;" checklist item(s) not yet recorded","Ready for closure review (not a formal approval)")))</f>
        <v/>
      </c>
      <c r="V76" s="54" t="str">
        <f aca="false">IF(A76="","",IF(COUNTIF(EXT_ID,A76)&gt;1,"CHECK: duplicate ID",IF(B76="","CHECK: Supplier ID missing",IF(COUNTIF(INV_ID,B76)=0,"CHECK: Supplier ID not in inventory",IF(AND(H76&lt;&gt;"",COUNTIF(INV_ID,H76)=0),"CHECK: Replacement supplier ID not in inventory",IF(AND(Q76="Closed - approved",OR(LEFT(U76,9)="Not ready",R76="")),"CHECK: closed without readiness or approval reference",IF(AND(Q76="Ready for closure review",LEFT(U76,9)="Not ready"),"CHECK: marked ready but mandatory items open","OK")))))))</f>
        <v/>
      </c>
    </row>
    <row r="77" customFormat="false" ht="15" hidden="false" customHeight="false" outlineLevel="0" collapsed="false">
      <c r="A77" s="50"/>
      <c r="B77" s="50"/>
      <c r="C77" s="59" t="str">
        <f aca="false">IF(B77="","",IFERROR(INDEX(INV_NAME,MATCH(B77,INV_ID,0)),"CHECK: Supplier ID not found"))</f>
        <v/>
      </c>
      <c r="D77" s="34"/>
      <c r="E77" s="34"/>
      <c r="F77" s="51"/>
      <c r="G77" s="34"/>
      <c r="H77" s="50"/>
      <c r="I77" s="34"/>
      <c r="J77" s="50"/>
      <c r="K77" s="34"/>
      <c r="L77" s="50"/>
      <c r="M77" s="51"/>
      <c r="N77" s="34"/>
      <c r="O77" s="34"/>
      <c r="P77" s="50"/>
      <c r="Q77" s="34"/>
      <c r="R77" s="60"/>
      <c r="S77" s="52" t="str">
        <f aca="false">IF(A77="","",IF(AND(OR(N77="Complete",N77="Not applicable - justified"),O77&lt;&gt;""),"Yes","No"))</f>
        <v/>
      </c>
      <c r="T77" s="52" t="str">
        <f aca="false">IF(A77="","",IF(AND(S77="No",ISNUMBER(M77),M77&lt;AsOf),"Overdue",""))</f>
        <v/>
      </c>
      <c r="U77" s="54" t="str">
        <f aca="false">IF(A77="","",IF(COUNTIFS(EXT_SUP,B77,EXT_MAND,"&lt;&gt;No",EXT_DONE,"No")&gt;0,"Not ready - "&amp;COUNTIFS(EXT_SUP,B77,EXT_MAND,"&lt;&gt;No",EXT_DONE,"No")&amp;" mandatory action(s) open",IF(SUMPRODUCT(--(COUNTIFS(EXT_SUP,B77,EXT_ITEM,L_ExitItems)=0))&gt;0,"Not ready - "&amp;SUMPRODUCT(--(COUNTIFS(EXT_SUP,B77,EXT_ITEM,L_ExitItems)=0))&amp;" checklist item(s) not yet recorded","Ready for closure review (not a formal approval)")))</f>
        <v/>
      </c>
      <c r="V77" s="54" t="str">
        <f aca="false">IF(A77="","",IF(COUNTIF(EXT_ID,A77)&gt;1,"CHECK: duplicate ID",IF(B77="","CHECK: Supplier ID missing",IF(COUNTIF(INV_ID,B77)=0,"CHECK: Supplier ID not in inventory",IF(AND(H77&lt;&gt;"",COUNTIF(INV_ID,H77)=0),"CHECK: Replacement supplier ID not in inventory",IF(AND(Q77="Closed - approved",OR(LEFT(U77,9)="Not ready",R77="")),"CHECK: closed without readiness or approval reference",IF(AND(Q77="Ready for closure review",LEFT(U77,9)="Not ready"),"CHECK: marked ready but mandatory items open","OK")))))))</f>
        <v/>
      </c>
    </row>
    <row r="78" customFormat="false" ht="15" hidden="false" customHeight="false" outlineLevel="0" collapsed="false">
      <c r="A78" s="50"/>
      <c r="B78" s="50"/>
      <c r="C78" s="59" t="str">
        <f aca="false">IF(B78="","",IFERROR(INDEX(INV_NAME,MATCH(B78,INV_ID,0)),"CHECK: Supplier ID not found"))</f>
        <v/>
      </c>
      <c r="D78" s="34"/>
      <c r="E78" s="34"/>
      <c r="F78" s="51"/>
      <c r="G78" s="34"/>
      <c r="H78" s="50"/>
      <c r="I78" s="34"/>
      <c r="J78" s="50"/>
      <c r="K78" s="34"/>
      <c r="L78" s="50"/>
      <c r="M78" s="51"/>
      <c r="N78" s="34"/>
      <c r="O78" s="34"/>
      <c r="P78" s="50"/>
      <c r="Q78" s="34"/>
      <c r="R78" s="60"/>
      <c r="S78" s="52" t="str">
        <f aca="false">IF(A78="","",IF(AND(OR(N78="Complete",N78="Not applicable - justified"),O78&lt;&gt;""),"Yes","No"))</f>
        <v/>
      </c>
      <c r="T78" s="52" t="str">
        <f aca="false">IF(A78="","",IF(AND(S78="No",ISNUMBER(M78),M78&lt;AsOf),"Overdue",""))</f>
        <v/>
      </c>
      <c r="U78" s="54" t="str">
        <f aca="false">IF(A78="","",IF(COUNTIFS(EXT_SUP,B78,EXT_MAND,"&lt;&gt;No",EXT_DONE,"No")&gt;0,"Not ready - "&amp;COUNTIFS(EXT_SUP,B78,EXT_MAND,"&lt;&gt;No",EXT_DONE,"No")&amp;" mandatory action(s) open",IF(SUMPRODUCT(--(COUNTIFS(EXT_SUP,B78,EXT_ITEM,L_ExitItems)=0))&gt;0,"Not ready - "&amp;SUMPRODUCT(--(COUNTIFS(EXT_SUP,B78,EXT_ITEM,L_ExitItems)=0))&amp;" checklist item(s) not yet recorded","Ready for closure review (not a formal approval)")))</f>
        <v/>
      </c>
      <c r="V78" s="54" t="str">
        <f aca="false">IF(A78="","",IF(COUNTIF(EXT_ID,A78)&gt;1,"CHECK: duplicate ID",IF(B78="","CHECK: Supplier ID missing",IF(COUNTIF(INV_ID,B78)=0,"CHECK: Supplier ID not in inventory",IF(AND(H78&lt;&gt;"",COUNTIF(INV_ID,H78)=0),"CHECK: Replacement supplier ID not in inventory",IF(AND(Q78="Closed - approved",OR(LEFT(U78,9)="Not ready",R78="")),"CHECK: closed without readiness or approval reference",IF(AND(Q78="Ready for closure review",LEFT(U78,9)="Not ready"),"CHECK: marked ready but mandatory items open","OK")))))))</f>
        <v/>
      </c>
    </row>
    <row r="79" customFormat="false" ht="15" hidden="false" customHeight="false" outlineLevel="0" collapsed="false">
      <c r="A79" s="50"/>
      <c r="B79" s="50"/>
      <c r="C79" s="59" t="str">
        <f aca="false">IF(B79="","",IFERROR(INDEX(INV_NAME,MATCH(B79,INV_ID,0)),"CHECK: Supplier ID not found"))</f>
        <v/>
      </c>
      <c r="D79" s="34"/>
      <c r="E79" s="34"/>
      <c r="F79" s="51"/>
      <c r="G79" s="34"/>
      <c r="H79" s="50"/>
      <c r="I79" s="34"/>
      <c r="J79" s="50"/>
      <c r="K79" s="34"/>
      <c r="L79" s="50"/>
      <c r="M79" s="51"/>
      <c r="N79" s="34"/>
      <c r="O79" s="34"/>
      <c r="P79" s="50"/>
      <c r="Q79" s="34"/>
      <c r="R79" s="60"/>
      <c r="S79" s="52" t="str">
        <f aca="false">IF(A79="","",IF(AND(OR(N79="Complete",N79="Not applicable - justified"),O79&lt;&gt;""),"Yes","No"))</f>
        <v/>
      </c>
      <c r="T79" s="52" t="str">
        <f aca="false">IF(A79="","",IF(AND(S79="No",ISNUMBER(M79),M79&lt;AsOf),"Overdue",""))</f>
        <v/>
      </c>
      <c r="U79" s="54" t="str">
        <f aca="false">IF(A79="","",IF(COUNTIFS(EXT_SUP,B79,EXT_MAND,"&lt;&gt;No",EXT_DONE,"No")&gt;0,"Not ready - "&amp;COUNTIFS(EXT_SUP,B79,EXT_MAND,"&lt;&gt;No",EXT_DONE,"No")&amp;" mandatory action(s) open",IF(SUMPRODUCT(--(COUNTIFS(EXT_SUP,B79,EXT_ITEM,L_ExitItems)=0))&gt;0,"Not ready - "&amp;SUMPRODUCT(--(COUNTIFS(EXT_SUP,B79,EXT_ITEM,L_ExitItems)=0))&amp;" checklist item(s) not yet recorded","Ready for closure review (not a formal approval)")))</f>
        <v/>
      </c>
      <c r="V79" s="54" t="str">
        <f aca="false">IF(A79="","",IF(COUNTIF(EXT_ID,A79)&gt;1,"CHECK: duplicate ID",IF(B79="","CHECK: Supplier ID missing",IF(COUNTIF(INV_ID,B79)=0,"CHECK: Supplier ID not in inventory",IF(AND(H79&lt;&gt;"",COUNTIF(INV_ID,H79)=0),"CHECK: Replacement supplier ID not in inventory",IF(AND(Q79="Closed - approved",OR(LEFT(U79,9)="Not ready",R79="")),"CHECK: closed without readiness or approval reference",IF(AND(Q79="Ready for closure review",LEFT(U79,9)="Not ready"),"CHECK: marked ready but mandatory items open","OK")))))))</f>
        <v/>
      </c>
    </row>
    <row r="80" customFormat="false" ht="15" hidden="false" customHeight="false" outlineLevel="0" collapsed="false">
      <c r="A80" s="50"/>
      <c r="B80" s="50"/>
      <c r="C80" s="59" t="str">
        <f aca="false">IF(B80="","",IFERROR(INDEX(INV_NAME,MATCH(B80,INV_ID,0)),"CHECK: Supplier ID not found"))</f>
        <v/>
      </c>
      <c r="D80" s="34"/>
      <c r="E80" s="34"/>
      <c r="F80" s="51"/>
      <c r="G80" s="34"/>
      <c r="H80" s="50"/>
      <c r="I80" s="34"/>
      <c r="J80" s="50"/>
      <c r="K80" s="34"/>
      <c r="L80" s="50"/>
      <c r="M80" s="51"/>
      <c r="N80" s="34"/>
      <c r="O80" s="34"/>
      <c r="P80" s="50"/>
      <c r="Q80" s="34"/>
      <c r="R80" s="60"/>
      <c r="S80" s="52" t="str">
        <f aca="false">IF(A80="","",IF(AND(OR(N80="Complete",N80="Not applicable - justified"),O80&lt;&gt;""),"Yes","No"))</f>
        <v/>
      </c>
      <c r="T80" s="52" t="str">
        <f aca="false">IF(A80="","",IF(AND(S80="No",ISNUMBER(M80),M80&lt;AsOf),"Overdue",""))</f>
        <v/>
      </c>
      <c r="U80" s="54" t="str">
        <f aca="false">IF(A80="","",IF(COUNTIFS(EXT_SUP,B80,EXT_MAND,"&lt;&gt;No",EXT_DONE,"No")&gt;0,"Not ready - "&amp;COUNTIFS(EXT_SUP,B80,EXT_MAND,"&lt;&gt;No",EXT_DONE,"No")&amp;" mandatory action(s) open",IF(SUMPRODUCT(--(COUNTIFS(EXT_SUP,B80,EXT_ITEM,L_ExitItems)=0))&gt;0,"Not ready - "&amp;SUMPRODUCT(--(COUNTIFS(EXT_SUP,B80,EXT_ITEM,L_ExitItems)=0))&amp;" checklist item(s) not yet recorded","Ready for closure review (not a formal approval)")))</f>
        <v/>
      </c>
      <c r="V80" s="54" t="str">
        <f aca="false">IF(A80="","",IF(COUNTIF(EXT_ID,A80)&gt;1,"CHECK: duplicate ID",IF(B80="","CHECK: Supplier ID missing",IF(COUNTIF(INV_ID,B80)=0,"CHECK: Supplier ID not in inventory",IF(AND(H80&lt;&gt;"",COUNTIF(INV_ID,H80)=0),"CHECK: Replacement supplier ID not in inventory",IF(AND(Q80="Closed - approved",OR(LEFT(U80,9)="Not ready",R80="")),"CHECK: closed without readiness or approval reference",IF(AND(Q80="Ready for closure review",LEFT(U80,9)="Not ready"),"CHECK: marked ready but mandatory items open","OK")))))))</f>
        <v/>
      </c>
    </row>
    <row r="81" customFormat="false" ht="15" hidden="false" customHeight="false" outlineLevel="0" collapsed="false">
      <c r="A81" s="50"/>
      <c r="B81" s="50"/>
      <c r="C81" s="59" t="str">
        <f aca="false">IF(B81="","",IFERROR(INDEX(INV_NAME,MATCH(B81,INV_ID,0)),"CHECK: Supplier ID not found"))</f>
        <v/>
      </c>
      <c r="D81" s="34"/>
      <c r="E81" s="34"/>
      <c r="F81" s="51"/>
      <c r="G81" s="34"/>
      <c r="H81" s="50"/>
      <c r="I81" s="34"/>
      <c r="J81" s="50"/>
      <c r="K81" s="34"/>
      <c r="L81" s="50"/>
      <c r="M81" s="51"/>
      <c r="N81" s="34"/>
      <c r="O81" s="34"/>
      <c r="P81" s="50"/>
      <c r="Q81" s="34"/>
      <c r="R81" s="60"/>
      <c r="S81" s="52" t="str">
        <f aca="false">IF(A81="","",IF(AND(OR(N81="Complete",N81="Not applicable - justified"),O81&lt;&gt;""),"Yes","No"))</f>
        <v/>
      </c>
      <c r="T81" s="52" t="str">
        <f aca="false">IF(A81="","",IF(AND(S81="No",ISNUMBER(M81),M81&lt;AsOf),"Overdue",""))</f>
        <v/>
      </c>
      <c r="U81" s="54" t="str">
        <f aca="false">IF(A81="","",IF(COUNTIFS(EXT_SUP,B81,EXT_MAND,"&lt;&gt;No",EXT_DONE,"No")&gt;0,"Not ready - "&amp;COUNTIFS(EXT_SUP,B81,EXT_MAND,"&lt;&gt;No",EXT_DONE,"No")&amp;" mandatory action(s) open",IF(SUMPRODUCT(--(COUNTIFS(EXT_SUP,B81,EXT_ITEM,L_ExitItems)=0))&gt;0,"Not ready - "&amp;SUMPRODUCT(--(COUNTIFS(EXT_SUP,B81,EXT_ITEM,L_ExitItems)=0))&amp;" checklist item(s) not yet recorded","Ready for closure review (not a formal approval)")))</f>
        <v/>
      </c>
      <c r="V81" s="54" t="str">
        <f aca="false">IF(A81="","",IF(COUNTIF(EXT_ID,A81)&gt;1,"CHECK: duplicate ID",IF(B81="","CHECK: Supplier ID missing",IF(COUNTIF(INV_ID,B81)=0,"CHECK: Supplier ID not in inventory",IF(AND(H81&lt;&gt;"",COUNTIF(INV_ID,H81)=0),"CHECK: Replacement supplier ID not in inventory",IF(AND(Q81="Closed - approved",OR(LEFT(U81,9)="Not ready",R81="")),"CHECK: closed without readiness or approval reference",IF(AND(Q81="Ready for closure review",LEFT(U81,9)="Not ready"),"CHECK: marked ready but mandatory items open","OK")))))))</f>
        <v/>
      </c>
    </row>
    <row r="82" customFormat="false" ht="15" hidden="false" customHeight="false" outlineLevel="0" collapsed="false">
      <c r="A82" s="50"/>
      <c r="B82" s="50"/>
      <c r="C82" s="59" t="str">
        <f aca="false">IF(B82="","",IFERROR(INDEX(INV_NAME,MATCH(B82,INV_ID,0)),"CHECK: Supplier ID not found"))</f>
        <v/>
      </c>
      <c r="D82" s="34"/>
      <c r="E82" s="34"/>
      <c r="F82" s="51"/>
      <c r="G82" s="34"/>
      <c r="H82" s="50"/>
      <c r="I82" s="34"/>
      <c r="J82" s="50"/>
      <c r="K82" s="34"/>
      <c r="L82" s="50"/>
      <c r="M82" s="51"/>
      <c r="N82" s="34"/>
      <c r="O82" s="34"/>
      <c r="P82" s="50"/>
      <c r="Q82" s="34"/>
      <c r="R82" s="60"/>
      <c r="S82" s="52" t="str">
        <f aca="false">IF(A82="","",IF(AND(OR(N82="Complete",N82="Not applicable - justified"),O82&lt;&gt;""),"Yes","No"))</f>
        <v/>
      </c>
      <c r="T82" s="52" t="str">
        <f aca="false">IF(A82="","",IF(AND(S82="No",ISNUMBER(M82),M82&lt;AsOf),"Overdue",""))</f>
        <v/>
      </c>
      <c r="U82" s="54" t="str">
        <f aca="false">IF(A82="","",IF(COUNTIFS(EXT_SUP,B82,EXT_MAND,"&lt;&gt;No",EXT_DONE,"No")&gt;0,"Not ready - "&amp;COUNTIFS(EXT_SUP,B82,EXT_MAND,"&lt;&gt;No",EXT_DONE,"No")&amp;" mandatory action(s) open",IF(SUMPRODUCT(--(COUNTIFS(EXT_SUP,B82,EXT_ITEM,L_ExitItems)=0))&gt;0,"Not ready - "&amp;SUMPRODUCT(--(COUNTIFS(EXT_SUP,B82,EXT_ITEM,L_ExitItems)=0))&amp;" checklist item(s) not yet recorded","Ready for closure review (not a formal approval)")))</f>
        <v/>
      </c>
      <c r="V82" s="54" t="str">
        <f aca="false">IF(A82="","",IF(COUNTIF(EXT_ID,A82)&gt;1,"CHECK: duplicate ID",IF(B82="","CHECK: Supplier ID missing",IF(COUNTIF(INV_ID,B82)=0,"CHECK: Supplier ID not in inventory",IF(AND(H82&lt;&gt;"",COUNTIF(INV_ID,H82)=0),"CHECK: Replacement supplier ID not in inventory",IF(AND(Q82="Closed - approved",OR(LEFT(U82,9)="Not ready",R82="")),"CHECK: closed without readiness or approval reference",IF(AND(Q82="Ready for closure review",LEFT(U82,9)="Not ready"),"CHECK: marked ready but mandatory items open","OK")))))))</f>
        <v/>
      </c>
    </row>
    <row r="83" customFormat="false" ht="15" hidden="false" customHeight="false" outlineLevel="0" collapsed="false">
      <c r="A83" s="50"/>
      <c r="B83" s="50"/>
      <c r="C83" s="59" t="str">
        <f aca="false">IF(B83="","",IFERROR(INDEX(INV_NAME,MATCH(B83,INV_ID,0)),"CHECK: Supplier ID not found"))</f>
        <v/>
      </c>
      <c r="D83" s="34"/>
      <c r="E83" s="34"/>
      <c r="F83" s="51"/>
      <c r="G83" s="34"/>
      <c r="H83" s="50"/>
      <c r="I83" s="34"/>
      <c r="J83" s="50"/>
      <c r="K83" s="34"/>
      <c r="L83" s="50"/>
      <c r="M83" s="51"/>
      <c r="N83" s="34"/>
      <c r="O83" s="34"/>
      <c r="P83" s="50"/>
      <c r="Q83" s="34"/>
      <c r="R83" s="60"/>
      <c r="S83" s="52" t="str">
        <f aca="false">IF(A83="","",IF(AND(OR(N83="Complete",N83="Not applicable - justified"),O83&lt;&gt;""),"Yes","No"))</f>
        <v/>
      </c>
      <c r="T83" s="52" t="str">
        <f aca="false">IF(A83="","",IF(AND(S83="No",ISNUMBER(M83),M83&lt;AsOf),"Overdue",""))</f>
        <v/>
      </c>
      <c r="U83" s="54" t="str">
        <f aca="false">IF(A83="","",IF(COUNTIFS(EXT_SUP,B83,EXT_MAND,"&lt;&gt;No",EXT_DONE,"No")&gt;0,"Not ready - "&amp;COUNTIFS(EXT_SUP,B83,EXT_MAND,"&lt;&gt;No",EXT_DONE,"No")&amp;" mandatory action(s) open",IF(SUMPRODUCT(--(COUNTIFS(EXT_SUP,B83,EXT_ITEM,L_ExitItems)=0))&gt;0,"Not ready - "&amp;SUMPRODUCT(--(COUNTIFS(EXT_SUP,B83,EXT_ITEM,L_ExitItems)=0))&amp;" checklist item(s) not yet recorded","Ready for closure review (not a formal approval)")))</f>
        <v/>
      </c>
      <c r="V83" s="54" t="str">
        <f aca="false">IF(A83="","",IF(COUNTIF(EXT_ID,A83)&gt;1,"CHECK: duplicate ID",IF(B83="","CHECK: Supplier ID missing",IF(COUNTIF(INV_ID,B83)=0,"CHECK: Supplier ID not in inventory",IF(AND(H83&lt;&gt;"",COUNTIF(INV_ID,H83)=0),"CHECK: Replacement supplier ID not in inventory",IF(AND(Q83="Closed - approved",OR(LEFT(U83,9)="Not ready",R83="")),"CHECK: closed without readiness or approval reference",IF(AND(Q83="Ready for closure review",LEFT(U83,9)="Not ready"),"CHECK: marked ready but mandatory items open","OK")))))))</f>
        <v/>
      </c>
    </row>
    <row r="84" customFormat="false" ht="15" hidden="false" customHeight="false" outlineLevel="0" collapsed="false">
      <c r="A84" s="50"/>
      <c r="B84" s="50"/>
      <c r="C84" s="59" t="str">
        <f aca="false">IF(B84="","",IFERROR(INDEX(INV_NAME,MATCH(B84,INV_ID,0)),"CHECK: Supplier ID not found"))</f>
        <v/>
      </c>
      <c r="D84" s="34"/>
      <c r="E84" s="34"/>
      <c r="F84" s="51"/>
      <c r="G84" s="34"/>
      <c r="H84" s="50"/>
      <c r="I84" s="34"/>
      <c r="J84" s="50"/>
      <c r="K84" s="34"/>
      <c r="L84" s="50"/>
      <c r="M84" s="51"/>
      <c r="N84" s="34"/>
      <c r="O84" s="34"/>
      <c r="P84" s="50"/>
      <c r="Q84" s="34"/>
      <c r="R84" s="60"/>
      <c r="S84" s="52" t="str">
        <f aca="false">IF(A84="","",IF(AND(OR(N84="Complete",N84="Not applicable - justified"),O84&lt;&gt;""),"Yes","No"))</f>
        <v/>
      </c>
      <c r="T84" s="52" t="str">
        <f aca="false">IF(A84="","",IF(AND(S84="No",ISNUMBER(M84),M84&lt;AsOf),"Overdue",""))</f>
        <v/>
      </c>
      <c r="U84" s="54" t="str">
        <f aca="false">IF(A84="","",IF(COUNTIFS(EXT_SUP,B84,EXT_MAND,"&lt;&gt;No",EXT_DONE,"No")&gt;0,"Not ready - "&amp;COUNTIFS(EXT_SUP,B84,EXT_MAND,"&lt;&gt;No",EXT_DONE,"No")&amp;" mandatory action(s) open",IF(SUMPRODUCT(--(COUNTIFS(EXT_SUP,B84,EXT_ITEM,L_ExitItems)=0))&gt;0,"Not ready - "&amp;SUMPRODUCT(--(COUNTIFS(EXT_SUP,B84,EXT_ITEM,L_ExitItems)=0))&amp;" checklist item(s) not yet recorded","Ready for closure review (not a formal approval)")))</f>
        <v/>
      </c>
      <c r="V84" s="54" t="str">
        <f aca="false">IF(A84="","",IF(COUNTIF(EXT_ID,A84)&gt;1,"CHECK: duplicate ID",IF(B84="","CHECK: Supplier ID missing",IF(COUNTIF(INV_ID,B84)=0,"CHECK: Supplier ID not in inventory",IF(AND(H84&lt;&gt;"",COUNTIF(INV_ID,H84)=0),"CHECK: Replacement supplier ID not in inventory",IF(AND(Q84="Closed - approved",OR(LEFT(U84,9)="Not ready",R84="")),"CHECK: closed without readiness or approval reference",IF(AND(Q84="Ready for closure review",LEFT(U84,9)="Not ready"),"CHECK: marked ready but mandatory items open","OK")))))))</f>
        <v/>
      </c>
    </row>
    <row r="85" customFormat="false" ht="15" hidden="false" customHeight="false" outlineLevel="0" collapsed="false">
      <c r="A85" s="50"/>
      <c r="B85" s="50"/>
      <c r="C85" s="59" t="str">
        <f aca="false">IF(B85="","",IFERROR(INDEX(INV_NAME,MATCH(B85,INV_ID,0)),"CHECK: Supplier ID not found"))</f>
        <v/>
      </c>
      <c r="D85" s="34"/>
      <c r="E85" s="34"/>
      <c r="F85" s="51"/>
      <c r="G85" s="34"/>
      <c r="H85" s="50"/>
      <c r="I85" s="34"/>
      <c r="J85" s="50"/>
      <c r="K85" s="34"/>
      <c r="L85" s="50"/>
      <c r="M85" s="51"/>
      <c r="N85" s="34"/>
      <c r="O85" s="34"/>
      <c r="P85" s="50"/>
      <c r="Q85" s="34"/>
      <c r="R85" s="60"/>
      <c r="S85" s="52" t="str">
        <f aca="false">IF(A85="","",IF(AND(OR(N85="Complete",N85="Not applicable - justified"),O85&lt;&gt;""),"Yes","No"))</f>
        <v/>
      </c>
      <c r="T85" s="52" t="str">
        <f aca="false">IF(A85="","",IF(AND(S85="No",ISNUMBER(M85),M85&lt;AsOf),"Overdue",""))</f>
        <v/>
      </c>
      <c r="U85" s="54" t="str">
        <f aca="false">IF(A85="","",IF(COUNTIFS(EXT_SUP,B85,EXT_MAND,"&lt;&gt;No",EXT_DONE,"No")&gt;0,"Not ready - "&amp;COUNTIFS(EXT_SUP,B85,EXT_MAND,"&lt;&gt;No",EXT_DONE,"No")&amp;" mandatory action(s) open",IF(SUMPRODUCT(--(COUNTIFS(EXT_SUP,B85,EXT_ITEM,L_ExitItems)=0))&gt;0,"Not ready - "&amp;SUMPRODUCT(--(COUNTIFS(EXT_SUP,B85,EXT_ITEM,L_ExitItems)=0))&amp;" checklist item(s) not yet recorded","Ready for closure review (not a formal approval)")))</f>
        <v/>
      </c>
      <c r="V85" s="54" t="str">
        <f aca="false">IF(A85="","",IF(COUNTIF(EXT_ID,A85)&gt;1,"CHECK: duplicate ID",IF(B85="","CHECK: Supplier ID missing",IF(COUNTIF(INV_ID,B85)=0,"CHECK: Supplier ID not in inventory",IF(AND(H85&lt;&gt;"",COUNTIF(INV_ID,H85)=0),"CHECK: Replacement supplier ID not in inventory",IF(AND(Q85="Closed - approved",OR(LEFT(U85,9)="Not ready",R85="")),"CHECK: closed without readiness or approval reference",IF(AND(Q85="Ready for closure review",LEFT(U85,9)="Not ready"),"CHECK: marked ready but mandatory items open","OK")))))))</f>
        <v/>
      </c>
    </row>
    <row r="86" customFormat="false" ht="15" hidden="false" customHeight="false" outlineLevel="0" collapsed="false">
      <c r="A86" s="50"/>
      <c r="B86" s="50"/>
      <c r="C86" s="59" t="str">
        <f aca="false">IF(B86="","",IFERROR(INDEX(INV_NAME,MATCH(B86,INV_ID,0)),"CHECK: Supplier ID not found"))</f>
        <v/>
      </c>
      <c r="D86" s="34"/>
      <c r="E86" s="34"/>
      <c r="F86" s="51"/>
      <c r="G86" s="34"/>
      <c r="H86" s="50"/>
      <c r="I86" s="34"/>
      <c r="J86" s="50"/>
      <c r="K86" s="34"/>
      <c r="L86" s="50"/>
      <c r="M86" s="51"/>
      <c r="N86" s="34"/>
      <c r="O86" s="34"/>
      <c r="P86" s="50"/>
      <c r="Q86" s="34"/>
      <c r="R86" s="60"/>
      <c r="S86" s="52" t="str">
        <f aca="false">IF(A86="","",IF(AND(OR(N86="Complete",N86="Not applicable - justified"),O86&lt;&gt;""),"Yes","No"))</f>
        <v/>
      </c>
      <c r="T86" s="52" t="str">
        <f aca="false">IF(A86="","",IF(AND(S86="No",ISNUMBER(M86),M86&lt;AsOf),"Overdue",""))</f>
        <v/>
      </c>
      <c r="U86" s="54" t="str">
        <f aca="false">IF(A86="","",IF(COUNTIFS(EXT_SUP,B86,EXT_MAND,"&lt;&gt;No",EXT_DONE,"No")&gt;0,"Not ready - "&amp;COUNTIFS(EXT_SUP,B86,EXT_MAND,"&lt;&gt;No",EXT_DONE,"No")&amp;" mandatory action(s) open",IF(SUMPRODUCT(--(COUNTIFS(EXT_SUP,B86,EXT_ITEM,L_ExitItems)=0))&gt;0,"Not ready - "&amp;SUMPRODUCT(--(COUNTIFS(EXT_SUP,B86,EXT_ITEM,L_ExitItems)=0))&amp;" checklist item(s) not yet recorded","Ready for closure review (not a formal approval)")))</f>
        <v/>
      </c>
      <c r="V86" s="54" t="str">
        <f aca="false">IF(A86="","",IF(COUNTIF(EXT_ID,A86)&gt;1,"CHECK: duplicate ID",IF(B86="","CHECK: Supplier ID missing",IF(COUNTIF(INV_ID,B86)=0,"CHECK: Supplier ID not in inventory",IF(AND(H86&lt;&gt;"",COUNTIF(INV_ID,H86)=0),"CHECK: Replacement supplier ID not in inventory",IF(AND(Q86="Closed - approved",OR(LEFT(U86,9)="Not ready",R86="")),"CHECK: closed without readiness or approval reference",IF(AND(Q86="Ready for closure review",LEFT(U86,9)="Not ready"),"CHECK: marked ready but mandatory items open","OK")))))))</f>
        <v/>
      </c>
    </row>
    <row r="87" customFormat="false" ht="15" hidden="false" customHeight="false" outlineLevel="0" collapsed="false">
      <c r="A87" s="50"/>
      <c r="B87" s="50"/>
      <c r="C87" s="59" t="str">
        <f aca="false">IF(B87="","",IFERROR(INDEX(INV_NAME,MATCH(B87,INV_ID,0)),"CHECK: Supplier ID not found"))</f>
        <v/>
      </c>
      <c r="D87" s="34"/>
      <c r="E87" s="34"/>
      <c r="F87" s="51"/>
      <c r="G87" s="34"/>
      <c r="H87" s="50"/>
      <c r="I87" s="34"/>
      <c r="J87" s="50"/>
      <c r="K87" s="34"/>
      <c r="L87" s="50"/>
      <c r="M87" s="51"/>
      <c r="N87" s="34"/>
      <c r="O87" s="34"/>
      <c r="P87" s="50"/>
      <c r="Q87" s="34"/>
      <c r="R87" s="60"/>
      <c r="S87" s="52" t="str">
        <f aca="false">IF(A87="","",IF(AND(OR(N87="Complete",N87="Not applicable - justified"),O87&lt;&gt;""),"Yes","No"))</f>
        <v/>
      </c>
      <c r="T87" s="52" t="str">
        <f aca="false">IF(A87="","",IF(AND(S87="No",ISNUMBER(M87),M87&lt;AsOf),"Overdue",""))</f>
        <v/>
      </c>
      <c r="U87" s="54" t="str">
        <f aca="false">IF(A87="","",IF(COUNTIFS(EXT_SUP,B87,EXT_MAND,"&lt;&gt;No",EXT_DONE,"No")&gt;0,"Not ready - "&amp;COUNTIFS(EXT_SUP,B87,EXT_MAND,"&lt;&gt;No",EXT_DONE,"No")&amp;" mandatory action(s) open",IF(SUMPRODUCT(--(COUNTIFS(EXT_SUP,B87,EXT_ITEM,L_ExitItems)=0))&gt;0,"Not ready - "&amp;SUMPRODUCT(--(COUNTIFS(EXT_SUP,B87,EXT_ITEM,L_ExitItems)=0))&amp;" checklist item(s) not yet recorded","Ready for closure review (not a formal approval)")))</f>
        <v/>
      </c>
      <c r="V87" s="54" t="str">
        <f aca="false">IF(A87="","",IF(COUNTIF(EXT_ID,A87)&gt;1,"CHECK: duplicate ID",IF(B87="","CHECK: Supplier ID missing",IF(COUNTIF(INV_ID,B87)=0,"CHECK: Supplier ID not in inventory",IF(AND(H87&lt;&gt;"",COUNTIF(INV_ID,H87)=0),"CHECK: Replacement supplier ID not in inventory",IF(AND(Q87="Closed - approved",OR(LEFT(U87,9)="Not ready",R87="")),"CHECK: closed without readiness or approval reference",IF(AND(Q87="Ready for closure review",LEFT(U87,9)="Not ready"),"CHECK: marked ready but mandatory items open","OK")))))))</f>
        <v/>
      </c>
    </row>
    <row r="88" customFormat="false" ht="15" hidden="false" customHeight="false" outlineLevel="0" collapsed="false">
      <c r="A88" s="50"/>
      <c r="B88" s="50"/>
      <c r="C88" s="59" t="str">
        <f aca="false">IF(B88="","",IFERROR(INDEX(INV_NAME,MATCH(B88,INV_ID,0)),"CHECK: Supplier ID not found"))</f>
        <v/>
      </c>
      <c r="D88" s="34"/>
      <c r="E88" s="34"/>
      <c r="F88" s="51"/>
      <c r="G88" s="34"/>
      <c r="H88" s="50"/>
      <c r="I88" s="34"/>
      <c r="J88" s="50"/>
      <c r="K88" s="34"/>
      <c r="L88" s="50"/>
      <c r="M88" s="51"/>
      <c r="N88" s="34"/>
      <c r="O88" s="34"/>
      <c r="P88" s="50"/>
      <c r="Q88" s="34"/>
      <c r="R88" s="60"/>
      <c r="S88" s="52" t="str">
        <f aca="false">IF(A88="","",IF(AND(OR(N88="Complete",N88="Not applicable - justified"),O88&lt;&gt;""),"Yes","No"))</f>
        <v/>
      </c>
      <c r="T88" s="52" t="str">
        <f aca="false">IF(A88="","",IF(AND(S88="No",ISNUMBER(M88),M88&lt;AsOf),"Overdue",""))</f>
        <v/>
      </c>
      <c r="U88" s="54" t="str">
        <f aca="false">IF(A88="","",IF(COUNTIFS(EXT_SUP,B88,EXT_MAND,"&lt;&gt;No",EXT_DONE,"No")&gt;0,"Not ready - "&amp;COUNTIFS(EXT_SUP,B88,EXT_MAND,"&lt;&gt;No",EXT_DONE,"No")&amp;" mandatory action(s) open",IF(SUMPRODUCT(--(COUNTIFS(EXT_SUP,B88,EXT_ITEM,L_ExitItems)=0))&gt;0,"Not ready - "&amp;SUMPRODUCT(--(COUNTIFS(EXT_SUP,B88,EXT_ITEM,L_ExitItems)=0))&amp;" checklist item(s) not yet recorded","Ready for closure review (not a formal approval)")))</f>
        <v/>
      </c>
      <c r="V88" s="54" t="str">
        <f aca="false">IF(A88="","",IF(COUNTIF(EXT_ID,A88)&gt;1,"CHECK: duplicate ID",IF(B88="","CHECK: Supplier ID missing",IF(COUNTIF(INV_ID,B88)=0,"CHECK: Supplier ID not in inventory",IF(AND(H88&lt;&gt;"",COUNTIF(INV_ID,H88)=0),"CHECK: Replacement supplier ID not in inventory",IF(AND(Q88="Closed - approved",OR(LEFT(U88,9)="Not ready",R88="")),"CHECK: closed without readiness or approval reference",IF(AND(Q88="Ready for closure review",LEFT(U88,9)="Not ready"),"CHECK: marked ready but mandatory items open","OK")))))))</f>
        <v/>
      </c>
    </row>
    <row r="89" customFormat="false" ht="15" hidden="false" customHeight="false" outlineLevel="0" collapsed="false">
      <c r="A89" s="50"/>
      <c r="B89" s="50"/>
      <c r="C89" s="59" t="str">
        <f aca="false">IF(B89="","",IFERROR(INDEX(INV_NAME,MATCH(B89,INV_ID,0)),"CHECK: Supplier ID not found"))</f>
        <v/>
      </c>
      <c r="D89" s="34"/>
      <c r="E89" s="34"/>
      <c r="F89" s="51"/>
      <c r="G89" s="34"/>
      <c r="H89" s="50"/>
      <c r="I89" s="34"/>
      <c r="J89" s="50"/>
      <c r="K89" s="34"/>
      <c r="L89" s="50"/>
      <c r="M89" s="51"/>
      <c r="N89" s="34"/>
      <c r="O89" s="34"/>
      <c r="P89" s="50"/>
      <c r="Q89" s="34"/>
      <c r="R89" s="60"/>
      <c r="S89" s="52" t="str">
        <f aca="false">IF(A89="","",IF(AND(OR(N89="Complete",N89="Not applicable - justified"),O89&lt;&gt;""),"Yes","No"))</f>
        <v/>
      </c>
      <c r="T89" s="52" t="str">
        <f aca="false">IF(A89="","",IF(AND(S89="No",ISNUMBER(M89),M89&lt;AsOf),"Overdue",""))</f>
        <v/>
      </c>
      <c r="U89" s="54" t="str">
        <f aca="false">IF(A89="","",IF(COUNTIFS(EXT_SUP,B89,EXT_MAND,"&lt;&gt;No",EXT_DONE,"No")&gt;0,"Not ready - "&amp;COUNTIFS(EXT_SUP,B89,EXT_MAND,"&lt;&gt;No",EXT_DONE,"No")&amp;" mandatory action(s) open",IF(SUMPRODUCT(--(COUNTIFS(EXT_SUP,B89,EXT_ITEM,L_ExitItems)=0))&gt;0,"Not ready - "&amp;SUMPRODUCT(--(COUNTIFS(EXT_SUP,B89,EXT_ITEM,L_ExitItems)=0))&amp;" checklist item(s) not yet recorded","Ready for closure review (not a formal approval)")))</f>
        <v/>
      </c>
      <c r="V89" s="54" t="str">
        <f aca="false">IF(A89="","",IF(COUNTIF(EXT_ID,A89)&gt;1,"CHECK: duplicate ID",IF(B89="","CHECK: Supplier ID missing",IF(COUNTIF(INV_ID,B89)=0,"CHECK: Supplier ID not in inventory",IF(AND(H89&lt;&gt;"",COUNTIF(INV_ID,H89)=0),"CHECK: Replacement supplier ID not in inventory",IF(AND(Q89="Closed - approved",OR(LEFT(U89,9)="Not ready",R89="")),"CHECK: closed without readiness or approval reference",IF(AND(Q89="Ready for closure review",LEFT(U89,9)="Not ready"),"CHECK: marked ready but mandatory items open","OK")))))))</f>
        <v/>
      </c>
    </row>
    <row r="90" customFormat="false" ht="15" hidden="false" customHeight="false" outlineLevel="0" collapsed="false">
      <c r="A90" s="50"/>
      <c r="B90" s="50"/>
      <c r="C90" s="59" t="str">
        <f aca="false">IF(B90="","",IFERROR(INDEX(INV_NAME,MATCH(B90,INV_ID,0)),"CHECK: Supplier ID not found"))</f>
        <v/>
      </c>
      <c r="D90" s="34"/>
      <c r="E90" s="34"/>
      <c r="F90" s="51"/>
      <c r="G90" s="34"/>
      <c r="H90" s="50"/>
      <c r="I90" s="34"/>
      <c r="J90" s="50"/>
      <c r="K90" s="34"/>
      <c r="L90" s="50"/>
      <c r="M90" s="51"/>
      <c r="N90" s="34"/>
      <c r="O90" s="34"/>
      <c r="P90" s="50"/>
      <c r="Q90" s="34"/>
      <c r="R90" s="60"/>
      <c r="S90" s="52" t="str">
        <f aca="false">IF(A90="","",IF(AND(OR(N90="Complete",N90="Not applicable - justified"),O90&lt;&gt;""),"Yes","No"))</f>
        <v/>
      </c>
      <c r="T90" s="52" t="str">
        <f aca="false">IF(A90="","",IF(AND(S90="No",ISNUMBER(M90),M90&lt;AsOf),"Overdue",""))</f>
        <v/>
      </c>
      <c r="U90" s="54" t="str">
        <f aca="false">IF(A90="","",IF(COUNTIFS(EXT_SUP,B90,EXT_MAND,"&lt;&gt;No",EXT_DONE,"No")&gt;0,"Not ready - "&amp;COUNTIFS(EXT_SUP,B90,EXT_MAND,"&lt;&gt;No",EXT_DONE,"No")&amp;" mandatory action(s) open",IF(SUMPRODUCT(--(COUNTIFS(EXT_SUP,B90,EXT_ITEM,L_ExitItems)=0))&gt;0,"Not ready - "&amp;SUMPRODUCT(--(COUNTIFS(EXT_SUP,B90,EXT_ITEM,L_ExitItems)=0))&amp;" checklist item(s) not yet recorded","Ready for closure review (not a formal approval)")))</f>
        <v/>
      </c>
      <c r="V90" s="54" t="str">
        <f aca="false">IF(A90="","",IF(COUNTIF(EXT_ID,A90)&gt;1,"CHECK: duplicate ID",IF(B90="","CHECK: Supplier ID missing",IF(COUNTIF(INV_ID,B90)=0,"CHECK: Supplier ID not in inventory",IF(AND(H90&lt;&gt;"",COUNTIF(INV_ID,H90)=0),"CHECK: Replacement supplier ID not in inventory",IF(AND(Q90="Closed - approved",OR(LEFT(U90,9)="Not ready",R90="")),"CHECK: closed without readiness or approval reference",IF(AND(Q90="Ready for closure review",LEFT(U90,9)="Not ready"),"CHECK: marked ready but mandatory items open","OK")))))))</f>
        <v/>
      </c>
    </row>
    <row r="91" customFormat="false" ht="15" hidden="false" customHeight="false" outlineLevel="0" collapsed="false">
      <c r="A91" s="50"/>
      <c r="B91" s="50"/>
      <c r="C91" s="59" t="str">
        <f aca="false">IF(B91="","",IFERROR(INDEX(INV_NAME,MATCH(B91,INV_ID,0)),"CHECK: Supplier ID not found"))</f>
        <v/>
      </c>
      <c r="D91" s="34"/>
      <c r="E91" s="34"/>
      <c r="F91" s="51"/>
      <c r="G91" s="34"/>
      <c r="H91" s="50"/>
      <c r="I91" s="34"/>
      <c r="J91" s="50"/>
      <c r="K91" s="34"/>
      <c r="L91" s="50"/>
      <c r="M91" s="51"/>
      <c r="N91" s="34"/>
      <c r="O91" s="34"/>
      <c r="P91" s="50"/>
      <c r="Q91" s="34"/>
      <c r="R91" s="60"/>
      <c r="S91" s="52" t="str">
        <f aca="false">IF(A91="","",IF(AND(OR(N91="Complete",N91="Not applicable - justified"),O91&lt;&gt;""),"Yes","No"))</f>
        <v/>
      </c>
      <c r="T91" s="52" t="str">
        <f aca="false">IF(A91="","",IF(AND(S91="No",ISNUMBER(M91),M91&lt;AsOf),"Overdue",""))</f>
        <v/>
      </c>
      <c r="U91" s="54" t="str">
        <f aca="false">IF(A91="","",IF(COUNTIFS(EXT_SUP,B91,EXT_MAND,"&lt;&gt;No",EXT_DONE,"No")&gt;0,"Not ready - "&amp;COUNTIFS(EXT_SUP,B91,EXT_MAND,"&lt;&gt;No",EXT_DONE,"No")&amp;" mandatory action(s) open",IF(SUMPRODUCT(--(COUNTIFS(EXT_SUP,B91,EXT_ITEM,L_ExitItems)=0))&gt;0,"Not ready - "&amp;SUMPRODUCT(--(COUNTIFS(EXT_SUP,B91,EXT_ITEM,L_ExitItems)=0))&amp;" checklist item(s) not yet recorded","Ready for closure review (not a formal approval)")))</f>
        <v/>
      </c>
      <c r="V91" s="54" t="str">
        <f aca="false">IF(A91="","",IF(COUNTIF(EXT_ID,A91)&gt;1,"CHECK: duplicate ID",IF(B91="","CHECK: Supplier ID missing",IF(COUNTIF(INV_ID,B91)=0,"CHECK: Supplier ID not in inventory",IF(AND(H91&lt;&gt;"",COUNTIF(INV_ID,H91)=0),"CHECK: Replacement supplier ID not in inventory",IF(AND(Q91="Closed - approved",OR(LEFT(U91,9)="Not ready",R91="")),"CHECK: closed without readiness or approval reference",IF(AND(Q91="Ready for closure review",LEFT(U91,9)="Not ready"),"CHECK: marked ready but mandatory items open","OK")))))))</f>
        <v/>
      </c>
    </row>
    <row r="92" customFormat="false" ht="15" hidden="false" customHeight="false" outlineLevel="0" collapsed="false">
      <c r="A92" s="50"/>
      <c r="B92" s="50"/>
      <c r="C92" s="59" t="str">
        <f aca="false">IF(B92="","",IFERROR(INDEX(INV_NAME,MATCH(B92,INV_ID,0)),"CHECK: Supplier ID not found"))</f>
        <v/>
      </c>
      <c r="D92" s="34"/>
      <c r="E92" s="34"/>
      <c r="F92" s="51"/>
      <c r="G92" s="34"/>
      <c r="H92" s="50"/>
      <c r="I92" s="34"/>
      <c r="J92" s="50"/>
      <c r="K92" s="34"/>
      <c r="L92" s="50"/>
      <c r="M92" s="51"/>
      <c r="N92" s="34"/>
      <c r="O92" s="34"/>
      <c r="P92" s="50"/>
      <c r="Q92" s="34"/>
      <c r="R92" s="60"/>
      <c r="S92" s="52" t="str">
        <f aca="false">IF(A92="","",IF(AND(OR(N92="Complete",N92="Not applicable - justified"),O92&lt;&gt;""),"Yes","No"))</f>
        <v/>
      </c>
      <c r="T92" s="52" t="str">
        <f aca="false">IF(A92="","",IF(AND(S92="No",ISNUMBER(M92),M92&lt;AsOf),"Overdue",""))</f>
        <v/>
      </c>
      <c r="U92" s="54" t="str">
        <f aca="false">IF(A92="","",IF(COUNTIFS(EXT_SUP,B92,EXT_MAND,"&lt;&gt;No",EXT_DONE,"No")&gt;0,"Not ready - "&amp;COUNTIFS(EXT_SUP,B92,EXT_MAND,"&lt;&gt;No",EXT_DONE,"No")&amp;" mandatory action(s) open",IF(SUMPRODUCT(--(COUNTIFS(EXT_SUP,B92,EXT_ITEM,L_ExitItems)=0))&gt;0,"Not ready - "&amp;SUMPRODUCT(--(COUNTIFS(EXT_SUP,B92,EXT_ITEM,L_ExitItems)=0))&amp;" checklist item(s) not yet recorded","Ready for closure review (not a formal approval)")))</f>
        <v/>
      </c>
      <c r="V92" s="54" t="str">
        <f aca="false">IF(A92="","",IF(COUNTIF(EXT_ID,A92)&gt;1,"CHECK: duplicate ID",IF(B92="","CHECK: Supplier ID missing",IF(COUNTIF(INV_ID,B92)=0,"CHECK: Supplier ID not in inventory",IF(AND(H92&lt;&gt;"",COUNTIF(INV_ID,H92)=0),"CHECK: Replacement supplier ID not in inventory",IF(AND(Q92="Closed - approved",OR(LEFT(U92,9)="Not ready",R92="")),"CHECK: closed without readiness or approval reference",IF(AND(Q92="Ready for closure review",LEFT(U92,9)="Not ready"),"CHECK: marked ready but mandatory items open","OK")))))))</f>
        <v/>
      </c>
    </row>
    <row r="93" customFormat="false" ht="15" hidden="false" customHeight="false" outlineLevel="0" collapsed="false">
      <c r="A93" s="50"/>
      <c r="B93" s="50"/>
      <c r="C93" s="59" t="str">
        <f aca="false">IF(B93="","",IFERROR(INDEX(INV_NAME,MATCH(B93,INV_ID,0)),"CHECK: Supplier ID not found"))</f>
        <v/>
      </c>
      <c r="D93" s="34"/>
      <c r="E93" s="34"/>
      <c r="F93" s="51"/>
      <c r="G93" s="34"/>
      <c r="H93" s="50"/>
      <c r="I93" s="34"/>
      <c r="J93" s="50"/>
      <c r="K93" s="34"/>
      <c r="L93" s="50"/>
      <c r="M93" s="51"/>
      <c r="N93" s="34"/>
      <c r="O93" s="34"/>
      <c r="P93" s="50"/>
      <c r="Q93" s="34"/>
      <c r="R93" s="60"/>
      <c r="S93" s="52" t="str">
        <f aca="false">IF(A93="","",IF(AND(OR(N93="Complete",N93="Not applicable - justified"),O93&lt;&gt;""),"Yes","No"))</f>
        <v/>
      </c>
      <c r="T93" s="52" t="str">
        <f aca="false">IF(A93="","",IF(AND(S93="No",ISNUMBER(M93),M93&lt;AsOf),"Overdue",""))</f>
        <v/>
      </c>
      <c r="U93" s="54" t="str">
        <f aca="false">IF(A93="","",IF(COUNTIFS(EXT_SUP,B93,EXT_MAND,"&lt;&gt;No",EXT_DONE,"No")&gt;0,"Not ready - "&amp;COUNTIFS(EXT_SUP,B93,EXT_MAND,"&lt;&gt;No",EXT_DONE,"No")&amp;" mandatory action(s) open",IF(SUMPRODUCT(--(COUNTIFS(EXT_SUP,B93,EXT_ITEM,L_ExitItems)=0))&gt;0,"Not ready - "&amp;SUMPRODUCT(--(COUNTIFS(EXT_SUP,B93,EXT_ITEM,L_ExitItems)=0))&amp;" checklist item(s) not yet recorded","Ready for closure review (not a formal approval)")))</f>
        <v/>
      </c>
      <c r="V93" s="54" t="str">
        <f aca="false">IF(A93="","",IF(COUNTIF(EXT_ID,A93)&gt;1,"CHECK: duplicate ID",IF(B93="","CHECK: Supplier ID missing",IF(COUNTIF(INV_ID,B93)=0,"CHECK: Supplier ID not in inventory",IF(AND(H93&lt;&gt;"",COUNTIF(INV_ID,H93)=0),"CHECK: Replacement supplier ID not in inventory",IF(AND(Q93="Closed - approved",OR(LEFT(U93,9)="Not ready",R93="")),"CHECK: closed without readiness or approval reference",IF(AND(Q93="Ready for closure review",LEFT(U93,9)="Not ready"),"CHECK: marked ready but mandatory items open","OK")))))))</f>
        <v/>
      </c>
    </row>
    <row r="94" customFormat="false" ht="15" hidden="false" customHeight="false" outlineLevel="0" collapsed="false">
      <c r="A94" s="50"/>
      <c r="B94" s="50"/>
      <c r="C94" s="59" t="str">
        <f aca="false">IF(B94="","",IFERROR(INDEX(INV_NAME,MATCH(B94,INV_ID,0)),"CHECK: Supplier ID not found"))</f>
        <v/>
      </c>
      <c r="D94" s="34"/>
      <c r="E94" s="34"/>
      <c r="F94" s="51"/>
      <c r="G94" s="34"/>
      <c r="H94" s="50"/>
      <c r="I94" s="34"/>
      <c r="J94" s="50"/>
      <c r="K94" s="34"/>
      <c r="L94" s="50"/>
      <c r="M94" s="51"/>
      <c r="N94" s="34"/>
      <c r="O94" s="34"/>
      <c r="P94" s="50"/>
      <c r="Q94" s="34"/>
      <c r="R94" s="60"/>
      <c r="S94" s="52" t="str">
        <f aca="false">IF(A94="","",IF(AND(OR(N94="Complete",N94="Not applicable - justified"),O94&lt;&gt;""),"Yes","No"))</f>
        <v/>
      </c>
      <c r="T94" s="52" t="str">
        <f aca="false">IF(A94="","",IF(AND(S94="No",ISNUMBER(M94),M94&lt;AsOf),"Overdue",""))</f>
        <v/>
      </c>
      <c r="U94" s="54" t="str">
        <f aca="false">IF(A94="","",IF(COUNTIFS(EXT_SUP,B94,EXT_MAND,"&lt;&gt;No",EXT_DONE,"No")&gt;0,"Not ready - "&amp;COUNTIFS(EXT_SUP,B94,EXT_MAND,"&lt;&gt;No",EXT_DONE,"No")&amp;" mandatory action(s) open",IF(SUMPRODUCT(--(COUNTIFS(EXT_SUP,B94,EXT_ITEM,L_ExitItems)=0))&gt;0,"Not ready - "&amp;SUMPRODUCT(--(COUNTIFS(EXT_SUP,B94,EXT_ITEM,L_ExitItems)=0))&amp;" checklist item(s) not yet recorded","Ready for closure review (not a formal approval)")))</f>
        <v/>
      </c>
      <c r="V94" s="54" t="str">
        <f aca="false">IF(A94="","",IF(COUNTIF(EXT_ID,A94)&gt;1,"CHECK: duplicate ID",IF(B94="","CHECK: Supplier ID missing",IF(COUNTIF(INV_ID,B94)=0,"CHECK: Supplier ID not in inventory",IF(AND(H94&lt;&gt;"",COUNTIF(INV_ID,H94)=0),"CHECK: Replacement supplier ID not in inventory",IF(AND(Q94="Closed - approved",OR(LEFT(U94,9)="Not ready",R94="")),"CHECK: closed without readiness or approval reference",IF(AND(Q94="Ready for closure review",LEFT(U94,9)="Not ready"),"CHECK: marked ready but mandatory items open","OK")))))))</f>
        <v/>
      </c>
    </row>
    <row r="95" customFormat="false" ht="15" hidden="false" customHeight="false" outlineLevel="0" collapsed="false">
      <c r="A95" s="50"/>
      <c r="B95" s="50"/>
      <c r="C95" s="59" t="str">
        <f aca="false">IF(B95="","",IFERROR(INDEX(INV_NAME,MATCH(B95,INV_ID,0)),"CHECK: Supplier ID not found"))</f>
        <v/>
      </c>
      <c r="D95" s="34"/>
      <c r="E95" s="34"/>
      <c r="F95" s="51"/>
      <c r="G95" s="34"/>
      <c r="H95" s="50"/>
      <c r="I95" s="34"/>
      <c r="J95" s="50"/>
      <c r="K95" s="34"/>
      <c r="L95" s="50"/>
      <c r="M95" s="51"/>
      <c r="N95" s="34"/>
      <c r="O95" s="34"/>
      <c r="P95" s="50"/>
      <c r="Q95" s="34"/>
      <c r="R95" s="60"/>
      <c r="S95" s="52" t="str">
        <f aca="false">IF(A95="","",IF(AND(OR(N95="Complete",N95="Not applicable - justified"),O95&lt;&gt;""),"Yes","No"))</f>
        <v/>
      </c>
      <c r="T95" s="52" t="str">
        <f aca="false">IF(A95="","",IF(AND(S95="No",ISNUMBER(M95),M95&lt;AsOf),"Overdue",""))</f>
        <v/>
      </c>
      <c r="U95" s="54" t="str">
        <f aca="false">IF(A95="","",IF(COUNTIFS(EXT_SUP,B95,EXT_MAND,"&lt;&gt;No",EXT_DONE,"No")&gt;0,"Not ready - "&amp;COUNTIFS(EXT_SUP,B95,EXT_MAND,"&lt;&gt;No",EXT_DONE,"No")&amp;" mandatory action(s) open",IF(SUMPRODUCT(--(COUNTIFS(EXT_SUP,B95,EXT_ITEM,L_ExitItems)=0))&gt;0,"Not ready - "&amp;SUMPRODUCT(--(COUNTIFS(EXT_SUP,B95,EXT_ITEM,L_ExitItems)=0))&amp;" checklist item(s) not yet recorded","Ready for closure review (not a formal approval)")))</f>
        <v/>
      </c>
      <c r="V95" s="54" t="str">
        <f aca="false">IF(A95="","",IF(COUNTIF(EXT_ID,A95)&gt;1,"CHECK: duplicate ID",IF(B95="","CHECK: Supplier ID missing",IF(COUNTIF(INV_ID,B95)=0,"CHECK: Supplier ID not in inventory",IF(AND(H95&lt;&gt;"",COUNTIF(INV_ID,H95)=0),"CHECK: Replacement supplier ID not in inventory",IF(AND(Q95="Closed - approved",OR(LEFT(U95,9)="Not ready",R95="")),"CHECK: closed without readiness or approval reference",IF(AND(Q95="Ready for closure review",LEFT(U95,9)="Not ready"),"CHECK: marked ready but mandatory items open","OK")))))))</f>
        <v/>
      </c>
    </row>
    <row r="96" customFormat="false" ht="15" hidden="false" customHeight="false" outlineLevel="0" collapsed="false">
      <c r="A96" s="50"/>
      <c r="B96" s="50"/>
      <c r="C96" s="59" t="str">
        <f aca="false">IF(B96="","",IFERROR(INDEX(INV_NAME,MATCH(B96,INV_ID,0)),"CHECK: Supplier ID not found"))</f>
        <v/>
      </c>
      <c r="D96" s="34"/>
      <c r="E96" s="34"/>
      <c r="F96" s="51"/>
      <c r="G96" s="34"/>
      <c r="H96" s="50"/>
      <c r="I96" s="34"/>
      <c r="J96" s="50"/>
      <c r="K96" s="34"/>
      <c r="L96" s="50"/>
      <c r="M96" s="51"/>
      <c r="N96" s="34"/>
      <c r="O96" s="34"/>
      <c r="P96" s="50"/>
      <c r="Q96" s="34"/>
      <c r="R96" s="60"/>
      <c r="S96" s="52" t="str">
        <f aca="false">IF(A96="","",IF(AND(OR(N96="Complete",N96="Not applicable - justified"),O96&lt;&gt;""),"Yes","No"))</f>
        <v/>
      </c>
      <c r="T96" s="52" t="str">
        <f aca="false">IF(A96="","",IF(AND(S96="No",ISNUMBER(M96),M96&lt;AsOf),"Overdue",""))</f>
        <v/>
      </c>
      <c r="U96" s="54" t="str">
        <f aca="false">IF(A96="","",IF(COUNTIFS(EXT_SUP,B96,EXT_MAND,"&lt;&gt;No",EXT_DONE,"No")&gt;0,"Not ready - "&amp;COUNTIFS(EXT_SUP,B96,EXT_MAND,"&lt;&gt;No",EXT_DONE,"No")&amp;" mandatory action(s) open",IF(SUMPRODUCT(--(COUNTIFS(EXT_SUP,B96,EXT_ITEM,L_ExitItems)=0))&gt;0,"Not ready - "&amp;SUMPRODUCT(--(COUNTIFS(EXT_SUP,B96,EXT_ITEM,L_ExitItems)=0))&amp;" checklist item(s) not yet recorded","Ready for closure review (not a formal approval)")))</f>
        <v/>
      </c>
      <c r="V96" s="54" t="str">
        <f aca="false">IF(A96="","",IF(COUNTIF(EXT_ID,A96)&gt;1,"CHECK: duplicate ID",IF(B96="","CHECK: Supplier ID missing",IF(COUNTIF(INV_ID,B96)=0,"CHECK: Supplier ID not in inventory",IF(AND(H96&lt;&gt;"",COUNTIF(INV_ID,H96)=0),"CHECK: Replacement supplier ID not in inventory",IF(AND(Q96="Closed - approved",OR(LEFT(U96,9)="Not ready",R96="")),"CHECK: closed without readiness or approval reference",IF(AND(Q96="Ready for closure review",LEFT(U96,9)="Not ready"),"CHECK: marked ready but mandatory items open","OK")))))))</f>
        <v/>
      </c>
    </row>
    <row r="97" customFormat="false" ht="15" hidden="false" customHeight="false" outlineLevel="0" collapsed="false">
      <c r="A97" s="50"/>
      <c r="B97" s="50"/>
      <c r="C97" s="59" t="str">
        <f aca="false">IF(B97="","",IFERROR(INDEX(INV_NAME,MATCH(B97,INV_ID,0)),"CHECK: Supplier ID not found"))</f>
        <v/>
      </c>
      <c r="D97" s="34"/>
      <c r="E97" s="34"/>
      <c r="F97" s="51"/>
      <c r="G97" s="34"/>
      <c r="H97" s="50"/>
      <c r="I97" s="34"/>
      <c r="J97" s="50"/>
      <c r="K97" s="34"/>
      <c r="L97" s="50"/>
      <c r="M97" s="51"/>
      <c r="N97" s="34"/>
      <c r="O97" s="34"/>
      <c r="P97" s="50"/>
      <c r="Q97" s="34"/>
      <c r="R97" s="60"/>
      <c r="S97" s="52" t="str">
        <f aca="false">IF(A97="","",IF(AND(OR(N97="Complete",N97="Not applicable - justified"),O97&lt;&gt;""),"Yes","No"))</f>
        <v/>
      </c>
      <c r="T97" s="52" t="str">
        <f aca="false">IF(A97="","",IF(AND(S97="No",ISNUMBER(M97),M97&lt;AsOf),"Overdue",""))</f>
        <v/>
      </c>
      <c r="U97" s="54" t="str">
        <f aca="false">IF(A97="","",IF(COUNTIFS(EXT_SUP,B97,EXT_MAND,"&lt;&gt;No",EXT_DONE,"No")&gt;0,"Not ready - "&amp;COUNTIFS(EXT_SUP,B97,EXT_MAND,"&lt;&gt;No",EXT_DONE,"No")&amp;" mandatory action(s) open",IF(SUMPRODUCT(--(COUNTIFS(EXT_SUP,B97,EXT_ITEM,L_ExitItems)=0))&gt;0,"Not ready - "&amp;SUMPRODUCT(--(COUNTIFS(EXT_SUP,B97,EXT_ITEM,L_ExitItems)=0))&amp;" checklist item(s) not yet recorded","Ready for closure review (not a formal approval)")))</f>
        <v/>
      </c>
      <c r="V97" s="54" t="str">
        <f aca="false">IF(A97="","",IF(COUNTIF(EXT_ID,A97)&gt;1,"CHECK: duplicate ID",IF(B97="","CHECK: Supplier ID missing",IF(COUNTIF(INV_ID,B97)=0,"CHECK: Supplier ID not in inventory",IF(AND(H97&lt;&gt;"",COUNTIF(INV_ID,H97)=0),"CHECK: Replacement supplier ID not in inventory",IF(AND(Q97="Closed - approved",OR(LEFT(U97,9)="Not ready",R97="")),"CHECK: closed without readiness or approval reference",IF(AND(Q97="Ready for closure review",LEFT(U97,9)="Not ready"),"CHECK: marked ready but mandatory items open","OK")))))))</f>
        <v/>
      </c>
    </row>
    <row r="98" customFormat="false" ht="15" hidden="false" customHeight="false" outlineLevel="0" collapsed="false">
      <c r="A98" s="50"/>
      <c r="B98" s="50"/>
      <c r="C98" s="59" t="str">
        <f aca="false">IF(B98="","",IFERROR(INDEX(INV_NAME,MATCH(B98,INV_ID,0)),"CHECK: Supplier ID not found"))</f>
        <v/>
      </c>
      <c r="D98" s="34"/>
      <c r="E98" s="34"/>
      <c r="F98" s="51"/>
      <c r="G98" s="34"/>
      <c r="H98" s="50"/>
      <c r="I98" s="34"/>
      <c r="J98" s="50"/>
      <c r="K98" s="34"/>
      <c r="L98" s="50"/>
      <c r="M98" s="51"/>
      <c r="N98" s="34"/>
      <c r="O98" s="34"/>
      <c r="P98" s="50"/>
      <c r="Q98" s="34"/>
      <c r="R98" s="60"/>
      <c r="S98" s="52" t="str">
        <f aca="false">IF(A98="","",IF(AND(OR(N98="Complete",N98="Not applicable - justified"),O98&lt;&gt;""),"Yes","No"))</f>
        <v/>
      </c>
      <c r="T98" s="52" t="str">
        <f aca="false">IF(A98="","",IF(AND(S98="No",ISNUMBER(M98),M98&lt;AsOf),"Overdue",""))</f>
        <v/>
      </c>
      <c r="U98" s="54" t="str">
        <f aca="false">IF(A98="","",IF(COUNTIFS(EXT_SUP,B98,EXT_MAND,"&lt;&gt;No",EXT_DONE,"No")&gt;0,"Not ready - "&amp;COUNTIFS(EXT_SUP,B98,EXT_MAND,"&lt;&gt;No",EXT_DONE,"No")&amp;" mandatory action(s) open",IF(SUMPRODUCT(--(COUNTIFS(EXT_SUP,B98,EXT_ITEM,L_ExitItems)=0))&gt;0,"Not ready - "&amp;SUMPRODUCT(--(COUNTIFS(EXT_SUP,B98,EXT_ITEM,L_ExitItems)=0))&amp;" checklist item(s) not yet recorded","Ready for closure review (not a formal approval)")))</f>
        <v/>
      </c>
      <c r="V98" s="54" t="str">
        <f aca="false">IF(A98="","",IF(COUNTIF(EXT_ID,A98)&gt;1,"CHECK: duplicate ID",IF(B98="","CHECK: Supplier ID missing",IF(COUNTIF(INV_ID,B98)=0,"CHECK: Supplier ID not in inventory",IF(AND(H98&lt;&gt;"",COUNTIF(INV_ID,H98)=0),"CHECK: Replacement supplier ID not in inventory",IF(AND(Q98="Closed - approved",OR(LEFT(U98,9)="Not ready",R98="")),"CHECK: closed without readiness or approval reference",IF(AND(Q98="Ready for closure review",LEFT(U98,9)="Not ready"),"CHECK: marked ready but mandatory items open","OK")))))))</f>
        <v/>
      </c>
    </row>
    <row r="99" customFormat="false" ht="15" hidden="false" customHeight="false" outlineLevel="0" collapsed="false">
      <c r="A99" s="50"/>
      <c r="B99" s="50"/>
      <c r="C99" s="59" t="str">
        <f aca="false">IF(B99="","",IFERROR(INDEX(INV_NAME,MATCH(B99,INV_ID,0)),"CHECK: Supplier ID not found"))</f>
        <v/>
      </c>
      <c r="D99" s="34"/>
      <c r="E99" s="34"/>
      <c r="F99" s="51"/>
      <c r="G99" s="34"/>
      <c r="H99" s="50"/>
      <c r="I99" s="34"/>
      <c r="J99" s="50"/>
      <c r="K99" s="34"/>
      <c r="L99" s="50"/>
      <c r="M99" s="51"/>
      <c r="N99" s="34"/>
      <c r="O99" s="34"/>
      <c r="P99" s="50"/>
      <c r="Q99" s="34"/>
      <c r="R99" s="60"/>
      <c r="S99" s="52" t="str">
        <f aca="false">IF(A99="","",IF(AND(OR(N99="Complete",N99="Not applicable - justified"),O99&lt;&gt;""),"Yes","No"))</f>
        <v/>
      </c>
      <c r="T99" s="52" t="str">
        <f aca="false">IF(A99="","",IF(AND(S99="No",ISNUMBER(M99),M99&lt;AsOf),"Overdue",""))</f>
        <v/>
      </c>
      <c r="U99" s="54" t="str">
        <f aca="false">IF(A99="","",IF(COUNTIFS(EXT_SUP,B99,EXT_MAND,"&lt;&gt;No",EXT_DONE,"No")&gt;0,"Not ready - "&amp;COUNTIFS(EXT_SUP,B99,EXT_MAND,"&lt;&gt;No",EXT_DONE,"No")&amp;" mandatory action(s) open",IF(SUMPRODUCT(--(COUNTIFS(EXT_SUP,B99,EXT_ITEM,L_ExitItems)=0))&gt;0,"Not ready - "&amp;SUMPRODUCT(--(COUNTIFS(EXT_SUP,B99,EXT_ITEM,L_ExitItems)=0))&amp;" checklist item(s) not yet recorded","Ready for closure review (not a formal approval)")))</f>
        <v/>
      </c>
      <c r="V99" s="54" t="str">
        <f aca="false">IF(A99="","",IF(COUNTIF(EXT_ID,A99)&gt;1,"CHECK: duplicate ID",IF(B99="","CHECK: Supplier ID missing",IF(COUNTIF(INV_ID,B99)=0,"CHECK: Supplier ID not in inventory",IF(AND(H99&lt;&gt;"",COUNTIF(INV_ID,H99)=0),"CHECK: Replacement supplier ID not in inventory",IF(AND(Q99="Closed - approved",OR(LEFT(U99,9)="Not ready",R99="")),"CHECK: closed without readiness or approval reference",IF(AND(Q99="Ready for closure review",LEFT(U99,9)="Not ready"),"CHECK: marked ready but mandatory items open","OK")))))))</f>
        <v/>
      </c>
    </row>
    <row r="100" customFormat="false" ht="15" hidden="false" customHeight="false" outlineLevel="0" collapsed="false">
      <c r="A100" s="50"/>
      <c r="B100" s="50"/>
      <c r="C100" s="59" t="str">
        <f aca="false">IF(B100="","",IFERROR(INDEX(INV_NAME,MATCH(B100,INV_ID,0)),"CHECK: Supplier ID not found"))</f>
        <v/>
      </c>
      <c r="D100" s="34"/>
      <c r="E100" s="34"/>
      <c r="F100" s="51"/>
      <c r="G100" s="34"/>
      <c r="H100" s="50"/>
      <c r="I100" s="34"/>
      <c r="J100" s="50"/>
      <c r="K100" s="34"/>
      <c r="L100" s="50"/>
      <c r="M100" s="51"/>
      <c r="N100" s="34"/>
      <c r="O100" s="34"/>
      <c r="P100" s="50"/>
      <c r="Q100" s="34"/>
      <c r="R100" s="60"/>
      <c r="S100" s="52" t="str">
        <f aca="false">IF(A100="","",IF(AND(OR(N100="Complete",N100="Not applicable - justified"),O100&lt;&gt;""),"Yes","No"))</f>
        <v/>
      </c>
      <c r="T100" s="52" t="str">
        <f aca="false">IF(A100="","",IF(AND(S100="No",ISNUMBER(M100),M100&lt;AsOf),"Overdue",""))</f>
        <v/>
      </c>
      <c r="U100" s="54" t="str">
        <f aca="false">IF(A100="","",IF(COUNTIFS(EXT_SUP,B100,EXT_MAND,"&lt;&gt;No",EXT_DONE,"No")&gt;0,"Not ready - "&amp;COUNTIFS(EXT_SUP,B100,EXT_MAND,"&lt;&gt;No",EXT_DONE,"No")&amp;" mandatory action(s) open",IF(SUMPRODUCT(--(COUNTIFS(EXT_SUP,B100,EXT_ITEM,L_ExitItems)=0))&gt;0,"Not ready - "&amp;SUMPRODUCT(--(COUNTIFS(EXT_SUP,B100,EXT_ITEM,L_ExitItems)=0))&amp;" checklist item(s) not yet recorded","Ready for closure review (not a formal approval)")))</f>
        <v/>
      </c>
      <c r="V100" s="54" t="str">
        <f aca="false">IF(A100="","",IF(COUNTIF(EXT_ID,A100)&gt;1,"CHECK: duplicate ID",IF(B100="","CHECK: Supplier ID missing",IF(COUNTIF(INV_ID,B100)=0,"CHECK: Supplier ID not in inventory",IF(AND(H100&lt;&gt;"",COUNTIF(INV_ID,H100)=0),"CHECK: Replacement supplier ID not in inventory",IF(AND(Q100="Closed - approved",OR(LEFT(U100,9)="Not ready",R100="")),"CHECK: closed without readiness or approval reference",IF(AND(Q100="Ready for closure review",LEFT(U100,9)="Not ready"),"CHECK: marked ready but mandatory items open","OK")))))))</f>
        <v/>
      </c>
    </row>
    <row r="101" customFormat="false" ht="15" hidden="false" customHeight="false" outlineLevel="0" collapsed="false">
      <c r="A101" s="50"/>
      <c r="B101" s="50"/>
      <c r="C101" s="59" t="str">
        <f aca="false">IF(B101="","",IFERROR(INDEX(INV_NAME,MATCH(B101,INV_ID,0)),"CHECK: Supplier ID not found"))</f>
        <v/>
      </c>
      <c r="D101" s="34"/>
      <c r="E101" s="34"/>
      <c r="F101" s="51"/>
      <c r="G101" s="34"/>
      <c r="H101" s="50"/>
      <c r="I101" s="34"/>
      <c r="J101" s="50"/>
      <c r="K101" s="34"/>
      <c r="L101" s="50"/>
      <c r="M101" s="51"/>
      <c r="N101" s="34"/>
      <c r="O101" s="34"/>
      <c r="P101" s="50"/>
      <c r="Q101" s="34"/>
      <c r="R101" s="60"/>
      <c r="S101" s="52" t="str">
        <f aca="false">IF(A101="","",IF(AND(OR(N101="Complete",N101="Not applicable - justified"),O101&lt;&gt;""),"Yes","No"))</f>
        <v/>
      </c>
      <c r="T101" s="52" t="str">
        <f aca="false">IF(A101="","",IF(AND(S101="No",ISNUMBER(M101),M101&lt;AsOf),"Overdue",""))</f>
        <v/>
      </c>
      <c r="U101" s="54" t="str">
        <f aca="false">IF(A101="","",IF(COUNTIFS(EXT_SUP,B101,EXT_MAND,"&lt;&gt;No",EXT_DONE,"No")&gt;0,"Not ready - "&amp;COUNTIFS(EXT_SUP,B101,EXT_MAND,"&lt;&gt;No",EXT_DONE,"No")&amp;" mandatory action(s) open",IF(SUMPRODUCT(--(COUNTIFS(EXT_SUP,B101,EXT_ITEM,L_ExitItems)=0))&gt;0,"Not ready - "&amp;SUMPRODUCT(--(COUNTIFS(EXT_SUP,B101,EXT_ITEM,L_ExitItems)=0))&amp;" checklist item(s) not yet recorded","Ready for closure review (not a formal approval)")))</f>
        <v/>
      </c>
      <c r="V101" s="54" t="str">
        <f aca="false">IF(A101="","",IF(COUNTIF(EXT_ID,A101)&gt;1,"CHECK: duplicate ID",IF(B101="","CHECK: Supplier ID missing",IF(COUNTIF(INV_ID,B101)=0,"CHECK: Supplier ID not in inventory",IF(AND(H101&lt;&gt;"",COUNTIF(INV_ID,H101)=0),"CHECK: Replacement supplier ID not in inventory",IF(AND(Q101="Closed - approved",OR(LEFT(U101,9)="Not ready",R101="")),"CHECK: closed without readiness or approval reference",IF(AND(Q101="Ready for closure review",LEFT(U101,9)="Not ready"),"CHECK: marked ready but mandatory items open","OK")))))))</f>
        <v/>
      </c>
    </row>
    <row r="102" customFormat="false" ht="15" hidden="false" customHeight="false" outlineLevel="0" collapsed="false">
      <c r="A102" s="50"/>
      <c r="B102" s="50"/>
      <c r="C102" s="59" t="str">
        <f aca="false">IF(B102="","",IFERROR(INDEX(INV_NAME,MATCH(B102,INV_ID,0)),"CHECK: Supplier ID not found"))</f>
        <v/>
      </c>
      <c r="D102" s="34"/>
      <c r="E102" s="34"/>
      <c r="F102" s="51"/>
      <c r="G102" s="34"/>
      <c r="H102" s="50"/>
      <c r="I102" s="34"/>
      <c r="J102" s="50"/>
      <c r="K102" s="34"/>
      <c r="L102" s="50"/>
      <c r="M102" s="51"/>
      <c r="N102" s="34"/>
      <c r="O102" s="34"/>
      <c r="P102" s="50"/>
      <c r="Q102" s="34"/>
      <c r="R102" s="60"/>
      <c r="S102" s="52" t="str">
        <f aca="false">IF(A102="","",IF(AND(OR(N102="Complete",N102="Not applicable - justified"),O102&lt;&gt;""),"Yes","No"))</f>
        <v/>
      </c>
      <c r="T102" s="52" t="str">
        <f aca="false">IF(A102="","",IF(AND(S102="No",ISNUMBER(M102),M102&lt;AsOf),"Overdue",""))</f>
        <v/>
      </c>
      <c r="U102" s="54" t="str">
        <f aca="false">IF(A102="","",IF(COUNTIFS(EXT_SUP,B102,EXT_MAND,"&lt;&gt;No",EXT_DONE,"No")&gt;0,"Not ready - "&amp;COUNTIFS(EXT_SUP,B102,EXT_MAND,"&lt;&gt;No",EXT_DONE,"No")&amp;" mandatory action(s) open",IF(SUMPRODUCT(--(COUNTIFS(EXT_SUP,B102,EXT_ITEM,L_ExitItems)=0))&gt;0,"Not ready - "&amp;SUMPRODUCT(--(COUNTIFS(EXT_SUP,B102,EXT_ITEM,L_ExitItems)=0))&amp;" checklist item(s) not yet recorded","Ready for closure review (not a formal approval)")))</f>
        <v/>
      </c>
      <c r="V102" s="54" t="str">
        <f aca="false">IF(A102="","",IF(COUNTIF(EXT_ID,A102)&gt;1,"CHECK: duplicate ID",IF(B102="","CHECK: Supplier ID missing",IF(COUNTIF(INV_ID,B102)=0,"CHECK: Supplier ID not in inventory",IF(AND(H102&lt;&gt;"",COUNTIF(INV_ID,H102)=0),"CHECK: Replacement supplier ID not in inventory",IF(AND(Q102="Closed - approved",OR(LEFT(U102,9)="Not ready",R102="")),"CHECK: closed without readiness or approval reference",IF(AND(Q102="Ready for closure review",LEFT(U102,9)="Not ready"),"CHECK: marked ready but mandatory items open","OK")))))))</f>
        <v/>
      </c>
    </row>
    <row r="103" customFormat="false" ht="15" hidden="false" customHeight="false" outlineLevel="0" collapsed="false">
      <c r="A103" s="50"/>
      <c r="B103" s="50"/>
      <c r="C103" s="59" t="str">
        <f aca="false">IF(B103="","",IFERROR(INDEX(INV_NAME,MATCH(B103,INV_ID,0)),"CHECK: Supplier ID not found"))</f>
        <v/>
      </c>
      <c r="D103" s="34"/>
      <c r="E103" s="34"/>
      <c r="F103" s="51"/>
      <c r="G103" s="34"/>
      <c r="H103" s="50"/>
      <c r="I103" s="34"/>
      <c r="J103" s="50"/>
      <c r="K103" s="34"/>
      <c r="L103" s="50"/>
      <c r="M103" s="51"/>
      <c r="N103" s="34"/>
      <c r="O103" s="34"/>
      <c r="P103" s="50"/>
      <c r="Q103" s="34"/>
      <c r="R103" s="60"/>
      <c r="S103" s="52" t="str">
        <f aca="false">IF(A103="","",IF(AND(OR(N103="Complete",N103="Not applicable - justified"),O103&lt;&gt;""),"Yes","No"))</f>
        <v/>
      </c>
      <c r="T103" s="52" t="str">
        <f aca="false">IF(A103="","",IF(AND(S103="No",ISNUMBER(M103),M103&lt;AsOf),"Overdue",""))</f>
        <v/>
      </c>
      <c r="U103" s="54" t="str">
        <f aca="false">IF(A103="","",IF(COUNTIFS(EXT_SUP,B103,EXT_MAND,"&lt;&gt;No",EXT_DONE,"No")&gt;0,"Not ready - "&amp;COUNTIFS(EXT_SUP,B103,EXT_MAND,"&lt;&gt;No",EXT_DONE,"No")&amp;" mandatory action(s) open",IF(SUMPRODUCT(--(COUNTIFS(EXT_SUP,B103,EXT_ITEM,L_ExitItems)=0))&gt;0,"Not ready - "&amp;SUMPRODUCT(--(COUNTIFS(EXT_SUP,B103,EXT_ITEM,L_ExitItems)=0))&amp;" checklist item(s) not yet recorded","Ready for closure review (not a formal approval)")))</f>
        <v/>
      </c>
      <c r="V103" s="54" t="str">
        <f aca="false">IF(A103="","",IF(COUNTIF(EXT_ID,A103)&gt;1,"CHECK: duplicate ID",IF(B103="","CHECK: Supplier ID missing",IF(COUNTIF(INV_ID,B103)=0,"CHECK: Supplier ID not in inventory",IF(AND(H103&lt;&gt;"",COUNTIF(INV_ID,H103)=0),"CHECK: Replacement supplier ID not in inventory",IF(AND(Q103="Closed - approved",OR(LEFT(U103,9)="Not ready",R103="")),"CHECK: closed without readiness or approval reference",IF(AND(Q103="Ready for closure review",LEFT(U103,9)="Not ready"),"CHECK: marked ready but mandatory items open","OK")))))))</f>
        <v/>
      </c>
    </row>
    <row r="104" customFormat="false" ht="15" hidden="false" customHeight="false" outlineLevel="0" collapsed="false">
      <c r="A104" s="50"/>
      <c r="B104" s="50"/>
      <c r="C104" s="59" t="str">
        <f aca="false">IF(B104="","",IFERROR(INDEX(INV_NAME,MATCH(B104,INV_ID,0)),"CHECK: Supplier ID not found"))</f>
        <v/>
      </c>
      <c r="D104" s="34"/>
      <c r="E104" s="34"/>
      <c r="F104" s="51"/>
      <c r="G104" s="34"/>
      <c r="H104" s="50"/>
      <c r="I104" s="34"/>
      <c r="J104" s="50"/>
      <c r="K104" s="34"/>
      <c r="L104" s="50"/>
      <c r="M104" s="51"/>
      <c r="N104" s="34"/>
      <c r="O104" s="34"/>
      <c r="P104" s="50"/>
      <c r="Q104" s="34"/>
      <c r="R104" s="60"/>
      <c r="S104" s="52" t="str">
        <f aca="false">IF(A104="","",IF(AND(OR(N104="Complete",N104="Not applicable - justified"),O104&lt;&gt;""),"Yes","No"))</f>
        <v/>
      </c>
      <c r="T104" s="52" t="str">
        <f aca="false">IF(A104="","",IF(AND(S104="No",ISNUMBER(M104),M104&lt;AsOf),"Overdue",""))</f>
        <v/>
      </c>
      <c r="U104" s="54" t="str">
        <f aca="false">IF(A104="","",IF(COUNTIFS(EXT_SUP,B104,EXT_MAND,"&lt;&gt;No",EXT_DONE,"No")&gt;0,"Not ready - "&amp;COUNTIFS(EXT_SUP,B104,EXT_MAND,"&lt;&gt;No",EXT_DONE,"No")&amp;" mandatory action(s) open",IF(SUMPRODUCT(--(COUNTIFS(EXT_SUP,B104,EXT_ITEM,L_ExitItems)=0))&gt;0,"Not ready - "&amp;SUMPRODUCT(--(COUNTIFS(EXT_SUP,B104,EXT_ITEM,L_ExitItems)=0))&amp;" checklist item(s) not yet recorded","Ready for closure review (not a formal approval)")))</f>
        <v/>
      </c>
      <c r="V104" s="54" t="str">
        <f aca="false">IF(A104="","",IF(COUNTIF(EXT_ID,A104)&gt;1,"CHECK: duplicate ID",IF(B104="","CHECK: Supplier ID missing",IF(COUNTIF(INV_ID,B104)=0,"CHECK: Supplier ID not in inventory",IF(AND(H104&lt;&gt;"",COUNTIF(INV_ID,H104)=0),"CHECK: Replacement supplier ID not in inventory",IF(AND(Q104="Closed - approved",OR(LEFT(U104,9)="Not ready",R104="")),"CHECK: closed without readiness or approval reference",IF(AND(Q104="Ready for closure review",LEFT(U104,9)="Not ready"),"CHECK: marked ready but mandatory items open","OK")))))))</f>
        <v/>
      </c>
    </row>
    <row r="105" customFormat="false" ht="15" hidden="false" customHeight="false" outlineLevel="0" collapsed="false">
      <c r="A105" s="50"/>
      <c r="B105" s="50"/>
      <c r="C105" s="59" t="str">
        <f aca="false">IF(B105="","",IFERROR(INDEX(INV_NAME,MATCH(B105,INV_ID,0)),"CHECK: Supplier ID not found"))</f>
        <v/>
      </c>
      <c r="D105" s="34"/>
      <c r="E105" s="34"/>
      <c r="F105" s="51"/>
      <c r="G105" s="34"/>
      <c r="H105" s="50"/>
      <c r="I105" s="34"/>
      <c r="J105" s="50"/>
      <c r="K105" s="34"/>
      <c r="L105" s="50"/>
      <c r="M105" s="51"/>
      <c r="N105" s="34"/>
      <c r="O105" s="34"/>
      <c r="P105" s="50"/>
      <c r="Q105" s="34"/>
      <c r="R105" s="60"/>
      <c r="S105" s="52" t="str">
        <f aca="false">IF(A105="","",IF(AND(OR(N105="Complete",N105="Not applicable - justified"),O105&lt;&gt;""),"Yes","No"))</f>
        <v/>
      </c>
      <c r="T105" s="52" t="str">
        <f aca="false">IF(A105="","",IF(AND(S105="No",ISNUMBER(M105),M105&lt;AsOf),"Overdue",""))</f>
        <v/>
      </c>
      <c r="U105" s="54" t="str">
        <f aca="false">IF(A105="","",IF(COUNTIFS(EXT_SUP,B105,EXT_MAND,"&lt;&gt;No",EXT_DONE,"No")&gt;0,"Not ready - "&amp;COUNTIFS(EXT_SUP,B105,EXT_MAND,"&lt;&gt;No",EXT_DONE,"No")&amp;" mandatory action(s) open",IF(SUMPRODUCT(--(COUNTIFS(EXT_SUP,B105,EXT_ITEM,L_ExitItems)=0))&gt;0,"Not ready - "&amp;SUMPRODUCT(--(COUNTIFS(EXT_SUP,B105,EXT_ITEM,L_ExitItems)=0))&amp;" checklist item(s) not yet recorded","Ready for closure review (not a formal approval)")))</f>
        <v/>
      </c>
      <c r="V105" s="54" t="str">
        <f aca="false">IF(A105="","",IF(COUNTIF(EXT_ID,A105)&gt;1,"CHECK: duplicate ID",IF(B105="","CHECK: Supplier ID missing",IF(COUNTIF(INV_ID,B105)=0,"CHECK: Supplier ID not in inventory",IF(AND(H105&lt;&gt;"",COUNTIF(INV_ID,H105)=0),"CHECK: Replacement supplier ID not in inventory",IF(AND(Q105="Closed - approved",OR(LEFT(U105,9)="Not ready",R105="")),"CHECK: closed without readiness or approval reference",IF(AND(Q105="Ready for closure review",LEFT(U105,9)="Not ready"),"CHECK: marked ready but mandatory items open","OK")))))))</f>
        <v/>
      </c>
    </row>
    <row r="106" customFormat="false" ht="15" hidden="false" customHeight="false" outlineLevel="0" collapsed="false">
      <c r="A106" s="50"/>
      <c r="B106" s="50"/>
      <c r="C106" s="59" t="str">
        <f aca="false">IF(B106="","",IFERROR(INDEX(INV_NAME,MATCH(B106,INV_ID,0)),"CHECK: Supplier ID not found"))</f>
        <v/>
      </c>
      <c r="D106" s="34"/>
      <c r="E106" s="34"/>
      <c r="F106" s="51"/>
      <c r="G106" s="34"/>
      <c r="H106" s="50"/>
      <c r="I106" s="34"/>
      <c r="J106" s="50"/>
      <c r="K106" s="34"/>
      <c r="L106" s="50"/>
      <c r="M106" s="51"/>
      <c r="N106" s="34"/>
      <c r="O106" s="34"/>
      <c r="P106" s="50"/>
      <c r="Q106" s="34"/>
      <c r="R106" s="60"/>
      <c r="S106" s="52" t="str">
        <f aca="false">IF(A106="","",IF(AND(OR(N106="Complete",N106="Not applicable - justified"),O106&lt;&gt;""),"Yes","No"))</f>
        <v/>
      </c>
      <c r="T106" s="52" t="str">
        <f aca="false">IF(A106="","",IF(AND(S106="No",ISNUMBER(M106),M106&lt;AsOf),"Overdue",""))</f>
        <v/>
      </c>
      <c r="U106" s="54" t="str">
        <f aca="false">IF(A106="","",IF(COUNTIFS(EXT_SUP,B106,EXT_MAND,"&lt;&gt;No",EXT_DONE,"No")&gt;0,"Not ready - "&amp;COUNTIFS(EXT_SUP,B106,EXT_MAND,"&lt;&gt;No",EXT_DONE,"No")&amp;" mandatory action(s) open",IF(SUMPRODUCT(--(COUNTIFS(EXT_SUP,B106,EXT_ITEM,L_ExitItems)=0))&gt;0,"Not ready - "&amp;SUMPRODUCT(--(COUNTIFS(EXT_SUP,B106,EXT_ITEM,L_ExitItems)=0))&amp;" checklist item(s) not yet recorded","Ready for closure review (not a formal approval)")))</f>
        <v/>
      </c>
      <c r="V106" s="54" t="str">
        <f aca="false">IF(A106="","",IF(COUNTIF(EXT_ID,A106)&gt;1,"CHECK: duplicate ID",IF(B106="","CHECK: Supplier ID missing",IF(COUNTIF(INV_ID,B106)=0,"CHECK: Supplier ID not in inventory",IF(AND(H106&lt;&gt;"",COUNTIF(INV_ID,H106)=0),"CHECK: Replacement supplier ID not in inventory",IF(AND(Q106="Closed - approved",OR(LEFT(U106,9)="Not ready",R106="")),"CHECK: closed without readiness or approval reference",IF(AND(Q106="Ready for closure review",LEFT(U106,9)="Not ready"),"CHECK: marked ready but mandatory items open","OK")))))))</f>
        <v/>
      </c>
    </row>
    <row r="107" customFormat="false" ht="15" hidden="false" customHeight="false" outlineLevel="0" collapsed="false">
      <c r="A107" s="50"/>
      <c r="B107" s="50"/>
      <c r="C107" s="59" t="str">
        <f aca="false">IF(B107="","",IFERROR(INDEX(INV_NAME,MATCH(B107,INV_ID,0)),"CHECK: Supplier ID not found"))</f>
        <v/>
      </c>
      <c r="D107" s="34"/>
      <c r="E107" s="34"/>
      <c r="F107" s="51"/>
      <c r="G107" s="34"/>
      <c r="H107" s="50"/>
      <c r="I107" s="34"/>
      <c r="J107" s="50"/>
      <c r="K107" s="34"/>
      <c r="L107" s="50"/>
      <c r="M107" s="51"/>
      <c r="N107" s="34"/>
      <c r="O107" s="34"/>
      <c r="P107" s="50"/>
      <c r="Q107" s="34"/>
      <c r="R107" s="60"/>
      <c r="S107" s="52" t="str">
        <f aca="false">IF(A107="","",IF(AND(OR(N107="Complete",N107="Not applicable - justified"),O107&lt;&gt;""),"Yes","No"))</f>
        <v/>
      </c>
      <c r="T107" s="52" t="str">
        <f aca="false">IF(A107="","",IF(AND(S107="No",ISNUMBER(M107),M107&lt;AsOf),"Overdue",""))</f>
        <v/>
      </c>
      <c r="U107" s="54" t="str">
        <f aca="false">IF(A107="","",IF(COUNTIFS(EXT_SUP,B107,EXT_MAND,"&lt;&gt;No",EXT_DONE,"No")&gt;0,"Not ready - "&amp;COUNTIFS(EXT_SUP,B107,EXT_MAND,"&lt;&gt;No",EXT_DONE,"No")&amp;" mandatory action(s) open",IF(SUMPRODUCT(--(COUNTIFS(EXT_SUP,B107,EXT_ITEM,L_ExitItems)=0))&gt;0,"Not ready - "&amp;SUMPRODUCT(--(COUNTIFS(EXT_SUP,B107,EXT_ITEM,L_ExitItems)=0))&amp;" checklist item(s) not yet recorded","Ready for closure review (not a formal approval)")))</f>
        <v/>
      </c>
      <c r="V107" s="54" t="str">
        <f aca="false">IF(A107="","",IF(COUNTIF(EXT_ID,A107)&gt;1,"CHECK: duplicate ID",IF(B107="","CHECK: Supplier ID missing",IF(COUNTIF(INV_ID,B107)=0,"CHECK: Supplier ID not in inventory",IF(AND(H107&lt;&gt;"",COUNTIF(INV_ID,H107)=0),"CHECK: Replacement supplier ID not in inventory",IF(AND(Q107="Closed - approved",OR(LEFT(U107,9)="Not ready",R107="")),"CHECK: closed without readiness or approval reference",IF(AND(Q107="Ready for closure review",LEFT(U107,9)="Not ready"),"CHECK: marked ready but mandatory items open","OK")))))))</f>
        <v/>
      </c>
    </row>
    <row r="108" customFormat="false" ht="15" hidden="false" customHeight="false" outlineLevel="0" collapsed="false">
      <c r="A108" s="50"/>
      <c r="B108" s="50"/>
      <c r="C108" s="59" t="str">
        <f aca="false">IF(B108="","",IFERROR(INDEX(INV_NAME,MATCH(B108,INV_ID,0)),"CHECK: Supplier ID not found"))</f>
        <v/>
      </c>
      <c r="D108" s="34"/>
      <c r="E108" s="34"/>
      <c r="F108" s="51"/>
      <c r="G108" s="34"/>
      <c r="H108" s="50"/>
      <c r="I108" s="34"/>
      <c r="J108" s="50"/>
      <c r="K108" s="34"/>
      <c r="L108" s="50"/>
      <c r="M108" s="51"/>
      <c r="N108" s="34"/>
      <c r="O108" s="34"/>
      <c r="P108" s="50"/>
      <c r="Q108" s="34"/>
      <c r="R108" s="60"/>
      <c r="S108" s="52" t="str">
        <f aca="false">IF(A108="","",IF(AND(OR(N108="Complete",N108="Not applicable - justified"),O108&lt;&gt;""),"Yes","No"))</f>
        <v/>
      </c>
      <c r="T108" s="52" t="str">
        <f aca="false">IF(A108="","",IF(AND(S108="No",ISNUMBER(M108),M108&lt;AsOf),"Overdue",""))</f>
        <v/>
      </c>
      <c r="U108" s="54" t="str">
        <f aca="false">IF(A108="","",IF(COUNTIFS(EXT_SUP,B108,EXT_MAND,"&lt;&gt;No",EXT_DONE,"No")&gt;0,"Not ready - "&amp;COUNTIFS(EXT_SUP,B108,EXT_MAND,"&lt;&gt;No",EXT_DONE,"No")&amp;" mandatory action(s) open",IF(SUMPRODUCT(--(COUNTIFS(EXT_SUP,B108,EXT_ITEM,L_ExitItems)=0))&gt;0,"Not ready - "&amp;SUMPRODUCT(--(COUNTIFS(EXT_SUP,B108,EXT_ITEM,L_ExitItems)=0))&amp;" checklist item(s) not yet recorded","Ready for closure review (not a formal approval)")))</f>
        <v/>
      </c>
      <c r="V108" s="54" t="str">
        <f aca="false">IF(A108="","",IF(COUNTIF(EXT_ID,A108)&gt;1,"CHECK: duplicate ID",IF(B108="","CHECK: Supplier ID missing",IF(COUNTIF(INV_ID,B108)=0,"CHECK: Supplier ID not in inventory",IF(AND(H108&lt;&gt;"",COUNTIF(INV_ID,H108)=0),"CHECK: Replacement supplier ID not in inventory",IF(AND(Q108="Closed - approved",OR(LEFT(U108,9)="Not ready",R108="")),"CHECK: closed without readiness or approval reference",IF(AND(Q108="Ready for closure review",LEFT(U108,9)="Not ready"),"CHECK: marked ready but mandatory items open","OK")))))))</f>
        <v/>
      </c>
    </row>
    <row r="109" customFormat="false" ht="15" hidden="false" customHeight="false" outlineLevel="0" collapsed="false">
      <c r="A109" s="50"/>
      <c r="B109" s="50"/>
      <c r="C109" s="59" t="str">
        <f aca="false">IF(B109="","",IFERROR(INDEX(INV_NAME,MATCH(B109,INV_ID,0)),"CHECK: Supplier ID not found"))</f>
        <v/>
      </c>
      <c r="D109" s="34"/>
      <c r="E109" s="34"/>
      <c r="F109" s="51"/>
      <c r="G109" s="34"/>
      <c r="H109" s="50"/>
      <c r="I109" s="34"/>
      <c r="J109" s="50"/>
      <c r="K109" s="34"/>
      <c r="L109" s="50"/>
      <c r="M109" s="51"/>
      <c r="N109" s="34"/>
      <c r="O109" s="34"/>
      <c r="P109" s="50"/>
      <c r="Q109" s="34"/>
      <c r="R109" s="60"/>
      <c r="S109" s="52" t="str">
        <f aca="false">IF(A109="","",IF(AND(OR(N109="Complete",N109="Not applicable - justified"),O109&lt;&gt;""),"Yes","No"))</f>
        <v/>
      </c>
      <c r="T109" s="52" t="str">
        <f aca="false">IF(A109="","",IF(AND(S109="No",ISNUMBER(M109),M109&lt;AsOf),"Overdue",""))</f>
        <v/>
      </c>
      <c r="U109" s="54" t="str">
        <f aca="false">IF(A109="","",IF(COUNTIFS(EXT_SUP,B109,EXT_MAND,"&lt;&gt;No",EXT_DONE,"No")&gt;0,"Not ready - "&amp;COUNTIFS(EXT_SUP,B109,EXT_MAND,"&lt;&gt;No",EXT_DONE,"No")&amp;" mandatory action(s) open",IF(SUMPRODUCT(--(COUNTIFS(EXT_SUP,B109,EXT_ITEM,L_ExitItems)=0))&gt;0,"Not ready - "&amp;SUMPRODUCT(--(COUNTIFS(EXT_SUP,B109,EXT_ITEM,L_ExitItems)=0))&amp;" checklist item(s) not yet recorded","Ready for closure review (not a formal approval)")))</f>
        <v/>
      </c>
      <c r="V109" s="54" t="str">
        <f aca="false">IF(A109="","",IF(COUNTIF(EXT_ID,A109)&gt;1,"CHECK: duplicate ID",IF(B109="","CHECK: Supplier ID missing",IF(COUNTIF(INV_ID,B109)=0,"CHECK: Supplier ID not in inventory",IF(AND(H109&lt;&gt;"",COUNTIF(INV_ID,H109)=0),"CHECK: Replacement supplier ID not in inventory",IF(AND(Q109="Closed - approved",OR(LEFT(U109,9)="Not ready",R109="")),"CHECK: closed without readiness or approval reference",IF(AND(Q109="Ready for closure review",LEFT(U109,9)="Not ready"),"CHECK: marked ready but mandatory items open","OK")))))))</f>
        <v/>
      </c>
    </row>
    <row r="110" customFormat="false" ht="15" hidden="false" customHeight="false" outlineLevel="0" collapsed="false">
      <c r="A110" s="50"/>
      <c r="B110" s="50"/>
      <c r="C110" s="59" t="str">
        <f aca="false">IF(B110="","",IFERROR(INDEX(INV_NAME,MATCH(B110,INV_ID,0)),"CHECK: Supplier ID not found"))</f>
        <v/>
      </c>
      <c r="D110" s="34"/>
      <c r="E110" s="34"/>
      <c r="F110" s="51"/>
      <c r="G110" s="34"/>
      <c r="H110" s="50"/>
      <c r="I110" s="34"/>
      <c r="J110" s="50"/>
      <c r="K110" s="34"/>
      <c r="L110" s="50"/>
      <c r="M110" s="51"/>
      <c r="N110" s="34"/>
      <c r="O110" s="34"/>
      <c r="P110" s="50"/>
      <c r="Q110" s="34"/>
      <c r="R110" s="60"/>
      <c r="S110" s="52" t="str">
        <f aca="false">IF(A110="","",IF(AND(OR(N110="Complete",N110="Not applicable - justified"),O110&lt;&gt;""),"Yes","No"))</f>
        <v/>
      </c>
      <c r="T110" s="52" t="str">
        <f aca="false">IF(A110="","",IF(AND(S110="No",ISNUMBER(M110),M110&lt;AsOf),"Overdue",""))</f>
        <v/>
      </c>
      <c r="U110" s="54" t="str">
        <f aca="false">IF(A110="","",IF(COUNTIFS(EXT_SUP,B110,EXT_MAND,"&lt;&gt;No",EXT_DONE,"No")&gt;0,"Not ready - "&amp;COUNTIFS(EXT_SUP,B110,EXT_MAND,"&lt;&gt;No",EXT_DONE,"No")&amp;" mandatory action(s) open",IF(SUMPRODUCT(--(COUNTIFS(EXT_SUP,B110,EXT_ITEM,L_ExitItems)=0))&gt;0,"Not ready - "&amp;SUMPRODUCT(--(COUNTIFS(EXT_SUP,B110,EXT_ITEM,L_ExitItems)=0))&amp;" checklist item(s) not yet recorded","Ready for closure review (not a formal approval)")))</f>
        <v/>
      </c>
      <c r="V110" s="54" t="str">
        <f aca="false">IF(A110="","",IF(COUNTIF(EXT_ID,A110)&gt;1,"CHECK: duplicate ID",IF(B110="","CHECK: Supplier ID missing",IF(COUNTIF(INV_ID,B110)=0,"CHECK: Supplier ID not in inventory",IF(AND(H110&lt;&gt;"",COUNTIF(INV_ID,H110)=0),"CHECK: Replacement supplier ID not in inventory",IF(AND(Q110="Closed - approved",OR(LEFT(U110,9)="Not ready",R110="")),"CHECK: closed without readiness or approval reference",IF(AND(Q110="Ready for closure review",LEFT(U110,9)="Not ready"),"CHECK: marked ready but mandatory items open","OK")))))))</f>
        <v/>
      </c>
    </row>
    <row r="111" customFormat="false" ht="15" hidden="false" customHeight="false" outlineLevel="0" collapsed="false">
      <c r="A111" s="50"/>
      <c r="B111" s="50"/>
      <c r="C111" s="59" t="str">
        <f aca="false">IF(B111="","",IFERROR(INDEX(INV_NAME,MATCH(B111,INV_ID,0)),"CHECK: Supplier ID not found"))</f>
        <v/>
      </c>
      <c r="D111" s="34"/>
      <c r="E111" s="34"/>
      <c r="F111" s="51"/>
      <c r="G111" s="34"/>
      <c r="H111" s="50"/>
      <c r="I111" s="34"/>
      <c r="J111" s="50"/>
      <c r="K111" s="34"/>
      <c r="L111" s="50"/>
      <c r="M111" s="51"/>
      <c r="N111" s="34"/>
      <c r="O111" s="34"/>
      <c r="P111" s="50"/>
      <c r="Q111" s="34"/>
      <c r="R111" s="60"/>
      <c r="S111" s="52" t="str">
        <f aca="false">IF(A111="","",IF(AND(OR(N111="Complete",N111="Not applicable - justified"),O111&lt;&gt;""),"Yes","No"))</f>
        <v/>
      </c>
      <c r="T111" s="52" t="str">
        <f aca="false">IF(A111="","",IF(AND(S111="No",ISNUMBER(M111),M111&lt;AsOf),"Overdue",""))</f>
        <v/>
      </c>
      <c r="U111" s="54" t="str">
        <f aca="false">IF(A111="","",IF(COUNTIFS(EXT_SUP,B111,EXT_MAND,"&lt;&gt;No",EXT_DONE,"No")&gt;0,"Not ready - "&amp;COUNTIFS(EXT_SUP,B111,EXT_MAND,"&lt;&gt;No",EXT_DONE,"No")&amp;" mandatory action(s) open",IF(SUMPRODUCT(--(COUNTIFS(EXT_SUP,B111,EXT_ITEM,L_ExitItems)=0))&gt;0,"Not ready - "&amp;SUMPRODUCT(--(COUNTIFS(EXT_SUP,B111,EXT_ITEM,L_ExitItems)=0))&amp;" checklist item(s) not yet recorded","Ready for closure review (not a formal approval)")))</f>
        <v/>
      </c>
      <c r="V111" s="54" t="str">
        <f aca="false">IF(A111="","",IF(COUNTIF(EXT_ID,A111)&gt;1,"CHECK: duplicate ID",IF(B111="","CHECK: Supplier ID missing",IF(COUNTIF(INV_ID,B111)=0,"CHECK: Supplier ID not in inventory",IF(AND(H111&lt;&gt;"",COUNTIF(INV_ID,H111)=0),"CHECK: Replacement supplier ID not in inventory",IF(AND(Q111="Closed - approved",OR(LEFT(U111,9)="Not ready",R111="")),"CHECK: closed without readiness or approval reference",IF(AND(Q111="Ready for closure review",LEFT(U111,9)="Not ready"),"CHECK: marked ready but mandatory items open","OK")))))))</f>
        <v/>
      </c>
    </row>
    <row r="112" customFormat="false" ht="15" hidden="false" customHeight="false" outlineLevel="0" collapsed="false">
      <c r="A112" s="50"/>
      <c r="B112" s="50"/>
      <c r="C112" s="59" t="str">
        <f aca="false">IF(B112="","",IFERROR(INDEX(INV_NAME,MATCH(B112,INV_ID,0)),"CHECK: Supplier ID not found"))</f>
        <v/>
      </c>
      <c r="D112" s="34"/>
      <c r="E112" s="34"/>
      <c r="F112" s="51"/>
      <c r="G112" s="34"/>
      <c r="H112" s="50"/>
      <c r="I112" s="34"/>
      <c r="J112" s="50"/>
      <c r="K112" s="34"/>
      <c r="L112" s="50"/>
      <c r="M112" s="51"/>
      <c r="N112" s="34"/>
      <c r="O112" s="34"/>
      <c r="P112" s="50"/>
      <c r="Q112" s="34"/>
      <c r="R112" s="60"/>
      <c r="S112" s="52" t="str">
        <f aca="false">IF(A112="","",IF(AND(OR(N112="Complete",N112="Not applicable - justified"),O112&lt;&gt;""),"Yes","No"))</f>
        <v/>
      </c>
      <c r="T112" s="52" t="str">
        <f aca="false">IF(A112="","",IF(AND(S112="No",ISNUMBER(M112),M112&lt;AsOf),"Overdue",""))</f>
        <v/>
      </c>
      <c r="U112" s="54" t="str">
        <f aca="false">IF(A112="","",IF(COUNTIFS(EXT_SUP,B112,EXT_MAND,"&lt;&gt;No",EXT_DONE,"No")&gt;0,"Not ready - "&amp;COUNTIFS(EXT_SUP,B112,EXT_MAND,"&lt;&gt;No",EXT_DONE,"No")&amp;" mandatory action(s) open",IF(SUMPRODUCT(--(COUNTIFS(EXT_SUP,B112,EXT_ITEM,L_ExitItems)=0))&gt;0,"Not ready - "&amp;SUMPRODUCT(--(COUNTIFS(EXT_SUP,B112,EXT_ITEM,L_ExitItems)=0))&amp;" checklist item(s) not yet recorded","Ready for closure review (not a formal approval)")))</f>
        <v/>
      </c>
      <c r="V112" s="54" t="str">
        <f aca="false">IF(A112="","",IF(COUNTIF(EXT_ID,A112)&gt;1,"CHECK: duplicate ID",IF(B112="","CHECK: Supplier ID missing",IF(COUNTIF(INV_ID,B112)=0,"CHECK: Supplier ID not in inventory",IF(AND(H112&lt;&gt;"",COUNTIF(INV_ID,H112)=0),"CHECK: Replacement supplier ID not in inventory",IF(AND(Q112="Closed - approved",OR(LEFT(U112,9)="Not ready",R112="")),"CHECK: closed without readiness or approval reference",IF(AND(Q112="Ready for closure review",LEFT(U112,9)="Not ready"),"CHECK: marked ready but mandatory items open","OK")))))))</f>
        <v/>
      </c>
    </row>
    <row r="113" customFormat="false" ht="15" hidden="false" customHeight="false" outlineLevel="0" collapsed="false">
      <c r="A113" s="50"/>
      <c r="B113" s="50"/>
      <c r="C113" s="59" t="str">
        <f aca="false">IF(B113="","",IFERROR(INDEX(INV_NAME,MATCH(B113,INV_ID,0)),"CHECK: Supplier ID not found"))</f>
        <v/>
      </c>
      <c r="D113" s="34"/>
      <c r="E113" s="34"/>
      <c r="F113" s="51"/>
      <c r="G113" s="34"/>
      <c r="H113" s="50"/>
      <c r="I113" s="34"/>
      <c r="J113" s="50"/>
      <c r="K113" s="34"/>
      <c r="L113" s="50"/>
      <c r="M113" s="51"/>
      <c r="N113" s="34"/>
      <c r="O113" s="34"/>
      <c r="P113" s="50"/>
      <c r="Q113" s="34"/>
      <c r="R113" s="60"/>
      <c r="S113" s="52" t="str">
        <f aca="false">IF(A113="","",IF(AND(OR(N113="Complete",N113="Not applicable - justified"),O113&lt;&gt;""),"Yes","No"))</f>
        <v/>
      </c>
      <c r="T113" s="52" t="str">
        <f aca="false">IF(A113="","",IF(AND(S113="No",ISNUMBER(M113),M113&lt;AsOf),"Overdue",""))</f>
        <v/>
      </c>
      <c r="U113" s="54" t="str">
        <f aca="false">IF(A113="","",IF(COUNTIFS(EXT_SUP,B113,EXT_MAND,"&lt;&gt;No",EXT_DONE,"No")&gt;0,"Not ready - "&amp;COUNTIFS(EXT_SUP,B113,EXT_MAND,"&lt;&gt;No",EXT_DONE,"No")&amp;" mandatory action(s) open",IF(SUMPRODUCT(--(COUNTIFS(EXT_SUP,B113,EXT_ITEM,L_ExitItems)=0))&gt;0,"Not ready - "&amp;SUMPRODUCT(--(COUNTIFS(EXT_SUP,B113,EXT_ITEM,L_ExitItems)=0))&amp;" checklist item(s) not yet recorded","Ready for closure review (not a formal approval)")))</f>
        <v/>
      </c>
      <c r="V113" s="54" t="str">
        <f aca="false">IF(A113="","",IF(COUNTIF(EXT_ID,A113)&gt;1,"CHECK: duplicate ID",IF(B113="","CHECK: Supplier ID missing",IF(COUNTIF(INV_ID,B113)=0,"CHECK: Supplier ID not in inventory",IF(AND(H113&lt;&gt;"",COUNTIF(INV_ID,H113)=0),"CHECK: Replacement supplier ID not in inventory",IF(AND(Q113="Closed - approved",OR(LEFT(U113,9)="Not ready",R113="")),"CHECK: closed without readiness or approval reference",IF(AND(Q113="Ready for closure review",LEFT(U113,9)="Not ready"),"CHECK: marked ready but mandatory items open","OK")))))))</f>
        <v/>
      </c>
    </row>
    <row r="114" customFormat="false" ht="15" hidden="false" customHeight="false" outlineLevel="0" collapsed="false">
      <c r="A114" s="50"/>
      <c r="B114" s="50"/>
      <c r="C114" s="59" t="str">
        <f aca="false">IF(B114="","",IFERROR(INDEX(INV_NAME,MATCH(B114,INV_ID,0)),"CHECK: Supplier ID not found"))</f>
        <v/>
      </c>
      <c r="D114" s="34"/>
      <c r="E114" s="34"/>
      <c r="F114" s="51"/>
      <c r="G114" s="34"/>
      <c r="H114" s="50"/>
      <c r="I114" s="34"/>
      <c r="J114" s="50"/>
      <c r="K114" s="34"/>
      <c r="L114" s="50"/>
      <c r="M114" s="51"/>
      <c r="N114" s="34"/>
      <c r="O114" s="34"/>
      <c r="P114" s="50"/>
      <c r="Q114" s="34"/>
      <c r="R114" s="60"/>
      <c r="S114" s="52" t="str">
        <f aca="false">IF(A114="","",IF(AND(OR(N114="Complete",N114="Not applicable - justified"),O114&lt;&gt;""),"Yes","No"))</f>
        <v/>
      </c>
      <c r="T114" s="52" t="str">
        <f aca="false">IF(A114="","",IF(AND(S114="No",ISNUMBER(M114),M114&lt;AsOf),"Overdue",""))</f>
        <v/>
      </c>
      <c r="U114" s="54" t="str">
        <f aca="false">IF(A114="","",IF(COUNTIFS(EXT_SUP,B114,EXT_MAND,"&lt;&gt;No",EXT_DONE,"No")&gt;0,"Not ready - "&amp;COUNTIFS(EXT_SUP,B114,EXT_MAND,"&lt;&gt;No",EXT_DONE,"No")&amp;" mandatory action(s) open",IF(SUMPRODUCT(--(COUNTIFS(EXT_SUP,B114,EXT_ITEM,L_ExitItems)=0))&gt;0,"Not ready - "&amp;SUMPRODUCT(--(COUNTIFS(EXT_SUP,B114,EXT_ITEM,L_ExitItems)=0))&amp;" checklist item(s) not yet recorded","Ready for closure review (not a formal approval)")))</f>
        <v/>
      </c>
      <c r="V114" s="54" t="str">
        <f aca="false">IF(A114="","",IF(COUNTIF(EXT_ID,A114)&gt;1,"CHECK: duplicate ID",IF(B114="","CHECK: Supplier ID missing",IF(COUNTIF(INV_ID,B114)=0,"CHECK: Supplier ID not in inventory",IF(AND(H114&lt;&gt;"",COUNTIF(INV_ID,H114)=0),"CHECK: Replacement supplier ID not in inventory",IF(AND(Q114="Closed - approved",OR(LEFT(U114,9)="Not ready",R114="")),"CHECK: closed without readiness or approval reference",IF(AND(Q114="Ready for closure review",LEFT(U114,9)="Not ready"),"CHECK: marked ready but mandatory items open","OK")))))))</f>
        <v/>
      </c>
    </row>
    <row r="115" customFormat="false" ht="15" hidden="false" customHeight="false" outlineLevel="0" collapsed="false">
      <c r="A115" s="50"/>
      <c r="B115" s="50"/>
      <c r="C115" s="59" t="str">
        <f aca="false">IF(B115="","",IFERROR(INDEX(INV_NAME,MATCH(B115,INV_ID,0)),"CHECK: Supplier ID not found"))</f>
        <v/>
      </c>
      <c r="D115" s="34"/>
      <c r="E115" s="34"/>
      <c r="F115" s="51"/>
      <c r="G115" s="34"/>
      <c r="H115" s="50"/>
      <c r="I115" s="34"/>
      <c r="J115" s="50"/>
      <c r="K115" s="34"/>
      <c r="L115" s="50"/>
      <c r="M115" s="51"/>
      <c r="N115" s="34"/>
      <c r="O115" s="34"/>
      <c r="P115" s="50"/>
      <c r="Q115" s="34"/>
      <c r="R115" s="60"/>
      <c r="S115" s="52" t="str">
        <f aca="false">IF(A115="","",IF(AND(OR(N115="Complete",N115="Not applicable - justified"),O115&lt;&gt;""),"Yes","No"))</f>
        <v/>
      </c>
      <c r="T115" s="52" t="str">
        <f aca="false">IF(A115="","",IF(AND(S115="No",ISNUMBER(M115),M115&lt;AsOf),"Overdue",""))</f>
        <v/>
      </c>
      <c r="U115" s="54" t="str">
        <f aca="false">IF(A115="","",IF(COUNTIFS(EXT_SUP,B115,EXT_MAND,"&lt;&gt;No",EXT_DONE,"No")&gt;0,"Not ready - "&amp;COUNTIFS(EXT_SUP,B115,EXT_MAND,"&lt;&gt;No",EXT_DONE,"No")&amp;" mandatory action(s) open",IF(SUMPRODUCT(--(COUNTIFS(EXT_SUP,B115,EXT_ITEM,L_ExitItems)=0))&gt;0,"Not ready - "&amp;SUMPRODUCT(--(COUNTIFS(EXT_SUP,B115,EXT_ITEM,L_ExitItems)=0))&amp;" checklist item(s) not yet recorded","Ready for closure review (not a formal approval)")))</f>
        <v/>
      </c>
      <c r="V115" s="54" t="str">
        <f aca="false">IF(A115="","",IF(COUNTIF(EXT_ID,A115)&gt;1,"CHECK: duplicate ID",IF(B115="","CHECK: Supplier ID missing",IF(COUNTIF(INV_ID,B115)=0,"CHECK: Supplier ID not in inventory",IF(AND(H115&lt;&gt;"",COUNTIF(INV_ID,H115)=0),"CHECK: Replacement supplier ID not in inventory",IF(AND(Q115="Closed - approved",OR(LEFT(U115,9)="Not ready",R115="")),"CHECK: closed without readiness or approval reference",IF(AND(Q115="Ready for closure review",LEFT(U115,9)="Not ready"),"CHECK: marked ready but mandatory items open","OK")))))))</f>
        <v/>
      </c>
    </row>
    <row r="116" customFormat="false" ht="15" hidden="false" customHeight="false" outlineLevel="0" collapsed="false">
      <c r="A116" s="50"/>
      <c r="B116" s="50"/>
      <c r="C116" s="59" t="str">
        <f aca="false">IF(B116="","",IFERROR(INDEX(INV_NAME,MATCH(B116,INV_ID,0)),"CHECK: Supplier ID not found"))</f>
        <v/>
      </c>
      <c r="D116" s="34"/>
      <c r="E116" s="34"/>
      <c r="F116" s="51"/>
      <c r="G116" s="34"/>
      <c r="H116" s="50"/>
      <c r="I116" s="34"/>
      <c r="J116" s="50"/>
      <c r="K116" s="34"/>
      <c r="L116" s="50"/>
      <c r="M116" s="51"/>
      <c r="N116" s="34"/>
      <c r="O116" s="34"/>
      <c r="P116" s="50"/>
      <c r="Q116" s="34"/>
      <c r="R116" s="60"/>
      <c r="S116" s="52" t="str">
        <f aca="false">IF(A116="","",IF(AND(OR(N116="Complete",N116="Not applicable - justified"),O116&lt;&gt;""),"Yes","No"))</f>
        <v/>
      </c>
      <c r="T116" s="52" t="str">
        <f aca="false">IF(A116="","",IF(AND(S116="No",ISNUMBER(M116),M116&lt;AsOf),"Overdue",""))</f>
        <v/>
      </c>
      <c r="U116" s="54" t="str">
        <f aca="false">IF(A116="","",IF(COUNTIFS(EXT_SUP,B116,EXT_MAND,"&lt;&gt;No",EXT_DONE,"No")&gt;0,"Not ready - "&amp;COUNTIFS(EXT_SUP,B116,EXT_MAND,"&lt;&gt;No",EXT_DONE,"No")&amp;" mandatory action(s) open",IF(SUMPRODUCT(--(COUNTIFS(EXT_SUP,B116,EXT_ITEM,L_ExitItems)=0))&gt;0,"Not ready - "&amp;SUMPRODUCT(--(COUNTIFS(EXT_SUP,B116,EXT_ITEM,L_ExitItems)=0))&amp;" checklist item(s) not yet recorded","Ready for closure review (not a formal approval)")))</f>
        <v/>
      </c>
      <c r="V116" s="54" t="str">
        <f aca="false">IF(A116="","",IF(COUNTIF(EXT_ID,A116)&gt;1,"CHECK: duplicate ID",IF(B116="","CHECK: Supplier ID missing",IF(COUNTIF(INV_ID,B116)=0,"CHECK: Supplier ID not in inventory",IF(AND(H116&lt;&gt;"",COUNTIF(INV_ID,H116)=0),"CHECK: Replacement supplier ID not in inventory",IF(AND(Q116="Closed - approved",OR(LEFT(U116,9)="Not ready",R116="")),"CHECK: closed without readiness or approval reference",IF(AND(Q116="Ready for closure review",LEFT(U116,9)="Not ready"),"CHECK: marked ready but mandatory items open","OK")))))))</f>
        <v/>
      </c>
    </row>
    <row r="117" customFormat="false" ht="15" hidden="false" customHeight="false" outlineLevel="0" collapsed="false">
      <c r="A117" s="50"/>
      <c r="B117" s="50"/>
      <c r="C117" s="59" t="str">
        <f aca="false">IF(B117="","",IFERROR(INDEX(INV_NAME,MATCH(B117,INV_ID,0)),"CHECK: Supplier ID not found"))</f>
        <v/>
      </c>
      <c r="D117" s="34"/>
      <c r="E117" s="34"/>
      <c r="F117" s="51"/>
      <c r="G117" s="34"/>
      <c r="H117" s="50"/>
      <c r="I117" s="34"/>
      <c r="J117" s="50"/>
      <c r="K117" s="34"/>
      <c r="L117" s="50"/>
      <c r="M117" s="51"/>
      <c r="N117" s="34"/>
      <c r="O117" s="34"/>
      <c r="P117" s="50"/>
      <c r="Q117" s="34"/>
      <c r="R117" s="60"/>
      <c r="S117" s="52" t="str">
        <f aca="false">IF(A117="","",IF(AND(OR(N117="Complete",N117="Not applicable - justified"),O117&lt;&gt;""),"Yes","No"))</f>
        <v/>
      </c>
      <c r="T117" s="52" t="str">
        <f aca="false">IF(A117="","",IF(AND(S117="No",ISNUMBER(M117),M117&lt;AsOf),"Overdue",""))</f>
        <v/>
      </c>
      <c r="U117" s="54" t="str">
        <f aca="false">IF(A117="","",IF(COUNTIFS(EXT_SUP,B117,EXT_MAND,"&lt;&gt;No",EXT_DONE,"No")&gt;0,"Not ready - "&amp;COUNTIFS(EXT_SUP,B117,EXT_MAND,"&lt;&gt;No",EXT_DONE,"No")&amp;" mandatory action(s) open",IF(SUMPRODUCT(--(COUNTIFS(EXT_SUP,B117,EXT_ITEM,L_ExitItems)=0))&gt;0,"Not ready - "&amp;SUMPRODUCT(--(COUNTIFS(EXT_SUP,B117,EXT_ITEM,L_ExitItems)=0))&amp;" checklist item(s) not yet recorded","Ready for closure review (not a formal approval)")))</f>
        <v/>
      </c>
      <c r="V117" s="54" t="str">
        <f aca="false">IF(A117="","",IF(COUNTIF(EXT_ID,A117)&gt;1,"CHECK: duplicate ID",IF(B117="","CHECK: Supplier ID missing",IF(COUNTIF(INV_ID,B117)=0,"CHECK: Supplier ID not in inventory",IF(AND(H117&lt;&gt;"",COUNTIF(INV_ID,H117)=0),"CHECK: Replacement supplier ID not in inventory",IF(AND(Q117="Closed - approved",OR(LEFT(U117,9)="Not ready",R117="")),"CHECK: closed without readiness or approval reference",IF(AND(Q117="Ready for closure review",LEFT(U117,9)="Not ready"),"CHECK: marked ready but mandatory items open","OK")))))))</f>
        <v/>
      </c>
    </row>
    <row r="118" customFormat="false" ht="15" hidden="false" customHeight="false" outlineLevel="0" collapsed="false">
      <c r="A118" s="50"/>
      <c r="B118" s="50"/>
      <c r="C118" s="59" t="str">
        <f aca="false">IF(B118="","",IFERROR(INDEX(INV_NAME,MATCH(B118,INV_ID,0)),"CHECK: Supplier ID not found"))</f>
        <v/>
      </c>
      <c r="D118" s="34"/>
      <c r="E118" s="34"/>
      <c r="F118" s="51"/>
      <c r="G118" s="34"/>
      <c r="H118" s="50"/>
      <c r="I118" s="34"/>
      <c r="J118" s="50"/>
      <c r="K118" s="34"/>
      <c r="L118" s="50"/>
      <c r="M118" s="51"/>
      <c r="N118" s="34"/>
      <c r="O118" s="34"/>
      <c r="P118" s="50"/>
      <c r="Q118" s="34"/>
      <c r="R118" s="60"/>
      <c r="S118" s="52" t="str">
        <f aca="false">IF(A118="","",IF(AND(OR(N118="Complete",N118="Not applicable - justified"),O118&lt;&gt;""),"Yes","No"))</f>
        <v/>
      </c>
      <c r="T118" s="52" t="str">
        <f aca="false">IF(A118="","",IF(AND(S118="No",ISNUMBER(M118),M118&lt;AsOf),"Overdue",""))</f>
        <v/>
      </c>
      <c r="U118" s="54" t="str">
        <f aca="false">IF(A118="","",IF(COUNTIFS(EXT_SUP,B118,EXT_MAND,"&lt;&gt;No",EXT_DONE,"No")&gt;0,"Not ready - "&amp;COUNTIFS(EXT_SUP,B118,EXT_MAND,"&lt;&gt;No",EXT_DONE,"No")&amp;" mandatory action(s) open",IF(SUMPRODUCT(--(COUNTIFS(EXT_SUP,B118,EXT_ITEM,L_ExitItems)=0))&gt;0,"Not ready - "&amp;SUMPRODUCT(--(COUNTIFS(EXT_SUP,B118,EXT_ITEM,L_ExitItems)=0))&amp;" checklist item(s) not yet recorded","Ready for closure review (not a formal approval)")))</f>
        <v/>
      </c>
      <c r="V118" s="54" t="str">
        <f aca="false">IF(A118="","",IF(COUNTIF(EXT_ID,A118)&gt;1,"CHECK: duplicate ID",IF(B118="","CHECK: Supplier ID missing",IF(COUNTIF(INV_ID,B118)=0,"CHECK: Supplier ID not in inventory",IF(AND(H118&lt;&gt;"",COUNTIF(INV_ID,H118)=0),"CHECK: Replacement supplier ID not in inventory",IF(AND(Q118="Closed - approved",OR(LEFT(U118,9)="Not ready",R118="")),"CHECK: closed without readiness or approval reference",IF(AND(Q118="Ready for closure review",LEFT(U118,9)="Not ready"),"CHECK: marked ready but mandatory items open","OK")))))))</f>
        <v/>
      </c>
    </row>
    <row r="119" customFormat="false" ht="15" hidden="false" customHeight="false" outlineLevel="0" collapsed="false">
      <c r="A119" s="50"/>
      <c r="B119" s="50"/>
      <c r="C119" s="59" t="str">
        <f aca="false">IF(B119="","",IFERROR(INDEX(INV_NAME,MATCH(B119,INV_ID,0)),"CHECK: Supplier ID not found"))</f>
        <v/>
      </c>
      <c r="D119" s="34"/>
      <c r="E119" s="34"/>
      <c r="F119" s="51"/>
      <c r="G119" s="34"/>
      <c r="H119" s="50"/>
      <c r="I119" s="34"/>
      <c r="J119" s="50"/>
      <c r="K119" s="34"/>
      <c r="L119" s="50"/>
      <c r="M119" s="51"/>
      <c r="N119" s="34"/>
      <c r="O119" s="34"/>
      <c r="P119" s="50"/>
      <c r="Q119" s="34"/>
      <c r="R119" s="60"/>
      <c r="S119" s="52" t="str">
        <f aca="false">IF(A119="","",IF(AND(OR(N119="Complete",N119="Not applicable - justified"),O119&lt;&gt;""),"Yes","No"))</f>
        <v/>
      </c>
      <c r="T119" s="52" t="str">
        <f aca="false">IF(A119="","",IF(AND(S119="No",ISNUMBER(M119),M119&lt;AsOf),"Overdue",""))</f>
        <v/>
      </c>
      <c r="U119" s="54" t="str">
        <f aca="false">IF(A119="","",IF(COUNTIFS(EXT_SUP,B119,EXT_MAND,"&lt;&gt;No",EXT_DONE,"No")&gt;0,"Not ready - "&amp;COUNTIFS(EXT_SUP,B119,EXT_MAND,"&lt;&gt;No",EXT_DONE,"No")&amp;" mandatory action(s) open",IF(SUMPRODUCT(--(COUNTIFS(EXT_SUP,B119,EXT_ITEM,L_ExitItems)=0))&gt;0,"Not ready - "&amp;SUMPRODUCT(--(COUNTIFS(EXT_SUP,B119,EXT_ITEM,L_ExitItems)=0))&amp;" checklist item(s) not yet recorded","Ready for closure review (not a formal approval)")))</f>
        <v/>
      </c>
      <c r="V119" s="54" t="str">
        <f aca="false">IF(A119="","",IF(COUNTIF(EXT_ID,A119)&gt;1,"CHECK: duplicate ID",IF(B119="","CHECK: Supplier ID missing",IF(COUNTIF(INV_ID,B119)=0,"CHECK: Supplier ID not in inventory",IF(AND(H119&lt;&gt;"",COUNTIF(INV_ID,H119)=0),"CHECK: Replacement supplier ID not in inventory",IF(AND(Q119="Closed - approved",OR(LEFT(U119,9)="Not ready",R119="")),"CHECK: closed without readiness or approval reference",IF(AND(Q119="Ready for closure review",LEFT(U119,9)="Not ready"),"CHECK: marked ready but mandatory items open","OK")))))))</f>
        <v/>
      </c>
    </row>
    <row r="120" customFormat="false" ht="15" hidden="false" customHeight="false" outlineLevel="0" collapsed="false">
      <c r="A120" s="50"/>
      <c r="B120" s="50"/>
      <c r="C120" s="59" t="str">
        <f aca="false">IF(B120="","",IFERROR(INDEX(INV_NAME,MATCH(B120,INV_ID,0)),"CHECK: Supplier ID not found"))</f>
        <v/>
      </c>
      <c r="D120" s="34"/>
      <c r="E120" s="34"/>
      <c r="F120" s="51"/>
      <c r="G120" s="34"/>
      <c r="H120" s="50"/>
      <c r="I120" s="34"/>
      <c r="J120" s="50"/>
      <c r="K120" s="34"/>
      <c r="L120" s="50"/>
      <c r="M120" s="51"/>
      <c r="N120" s="34"/>
      <c r="O120" s="34"/>
      <c r="P120" s="50"/>
      <c r="Q120" s="34"/>
      <c r="R120" s="60"/>
      <c r="S120" s="52" t="str">
        <f aca="false">IF(A120="","",IF(AND(OR(N120="Complete",N120="Not applicable - justified"),O120&lt;&gt;""),"Yes","No"))</f>
        <v/>
      </c>
      <c r="T120" s="52" t="str">
        <f aca="false">IF(A120="","",IF(AND(S120="No",ISNUMBER(M120),M120&lt;AsOf),"Overdue",""))</f>
        <v/>
      </c>
      <c r="U120" s="54" t="str">
        <f aca="false">IF(A120="","",IF(COUNTIFS(EXT_SUP,B120,EXT_MAND,"&lt;&gt;No",EXT_DONE,"No")&gt;0,"Not ready - "&amp;COUNTIFS(EXT_SUP,B120,EXT_MAND,"&lt;&gt;No",EXT_DONE,"No")&amp;" mandatory action(s) open",IF(SUMPRODUCT(--(COUNTIFS(EXT_SUP,B120,EXT_ITEM,L_ExitItems)=0))&gt;0,"Not ready - "&amp;SUMPRODUCT(--(COUNTIFS(EXT_SUP,B120,EXT_ITEM,L_ExitItems)=0))&amp;" checklist item(s) not yet recorded","Ready for closure review (not a formal approval)")))</f>
        <v/>
      </c>
      <c r="V120" s="54" t="str">
        <f aca="false">IF(A120="","",IF(COUNTIF(EXT_ID,A120)&gt;1,"CHECK: duplicate ID",IF(B120="","CHECK: Supplier ID missing",IF(COUNTIF(INV_ID,B120)=0,"CHECK: Supplier ID not in inventory",IF(AND(H120&lt;&gt;"",COUNTIF(INV_ID,H120)=0),"CHECK: Replacement supplier ID not in inventory",IF(AND(Q120="Closed - approved",OR(LEFT(U120,9)="Not ready",R120="")),"CHECK: closed without readiness or approval reference",IF(AND(Q120="Ready for closure review",LEFT(U120,9)="Not ready"),"CHECK: marked ready but mandatory items open","OK")))))))</f>
        <v/>
      </c>
    </row>
    <row r="121" customFormat="false" ht="15" hidden="false" customHeight="false" outlineLevel="0" collapsed="false">
      <c r="A121" s="50"/>
      <c r="B121" s="50"/>
      <c r="C121" s="59" t="str">
        <f aca="false">IF(B121="","",IFERROR(INDEX(INV_NAME,MATCH(B121,INV_ID,0)),"CHECK: Supplier ID not found"))</f>
        <v/>
      </c>
      <c r="D121" s="34"/>
      <c r="E121" s="34"/>
      <c r="F121" s="51"/>
      <c r="G121" s="34"/>
      <c r="H121" s="50"/>
      <c r="I121" s="34"/>
      <c r="J121" s="50"/>
      <c r="K121" s="34"/>
      <c r="L121" s="50"/>
      <c r="M121" s="51"/>
      <c r="N121" s="34"/>
      <c r="O121" s="34"/>
      <c r="P121" s="50"/>
      <c r="Q121" s="34"/>
      <c r="R121" s="60"/>
      <c r="S121" s="52" t="str">
        <f aca="false">IF(A121="","",IF(AND(OR(N121="Complete",N121="Not applicable - justified"),O121&lt;&gt;""),"Yes","No"))</f>
        <v/>
      </c>
      <c r="T121" s="52" t="str">
        <f aca="false">IF(A121="","",IF(AND(S121="No",ISNUMBER(M121),M121&lt;AsOf),"Overdue",""))</f>
        <v/>
      </c>
      <c r="U121" s="54" t="str">
        <f aca="false">IF(A121="","",IF(COUNTIFS(EXT_SUP,B121,EXT_MAND,"&lt;&gt;No",EXT_DONE,"No")&gt;0,"Not ready - "&amp;COUNTIFS(EXT_SUP,B121,EXT_MAND,"&lt;&gt;No",EXT_DONE,"No")&amp;" mandatory action(s) open",IF(SUMPRODUCT(--(COUNTIFS(EXT_SUP,B121,EXT_ITEM,L_ExitItems)=0))&gt;0,"Not ready - "&amp;SUMPRODUCT(--(COUNTIFS(EXT_SUP,B121,EXT_ITEM,L_ExitItems)=0))&amp;" checklist item(s) not yet recorded","Ready for closure review (not a formal approval)")))</f>
        <v/>
      </c>
      <c r="V121" s="54" t="str">
        <f aca="false">IF(A121="","",IF(COUNTIF(EXT_ID,A121)&gt;1,"CHECK: duplicate ID",IF(B121="","CHECK: Supplier ID missing",IF(COUNTIF(INV_ID,B121)=0,"CHECK: Supplier ID not in inventory",IF(AND(H121&lt;&gt;"",COUNTIF(INV_ID,H121)=0),"CHECK: Replacement supplier ID not in inventory",IF(AND(Q121="Closed - approved",OR(LEFT(U121,9)="Not ready",R121="")),"CHECK: closed without readiness or approval reference",IF(AND(Q121="Ready for closure review",LEFT(U121,9)="Not ready"),"CHECK: marked ready but mandatory items open","OK")))))))</f>
        <v/>
      </c>
    </row>
    <row r="122" customFormat="false" ht="15" hidden="false" customHeight="false" outlineLevel="0" collapsed="false">
      <c r="A122" s="50"/>
      <c r="B122" s="50"/>
      <c r="C122" s="59" t="str">
        <f aca="false">IF(B122="","",IFERROR(INDEX(INV_NAME,MATCH(B122,INV_ID,0)),"CHECK: Supplier ID not found"))</f>
        <v/>
      </c>
      <c r="D122" s="34"/>
      <c r="E122" s="34"/>
      <c r="F122" s="51"/>
      <c r="G122" s="34"/>
      <c r="H122" s="50"/>
      <c r="I122" s="34"/>
      <c r="J122" s="50"/>
      <c r="K122" s="34"/>
      <c r="L122" s="50"/>
      <c r="M122" s="51"/>
      <c r="N122" s="34"/>
      <c r="O122" s="34"/>
      <c r="P122" s="50"/>
      <c r="Q122" s="34"/>
      <c r="R122" s="60"/>
      <c r="S122" s="52" t="str">
        <f aca="false">IF(A122="","",IF(AND(OR(N122="Complete",N122="Not applicable - justified"),O122&lt;&gt;""),"Yes","No"))</f>
        <v/>
      </c>
      <c r="T122" s="52" t="str">
        <f aca="false">IF(A122="","",IF(AND(S122="No",ISNUMBER(M122),M122&lt;AsOf),"Overdue",""))</f>
        <v/>
      </c>
      <c r="U122" s="54" t="str">
        <f aca="false">IF(A122="","",IF(COUNTIFS(EXT_SUP,B122,EXT_MAND,"&lt;&gt;No",EXT_DONE,"No")&gt;0,"Not ready - "&amp;COUNTIFS(EXT_SUP,B122,EXT_MAND,"&lt;&gt;No",EXT_DONE,"No")&amp;" mandatory action(s) open",IF(SUMPRODUCT(--(COUNTIFS(EXT_SUP,B122,EXT_ITEM,L_ExitItems)=0))&gt;0,"Not ready - "&amp;SUMPRODUCT(--(COUNTIFS(EXT_SUP,B122,EXT_ITEM,L_ExitItems)=0))&amp;" checklist item(s) not yet recorded","Ready for closure review (not a formal approval)")))</f>
        <v/>
      </c>
      <c r="V122" s="54" t="str">
        <f aca="false">IF(A122="","",IF(COUNTIF(EXT_ID,A122)&gt;1,"CHECK: duplicate ID",IF(B122="","CHECK: Supplier ID missing",IF(COUNTIF(INV_ID,B122)=0,"CHECK: Supplier ID not in inventory",IF(AND(H122&lt;&gt;"",COUNTIF(INV_ID,H122)=0),"CHECK: Replacement supplier ID not in inventory",IF(AND(Q122="Closed - approved",OR(LEFT(U122,9)="Not ready",R122="")),"CHECK: closed without readiness or approval reference",IF(AND(Q122="Ready for closure review",LEFT(U122,9)="Not ready"),"CHECK: marked ready but mandatory items open","OK")))))))</f>
        <v/>
      </c>
    </row>
    <row r="123" customFormat="false" ht="15" hidden="false" customHeight="false" outlineLevel="0" collapsed="false">
      <c r="A123" s="50"/>
      <c r="B123" s="50"/>
      <c r="C123" s="59" t="str">
        <f aca="false">IF(B123="","",IFERROR(INDEX(INV_NAME,MATCH(B123,INV_ID,0)),"CHECK: Supplier ID not found"))</f>
        <v/>
      </c>
      <c r="D123" s="34"/>
      <c r="E123" s="34"/>
      <c r="F123" s="51"/>
      <c r="G123" s="34"/>
      <c r="H123" s="50"/>
      <c r="I123" s="34"/>
      <c r="J123" s="50"/>
      <c r="K123" s="34"/>
      <c r="L123" s="50"/>
      <c r="M123" s="51"/>
      <c r="N123" s="34"/>
      <c r="O123" s="34"/>
      <c r="P123" s="50"/>
      <c r="Q123" s="34"/>
      <c r="R123" s="60"/>
      <c r="S123" s="52" t="str">
        <f aca="false">IF(A123="","",IF(AND(OR(N123="Complete",N123="Not applicable - justified"),O123&lt;&gt;""),"Yes","No"))</f>
        <v/>
      </c>
      <c r="T123" s="52" t="str">
        <f aca="false">IF(A123="","",IF(AND(S123="No",ISNUMBER(M123),M123&lt;AsOf),"Overdue",""))</f>
        <v/>
      </c>
      <c r="U123" s="54" t="str">
        <f aca="false">IF(A123="","",IF(COUNTIFS(EXT_SUP,B123,EXT_MAND,"&lt;&gt;No",EXT_DONE,"No")&gt;0,"Not ready - "&amp;COUNTIFS(EXT_SUP,B123,EXT_MAND,"&lt;&gt;No",EXT_DONE,"No")&amp;" mandatory action(s) open",IF(SUMPRODUCT(--(COUNTIFS(EXT_SUP,B123,EXT_ITEM,L_ExitItems)=0))&gt;0,"Not ready - "&amp;SUMPRODUCT(--(COUNTIFS(EXT_SUP,B123,EXT_ITEM,L_ExitItems)=0))&amp;" checklist item(s) not yet recorded","Ready for closure review (not a formal approval)")))</f>
        <v/>
      </c>
      <c r="V123" s="54" t="str">
        <f aca="false">IF(A123="","",IF(COUNTIF(EXT_ID,A123)&gt;1,"CHECK: duplicate ID",IF(B123="","CHECK: Supplier ID missing",IF(COUNTIF(INV_ID,B123)=0,"CHECK: Supplier ID not in inventory",IF(AND(H123&lt;&gt;"",COUNTIF(INV_ID,H123)=0),"CHECK: Replacement supplier ID not in inventory",IF(AND(Q123="Closed - approved",OR(LEFT(U123,9)="Not ready",R123="")),"CHECK: closed without readiness or approval reference",IF(AND(Q123="Ready for closure review",LEFT(U123,9)="Not ready"),"CHECK: marked ready but mandatory items open","OK")))))))</f>
        <v/>
      </c>
    </row>
    <row r="124" customFormat="false" ht="15" hidden="false" customHeight="false" outlineLevel="0" collapsed="false">
      <c r="A124" s="50"/>
      <c r="B124" s="50"/>
      <c r="C124" s="59" t="str">
        <f aca="false">IF(B124="","",IFERROR(INDEX(INV_NAME,MATCH(B124,INV_ID,0)),"CHECK: Supplier ID not found"))</f>
        <v/>
      </c>
      <c r="D124" s="34"/>
      <c r="E124" s="34"/>
      <c r="F124" s="51"/>
      <c r="G124" s="34"/>
      <c r="H124" s="50"/>
      <c r="I124" s="34"/>
      <c r="J124" s="50"/>
      <c r="K124" s="34"/>
      <c r="L124" s="50"/>
      <c r="M124" s="51"/>
      <c r="N124" s="34"/>
      <c r="O124" s="34"/>
      <c r="P124" s="50"/>
      <c r="Q124" s="34"/>
      <c r="R124" s="60"/>
      <c r="S124" s="52" t="str">
        <f aca="false">IF(A124="","",IF(AND(OR(N124="Complete",N124="Not applicable - justified"),O124&lt;&gt;""),"Yes","No"))</f>
        <v/>
      </c>
      <c r="T124" s="52" t="str">
        <f aca="false">IF(A124="","",IF(AND(S124="No",ISNUMBER(M124),M124&lt;AsOf),"Overdue",""))</f>
        <v/>
      </c>
      <c r="U124" s="54" t="str">
        <f aca="false">IF(A124="","",IF(COUNTIFS(EXT_SUP,B124,EXT_MAND,"&lt;&gt;No",EXT_DONE,"No")&gt;0,"Not ready - "&amp;COUNTIFS(EXT_SUP,B124,EXT_MAND,"&lt;&gt;No",EXT_DONE,"No")&amp;" mandatory action(s) open",IF(SUMPRODUCT(--(COUNTIFS(EXT_SUP,B124,EXT_ITEM,L_ExitItems)=0))&gt;0,"Not ready - "&amp;SUMPRODUCT(--(COUNTIFS(EXT_SUP,B124,EXT_ITEM,L_ExitItems)=0))&amp;" checklist item(s) not yet recorded","Ready for closure review (not a formal approval)")))</f>
        <v/>
      </c>
      <c r="V124" s="54" t="str">
        <f aca="false">IF(A124="","",IF(COUNTIF(EXT_ID,A124)&gt;1,"CHECK: duplicate ID",IF(B124="","CHECK: Supplier ID missing",IF(COUNTIF(INV_ID,B124)=0,"CHECK: Supplier ID not in inventory",IF(AND(H124&lt;&gt;"",COUNTIF(INV_ID,H124)=0),"CHECK: Replacement supplier ID not in inventory",IF(AND(Q124="Closed - approved",OR(LEFT(U124,9)="Not ready",R124="")),"CHECK: closed without readiness or approval reference",IF(AND(Q124="Ready for closure review",LEFT(U124,9)="Not ready"),"CHECK: marked ready but mandatory items open","OK")))))))</f>
        <v/>
      </c>
    </row>
    <row r="125" customFormat="false" ht="15" hidden="false" customHeight="false" outlineLevel="0" collapsed="false">
      <c r="A125" s="50"/>
      <c r="B125" s="50"/>
      <c r="C125" s="59" t="str">
        <f aca="false">IF(B125="","",IFERROR(INDEX(INV_NAME,MATCH(B125,INV_ID,0)),"CHECK: Supplier ID not found"))</f>
        <v/>
      </c>
      <c r="D125" s="34"/>
      <c r="E125" s="34"/>
      <c r="F125" s="51"/>
      <c r="G125" s="34"/>
      <c r="H125" s="50"/>
      <c r="I125" s="34"/>
      <c r="J125" s="50"/>
      <c r="K125" s="34"/>
      <c r="L125" s="50"/>
      <c r="M125" s="51"/>
      <c r="N125" s="34"/>
      <c r="O125" s="34"/>
      <c r="P125" s="50"/>
      <c r="Q125" s="34"/>
      <c r="R125" s="60"/>
      <c r="S125" s="52" t="str">
        <f aca="false">IF(A125="","",IF(AND(OR(N125="Complete",N125="Not applicable - justified"),O125&lt;&gt;""),"Yes","No"))</f>
        <v/>
      </c>
      <c r="T125" s="52" t="str">
        <f aca="false">IF(A125="","",IF(AND(S125="No",ISNUMBER(M125),M125&lt;AsOf),"Overdue",""))</f>
        <v/>
      </c>
      <c r="U125" s="54" t="str">
        <f aca="false">IF(A125="","",IF(COUNTIFS(EXT_SUP,B125,EXT_MAND,"&lt;&gt;No",EXT_DONE,"No")&gt;0,"Not ready - "&amp;COUNTIFS(EXT_SUP,B125,EXT_MAND,"&lt;&gt;No",EXT_DONE,"No")&amp;" mandatory action(s) open",IF(SUMPRODUCT(--(COUNTIFS(EXT_SUP,B125,EXT_ITEM,L_ExitItems)=0))&gt;0,"Not ready - "&amp;SUMPRODUCT(--(COUNTIFS(EXT_SUP,B125,EXT_ITEM,L_ExitItems)=0))&amp;" checklist item(s) not yet recorded","Ready for closure review (not a formal approval)")))</f>
        <v/>
      </c>
      <c r="V125" s="54" t="str">
        <f aca="false">IF(A125="","",IF(COUNTIF(EXT_ID,A125)&gt;1,"CHECK: duplicate ID",IF(B125="","CHECK: Supplier ID missing",IF(COUNTIF(INV_ID,B125)=0,"CHECK: Supplier ID not in inventory",IF(AND(H125&lt;&gt;"",COUNTIF(INV_ID,H125)=0),"CHECK: Replacement supplier ID not in inventory",IF(AND(Q125="Closed - approved",OR(LEFT(U125,9)="Not ready",R125="")),"CHECK: closed without readiness or approval reference",IF(AND(Q125="Ready for closure review",LEFT(U125,9)="Not ready"),"CHECK: marked ready but mandatory items open","OK")))))))</f>
        <v/>
      </c>
    </row>
    <row r="126" customFormat="false" ht="15" hidden="false" customHeight="false" outlineLevel="0" collapsed="false">
      <c r="A126" s="50"/>
      <c r="B126" s="50"/>
      <c r="C126" s="59" t="str">
        <f aca="false">IF(B126="","",IFERROR(INDEX(INV_NAME,MATCH(B126,INV_ID,0)),"CHECK: Supplier ID not found"))</f>
        <v/>
      </c>
      <c r="D126" s="34"/>
      <c r="E126" s="34"/>
      <c r="F126" s="51"/>
      <c r="G126" s="34"/>
      <c r="H126" s="50"/>
      <c r="I126" s="34"/>
      <c r="J126" s="50"/>
      <c r="K126" s="34"/>
      <c r="L126" s="50"/>
      <c r="M126" s="51"/>
      <c r="N126" s="34"/>
      <c r="O126" s="34"/>
      <c r="P126" s="50"/>
      <c r="Q126" s="34"/>
      <c r="R126" s="60"/>
      <c r="S126" s="52" t="str">
        <f aca="false">IF(A126="","",IF(AND(OR(N126="Complete",N126="Not applicable - justified"),O126&lt;&gt;""),"Yes","No"))</f>
        <v/>
      </c>
      <c r="T126" s="52" t="str">
        <f aca="false">IF(A126="","",IF(AND(S126="No",ISNUMBER(M126),M126&lt;AsOf),"Overdue",""))</f>
        <v/>
      </c>
      <c r="U126" s="54" t="str">
        <f aca="false">IF(A126="","",IF(COUNTIFS(EXT_SUP,B126,EXT_MAND,"&lt;&gt;No",EXT_DONE,"No")&gt;0,"Not ready - "&amp;COUNTIFS(EXT_SUP,B126,EXT_MAND,"&lt;&gt;No",EXT_DONE,"No")&amp;" mandatory action(s) open",IF(SUMPRODUCT(--(COUNTIFS(EXT_SUP,B126,EXT_ITEM,L_ExitItems)=0))&gt;0,"Not ready - "&amp;SUMPRODUCT(--(COUNTIFS(EXT_SUP,B126,EXT_ITEM,L_ExitItems)=0))&amp;" checklist item(s) not yet recorded","Ready for closure review (not a formal approval)")))</f>
        <v/>
      </c>
      <c r="V126" s="54" t="str">
        <f aca="false">IF(A126="","",IF(COUNTIF(EXT_ID,A126)&gt;1,"CHECK: duplicate ID",IF(B126="","CHECK: Supplier ID missing",IF(COUNTIF(INV_ID,B126)=0,"CHECK: Supplier ID not in inventory",IF(AND(H126&lt;&gt;"",COUNTIF(INV_ID,H126)=0),"CHECK: Replacement supplier ID not in inventory",IF(AND(Q126="Closed - approved",OR(LEFT(U126,9)="Not ready",R126="")),"CHECK: closed without readiness or approval reference",IF(AND(Q126="Ready for closure review",LEFT(U126,9)="Not ready"),"CHECK: marked ready but mandatory items open","OK")))))))</f>
        <v/>
      </c>
    </row>
    <row r="127" customFormat="false" ht="15" hidden="false" customHeight="false" outlineLevel="0" collapsed="false">
      <c r="A127" s="50"/>
      <c r="B127" s="50"/>
      <c r="C127" s="59" t="str">
        <f aca="false">IF(B127="","",IFERROR(INDEX(INV_NAME,MATCH(B127,INV_ID,0)),"CHECK: Supplier ID not found"))</f>
        <v/>
      </c>
      <c r="D127" s="34"/>
      <c r="E127" s="34"/>
      <c r="F127" s="51"/>
      <c r="G127" s="34"/>
      <c r="H127" s="50"/>
      <c r="I127" s="34"/>
      <c r="J127" s="50"/>
      <c r="K127" s="34"/>
      <c r="L127" s="50"/>
      <c r="M127" s="51"/>
      <c r="N127" s="34"/>
      <c r="O127" s="34"/>
      <c r="P127" s="50"/>
      <c r="Q127" s="34"/>
      <c r="R127" s="60"/>
      <c r="S127" s="52" t="str">
        <f aca="false">IF(A127="","",IF(AND(OR(N127="Complete",N127="Not applicable - justified"),O127&lt;&gt;""),"Yes","No"))</f>
        <v/>
      </c>
      <c r="T127" s="52" t="str">
        <f aca="false">IF(A127="","",IF(AND(S127="No",ISNUMBER(M127),M127&lt;AsOf),"Overdue",""))</f>
        <v/>
      </c>
      <c r="U127" s="54" t="str">
        <f aca="false">IF(A127="","",IF(COUNTIFS(EXT_SUP,B127,EXT_MAND,"&lt;&gt;No",EXT_DONE,"No")&gt;0,"Not ready - "&amp;COUNTIFS(EXT_SUP,B127,EXT_MAND,"&lt;&gt;No",EXT_DONE,"No")&amp;" mandatory action(s) open",IF(SUMPRODUCT(--(COUNTIFS(EXT_SUP,B127,EXT_ITEM,L_ExitItems)=0))&gt;0,"Not ready - "&amp;SUMPRODUCT(--(COUNTIFS(EXT_SUP,B127,EXT_ITEM,L_ExitItems)=0))&amp;" checklist item(s) not yet recorded","Ready for closure review (not a formal approval)")))</f>
        <v/>
      </c>
      <c r="V127" s="54" t="str">
        <f aca="false">IF(A127="","",IF(COUNTIF(EXT_ID,A127)&gt;1,"CHECK: duplicate ID",IF(B127="","CHECK: Supplier ID missing",IF(COUNTIF(INV_ID,B127)=0,"CHECK: Supplier ID not in inventory",IF(AND(H127&lt;&gt;"",COUNTIF(INV_ID,H127)=0),"CHECK: Replacement supplier ID not in inventory",IF(AND(Q127="Closed - approved",OR(LEFT(U127,9)="Not ready",R127="")),"CHECK: closed without readiness or approval reference",IF(AND(Q127="Ready for closure review",LEFT(U127,9)="Not ready"),"CHECK: marked ready but mandatory items open","OK")))))))</f>
        <v/>
      </c>
    </row>
    <row r="128" customFormat="false" ht="15" hidden="false" customHeight="false" outlineLevel="0" collapsed="false">
      <c r="A128" s="50"/>
      <c r="B128" s="50"/>
      <c r="C128" s="59" t="str">
        <f aca="false">IF(B128="","",IFERROR(INDEX(INV_NAME,MATCH(B128,INV_ID,0)),"CHECK: Supplier ID not found"))</f>
        <v/>
      </c>
      <c r="D128" s="34"/>
      <c r="E128" s="34"/>
      <c r="F128" s="51"/>
      <c r="G128" s="34"/>
      <c r="H128" s="50"/>
      <c r="I128" s="34"/>
      <c r="J128" s="50"/>
      <c r="K128" s="34"/>
      <c r="L128" s="50"/>
      <c r="M128" s="51"/>
      <c r="N128" s="34"/>
      <c r="O128" s="34"/>
      <c r="P128" s="50"/>
      <c r="Q128" s="34"/>
      <c r="R128" s="60"/>
      <c r="S128" s="52" t="str">
        <f aca="false">IF(A128="","",IF(AND(OR(N128="Complete",N128="Not applicable - justified"),O128&lt;&gt;""),"Yes","No"))</f>
        <v/>
      </c>
      <c r="T128" s="52" t="str">
        <f aca="false">IF(A128="","",IF(AND(S128="No",ISNUMBER(M128),M128&lt;AsOf),"Overdue",""))</f>
        <v/>
      </c>
      <c r="U128" s="54" t="str">
        <f aca="false">IF(A128="","",IF(COUNTIFS(EXT_SUP,B128,EXT_MAND,"&lt;&gt;No",EXT_DONE,"No")&gt;0,"Not ready - "&amp;COUNTIFS(EXT_SUP,B128,EXT_MAND,"&lt;&gt;No",EXT_DONE,"No")&amp;" mandatory action(s) open",IF(SUMPRODUCT(--(COUNTIFS(EXT_SUP,B128,EXT_ITEM,L_ExitItems)=0))&gt;0,"Not ready - "&amp;SUMPRODUCT(--(COUNTIFS(EXT_SUP,B128,EXT_ITEM,L_ExitItems)=0))&amp;" checklist item(s) not yet recorded","Ready for closure review (not a formal approval)")))</f>
        <v/>
      </c>
      <c r="V128" s="54" t="str">
        <f aca="false">IF(A128="","",IF(COUNTIF(EXT_ID,A128)&gt;1,"CHECK: duplicate ID",IF(B128="","CHECK: Supplier ID missing",IF(COUNTIF(INV_ID,B128)=0,"CHECK: Supplier ID not in inventory",IF(AND(H128&lt;&gt;"",COUNTIF(INV_ID,H128)=0),"CHECK: Replacement supplier ID not in inventory",IF(AND(Q128="Closed - approved",OR(LEFT(U128,9)="Not ready",R128="")),"CHECK: closed without readiness or approval reference",IF(AND(Q128="Ready for closure review",LEFT(U128,9)="Not ready"),"CHECK: marked ready but mandatory items open","OK")))))))</f>
        <v/>
      </c>
    </row>
    <row r="129" customFormat="false" ht="15" hidden="false" customHeight="false" outlineLevel="0" collapsed="false">
      <c r="A129" s="50"/>
      <c r="B129" s="50"/>
      <c r="C129" s="59" t="str">
        <f aca="false">IF(B129="","",IFERROR(INDEX(INV_NAME,MATCH(B129,INV_ID,0)),"CHECK: Supplier ID not found"))</f>
        <v/>
      </c>
      <c r="D129" s="34"/>
      <c r="E129" s="34"/>
      <c r="F129" s="51"/>
      <c r="G129" s="34"/>
      <c r="H129" s="50"/>
      <c r="I129" s="34"/>
      <c r="J129" s="50"/>
      <c r="K129" s="34"/>
      <c r="L129" s="50"/>
      <c r="M129" s="51"/>
      <c r="N129" s="34"/>
      <c r="O129" s="34"/>
      <c r="P129" s="50"/>
      <c r="Q129" s="34"/>
      <c r="R129" s="60"/>
      <c r="S129" s="52" t="str">
        <f aca="false">IF(A129="","",IF(AND(OR(N129="Complete",N129="Not applicable - justified"),O129&lt;&gt;""),"Yes","No"))</f>
        <v/>
      </c>
      <c r="T129" s="52" t="str">
        <f aca="false">IF(A129="","",IF(AND(S129="No",ISNUMBER(M129),M129&lt;AsOf),"Overdue",""))</f>
        <v/>
      </c>
      <c r="U129" s="54" t="str">
        <f aca="false">IF(A129="","",IF(COUNTIFS(EXT_SUP,B129,EXT_MAND,"&lt;&gt;No",EXT_DONE,"No")&gt;0,"Not ready - "&amp;COUNTIFS(EXT_SUP,B129,EXT_MAND,"&lt;&gt;No",EXT_DONE,"No")&amp;" mandatory action(s) open",IF(SUMPRODUCT(--(COUNTIFS(EXT_SUP,B129,EXT_ITEM,L_ExitItems)=0))&gt;0,"Not ready - "&amp;SUMPRODUCT(--(COUNTIFS(EXT_SUP,B129,EXT_ITEM,L_ExitItems)=0))&amp;" checklist item(s) not yet recorded","Ready for closure review (not a formal approval)")))</f>
        <v/>
      </c>
      <c r="V129" s="54" t="str">
        <f aca="false">IF(A129="","",IF(COUNTIF(EXT_ID,A129)&gt;1,"CHECK: duplicate ID",IF(B129="","CHECK: Supplier ID missing",IF(COUNTIF(INV_ID,B129)=0,"CHECK: Supplier ID not in inventory",IF(AND(H129&lt;&gt;"",COUNTIF(INV_ID,H129)=0),"CHECK: Replacement supplier ID not in inventory",IF(AND(Q129="Closed - approved",OR(LEFT(U129,9)="Not ready",R129="")),"CHECK: closed without readiness or approval reference",IF(AND(Q129="Ready for closure review",LEFT(U129,9)="Not ready"),"CHECK: marked ready but mandatory items open","OK")))))))</f>
        <v/>
      </c>
    </row>
    <row r="130" customFormat="false" ht="15" hidden="false" customHeight="false" outlineLevel="0" collapsed="false">
      <c r="A130" s="50"/>
      <c r="B130" s="50"/>
      <c r="C130" s="59" t="str">
        <f aca="false">IF(B130="","",IFERROR(INDEX(INV_NAME,MATCH(B130,INV_ID,0)),"CHECK: Supplier ID not found"))</f>
        <v/>
      </c>
      <c r="D130" s="34"/>
      <c r="E130" s="34"/>
      <c r="F130" s="51"/>
      <c r="G130" s="34"/>
      <c r="H130" s="50"/>
      <c r="I130" s="34"/>
      <c r="J130" s="50"/>
      <c r="K130" s="34"/>
      <c r="L130" s="50"/>
      <c r="M130" s="51"/>
      <c r="N130" s="34"/>
      <c r="O130" s="34"/>
      <c r="P130" s="50"/>
      <c r="Q130" s="34"/>
      <c r="R130" s="60"/>
      <c r="S130" s="52" t="str">
        <f aca="false">IF(A130="","",IF(AND(OR(N130="Complete",N130="Not applicable - justified"),O130&lt;&gt;""),"Yes","No"))</f>
        <v/>
      </c>
      <c r="T130" s="52" t="str">
        <f aca="false">IF(A130="","",IF(AND(S130="No",ISNUMBER(M130),M130&lt;AsOf),"Overdue",""))</f>
        <v/>
      </c>
      <c r="U130" s="54" t="str">
        <f aca="false">IF(A130="","",IF(COUNTIFS(EXT_SUP,B130,EXT_MAND,"&lt;&gt;No",EXT_DONE,"No")&gt;0,"Not ready - "&amp;COUNTIFS(EXT_SUP,B130,EXT_MAND,"&lt;&gt;No",EXT_DONE,"No")&amp;" mandatory action(s) open",IF(SUMPRODUCT(--(COUNTIFS(EXT_SUP,B130,EXT_ITEM,L_ExitItems)=0))&gt;0,"Not ready - "&amp;SUMPRODUCT(--(COUNTIFS(EXT_SUP,B130,EXT_ITEM,L_ExitItems)=0))&amp;" checklist item(s) not yet recorded","Ready for closure review (not a formal approval)")))</f>
        <v/>
      </c>
      <c r="V130" s="54" t="str">
        <f aca="false">IF(A130="","",IF(COUNTIF(EXT_ID,A130)&gt;1,"CHECK: duplicate ID",IF(B130="","CHECK: Supplier ID missing",IF(COUNTIF(INV_ID,B130)=0,"CHECK: Supplier ID not in inventory",IF(AND(H130&lt;&gt;"",COUNTIF(INV_ID,H130)=0),"CHECK: Replacement supplier ID not in inventory",IF(AND(Q130="Closed - approved",OR(LEFT(U130,9)="Not ready",R130="")),"CHECK: closed without readiness or approval reference",IF(AND(Q130="Ready for closure review",LEFT(U130,9)="Not ready"),"CHECK: marked ready but mandatory items open","OK")))))))</f>
        <v/>
      </c>
    </row>
    <row r="131" customFormat="false" ht="15" hidden="false" customHeight="false" outlineLevel="0" collapsed="false">
      <c r="A131" s="50"/>
      <c r="B131" s="50"/>
      <c r="C131" s="59" t="str">
        <f aca="false">IF(B131="","",IFERROR(INDEX(INV_NAME,MATCH(B131,INV_ID,0)),"CHECK: Supplier ID not found"))</f>
        <v/>
      </c>
      <c r="D131" s="34"/>
      <c r="E131" s="34"/>
      <c r="F131" s="51"/>
      <c r="G131" s="34"/>
      <c r="H131" s="50"/>
      <c r="I131" s="34"/>
      <c r="J131" s="50"/>
      <c r="K131" s="34"/>
      <c r="L131" s="50"/>
      <c r="M131" s="51"/>
      <c r="N131" s="34"/>
      <c r="O131" s="34"/>
      <c r="P131" s="50"/>
      <c r="Q131" s="34"/>
      <c r="R131" s="60"/>
      <c r="S131" s="52" t="str">
        <f aca="false">IF(A131="","",IF(AND(OR(N131="Complete",N131="Not applicable - justified"),O131&lt;&gt;""),"Yes","No"))</f>
        <v/>
      </c>
      <c r="T131" s="52" t="str">
        <f aca="false">IF(A131="","",IF(AND(S131="No",ISNUMBER(M131),M131&lt;AsOf),"Overdue",""))</f>
        <v/>
      </c>
      <c r="U131" s="54" t="str">
        <f aca="false">IF(A131="","",IF(COUNTIFS(EXT_SUP,B131,EXT_MAND,"&lt;&gt;No",EXT_DONE,"No")&gt;0,"Not ready - "&amp;COUNTIFS(EXT_SUP,B131,EXT_MAND,"&lt;&gt;No",EXT_DONE,"No")&amp;" mandatory action(s) open",IF(SUMPRODUCT(--(COUNTIFS(EXT_SUP,B131,EXT_ITEM,L_ExitItems)=0))&gt;0,"Not ready - "&amp;SUMPRODUCT(--(COUNTIFS(EXT_SUP,B131,EXT_ITEM,L_ExitItems)=0))&amp;" checklist item(s) not yet recorded","Ready for closure review (not a formal approval)")))</f>
        <v/>
      </c>
      <c r="V131" s="54" t="str">
        <f aca="false">IF(A131="","",IF(COUNTIF(EXT_ID,A131)&gt;1,"CHECK: duplicate ID",IF(B131="","CHECK: Supplier ID missing",IF(COUNTIF(INV_ID,B131)=0,"CHECK: Supplier ID not in inventory",IF(AND(H131&lt;&gt;"",COUNTIF(INV_ID,H131)=0),"CHECK: Replacement supplier ID not in inventory",IF(AND(Q131="Closed - approved",OR(LEFT(U131,9)="Not ready",R131="")),"CHECK: closed without readiness or approval reference",IF(AND(Q131="Ready for closure review",LEFT(U131,9)="Not ready"),"CHECK: marked ready but mandatory items open","OK")))))))</f>
        <v/>
      </c>
    </row>
    <row r="132" customFormat="false" ht="15" hidden="false" customHeight="false" outlineLevel="0" collapsed="false">
      <c r="A132" s="50"/>
      <c r="B132" s="50"/>
      <c r="C132" s="59" t="str">
        <f aca="false">IF(B132="","",IFERROR(INDEX(INV_NAME,MATCH(B132,INV_ID,0)),"CHECK: Supplier ID not found"))</f>
        <v/>
      </c>
      <c r="D132" s="34"/>
      <c r="E132" s="34"/>
      <c r="F132" s="51"/>
      <c r="G132" s="34"/>
      <c r="H132" s="50"/>
      <c r="I132" s="34"/>
      <c r="J132" s="50"/>
      <c r="K132" s="34"/>
      <c r="L132" s="50"/>
      <c r="M132" s="51"/>
      <c r="N132" s="34"/>
      <c r="O132" s="34"/>
      <c r="P132" s="50"/>
      <c r="Q132" s="34"/>
      <c r="R132" s="60"/>
      <c r="S132" s="52" t="str">
        <f aca="false">IF(A132="","",IF(AND(OR(N132="Complete",N132="Not applicable - justified"),O132&lt;&gt;""),"Yes","No"))</f>
        <v/>
      </c>
      <c r="T132" s="52" t="str">
        <f aca="false">IF(A132="","",IF(AND(S132="No",ISNUMBER(M132),M132&lt;AsOf),"Overdue",""))</f>
        <v/>
      </c>
      <c r="U132" s="54" t="str">
        <f aca="false">IF(A132="","",IF(COUNTIFS(EXT_SUP,B132,EXT_MAND,"&lt;&gt;No",EXT_DONE,"No")&gt;0,"Not ready - "&amp;COUNTIFS(EXT_SUP,B132,EXT_MAND,"&lt;&gt;No",EXT_DONE,"No")&amp;" mandatory action(s) open",IF(SUMPRODUCT(--(COUNTIFS(EXT_SUP,B132,EXT_ITEM,L_ExitItems)=0))&gt;0,"Not ready - "&amp;SUMPRODUCT(--(COUNTIFS(EXT_SUP,B132,EXT_ITEM,L_ExitItems)=0))&amp;" checklist item(s) not yet recorded","Ready for closure review (not a formal approval)")))</f>
        <v/>
      </c>
      <c r="V132" s="54" t="str">
        <f aca="false">IF(A132="","",IF(COUNTIF(EXT_ID,A132)&gt;1,"CHECK: duplicate ID",IF(B132="","CHECK: Supplier ID missing",IF(COUNTIF(INV_ID,B132)=0,"CHECK: Supplier ID not in inventory",IF(AND(H132&lt;&gt;"",COUNTIF(INV_ID,H132)=0),"CHECK: Replacement supplier ID not in inventory",IF(AND(Q132="Closed - approved",OR(LEFT(U132,9)="Not ready",R132="")),"CHECK: closed without readiness or approval reference",IF(AND(Q132="Ready for closure review",LEFT(U132,9)="Not ready"),"CHECK: marked ready but mandatory items open","OK")))))))</f>
        <v/>
      </c>
    </row>
    <row r="133" customFormat="false" ht="15" hidden="false" customHeight="false" outlineLevel="0" collapsed="false">
      <c r="A133" s="50"/>
      <c r="B133" s="50"/>
      <c r="C133" s="59" t="str">
        <f aca="false">IF(B133="","",IFERROR(INDEX(INV_NAME,MATCH(B133,INV_ID,0)),"CHECK: Supplier ID not found"))</f>
        <v/>
      </c>
      <c r="D133" s="34"/>
      <c r="E133" s="34"/>
      <c r="F133" s="51"/>
      <c r="G133" s="34"/>
      <c r="H133" s="50"/>
      <c r="I133" s="34"/>
      <c r="J133" s="50"/>
      <c r="K133" s="34"/>
      <c r="L133" s="50"/>
      <c r="M133" s="51"/>
      <c r="N133" s="34"/>
      <c r="O133" s="34"/>
      <c r="P133" s="50"/>
      <c r="Q133" s="34"/>
      <c r="R133" s="60"/>
      <c r="S133" s="52" t="str">
        <f aca="false">IF(A133="","",IF(AND(OR(N133="Complete",N133="Not applicable - justified"),O133&lt;&gt;""),"Yes","No"))</f>
        <v/>
      </c>
      <c r="T133" s="52" t="str">
        <f aca="false">IF(A133="","",IF(AND(S133="No",ISNUMBER(M133),M133&lt;AsOf),"Overdue",""))</f>
        <v/>
      </c>
      <c r="U133" s="54" t="str">
        <f aca="false">IF(A133="","",IF(COUNTIFS(EXT_SUP,B133,EXT_MAND,"&lt;&gt;No",EXT_DONE,"No")&gt;0,"Not ready - "&amp;COUNTIFS(EXT_SUP,B133,EXT_MAND,"&lt;&gt;No",EXT_DONE,"No")&amp;" mandatory action(s) open",IF(SUMPRODUCT(--(COUNTIFS(EXT_SUP,B133,EXT_ITEM,L_ExitItems)=0))&gt;0,"Not ready - "&amp;SUMPRODUCT(--(COUNTIFS(EXT_SUP,B133,EXT_ITEM,L_ExitItems)=0))&amp;" checklist item(s) not yet recorded","Ready for closure review (not a formal approval)")))</f>
        <v/>
      </c>
      <c r="V133" s="54" t="str">
        <f aca="false">IF(A133="","",IF(COUNTIF(EXT_ID,A133)&gt;1,"CHECK: duplicate ID",IF(B133="","CHECK: Supplier ID missing",IF(COUNTIF(INV_ID,B133)=0,"CHECK: Supplier ID not in inventory",IF(AND(H133&lt;&gt;"",COUNTIF(INV_ID,H133)=0),"CHECK: Replacement supplier ID not in inventory",IF(AND(Q133="Closed - approved",OR(LEFT(U133,9)="Not ready",R133="")),"CHECK: closed without readiness or approval reference",IF(AND(Q133="Ready for closure review",LEFT(U133,9)="Not ready"),"CHECK: marked ready but mandatory items open","OK")))))))</f>
        <v/>
      </c>
    </row>
    <row r="134" customFormat="false" ht="15" hidden="false" customHeight="false" outlineLevel="0" collapsed="false">
      <c r="A134" s="50"/>
      <c r="B134" s="50"/>
      <c r="C134" s="59" t="str">
        <f aca="false">IF(B134="","",IFERROR(INDEX(INV_NAME,MATCH(B134,INV_ID,0)),"CHECK: Supplier ID not found"))</f>
        <v/>
      </c>
      <c r="D134" s="34"/>
      <c r="E134" s="34"/>
      <c r="F134" s="51"/>
      <c r="G134" s="34"/>
      <c r="H134" s="50"/>
      <c r="I134" s="34"/>
      <c r="J134" s="50"/>
      <c r="K134" s="34"/>
      <c r="L134" s="50"/>
      <c r="M134" s="51"/>
      <c r="N134" s="34"/>
      <c r="O134" s="34"/>
      <c r="P134" s="50"/>
      <c r="Q134" s="34"/>
      <c r="R134" s="60"/>
      <c r="S134" s="52" t="str">
        <f aca="false">IF(A134="","",IF(AND(OR(N134="Complete",N134="Not applicable - justified"),O134&lt;&gt;""),"Yes","No"))</f>
        <v/>
      </c>
      <c r="T134" s="52" t="str">
        <f aca="false">IF(A134="","",IF(AND(S134="No",ISNUMBER(M134),M134&lt;AsOf),"Overdue",""))</f>
        <v/>
      </c>
      <c r="U134" s="54" t="str">
        <f aca="false">IF(A134="","",IF(COUNTIFS(EXT_SUP,B134,EXT_MAND,"&lt;&gt;No",EXT_DONE,"No")&gt;0,"Not ready - "&amp;COUNTIFS(EXT_SUP,B134,EXT_MAND,"&lt;&gt;No",EXT_DONE,"No")&amp;" mandatory action(s) open",IF(SUMPRODUCT(--(COUNTIFS(EXT_SUP,B134,EXT_ITEM,L_ExitItems)=0))&gt;0,"Not ready - "&amp;SUMPRODUCT(--(COUNTIFS(EXT_SUP,B134,EXT_ITEM,L_ExitItems)=0))&amp;" checklist item(s) not yet recorded","Ready for closure review (not a formal approval)")))</f>
        <v/>
      </c>
      <c r="V134" s="54" t="str">
        <f aca="false">IF(A134="","",IF(COUNTIF(EXT_ID,A134)&gt;1,"CHECK: duplicate ID",IF(B134="","CHECK: Supplier ID missing",IF(COUNTIF(INV_ID,B134)=0,"CHECK: Supplier ID not in inventory",IF(AND(H134&lt;&gt;"",COUNTIF(INV_ID,H134)=0),"CHECK: Replacement supplier ID not in inventory",IF(AND(Q134="Closed - approved",OR(LEFT(U134,9)="Not ready",R134="")),"CHECK: closed without readiness or approval reference",IF(AND(Q134="Ready for closure review",LEFT(U134,9)="Not ready"),"CHECK: marked ready but mandatory items open","OK")))))))</f>
        <v/>
      </c>
    </row>
    <row r="135" customFormat="false" ht="15" hidden="false" customHeight="false" outlineLevel="0" collapsed="false">
      <c r="A135" s="50"/>
      <c r="B135" s="50"/>
      <c r="C135" s="59" t="str">
        <f aca="false">IF(B135="","",IFERROR(INDEX(INV_NAME,MATCH(B135,INV_ID,0)),"CHECK: Supplier ID not found"))</f>
        <v/>
      </c>
      <c r="D135" s="34"/>
      <c r="E135" s="34"/>
      <c r="F135" s="51"/>
      <c r="G135" s="34"/>
      <c r="H135" s="50"/>
      <c r="I135" s="34"/>
      <c r="J135" s="50"/>
      <c r="K135" s="34"/>
      <c r="L135" s="50"/>
      <c r="M135" s="51"/>
      <c r="N135" s="34"/>
      <c r="O135" s="34"/>
      <c r="P135" s="50"/>
      <c r="Q135" s="34"/>
      <c r="R135" s="60"/>
      <c r="S135" s="52" t="str">
        <f aca="false">IF(A135="","",IF(AND(OR(N135="Complete",N135="Not applicable - justified"),O135&lt;&gt;""),"Yes","No"))</f>
        <v/>
      </c>
      <c r="T135" s="52" t="str">
        <f aca="false">IF(A135="","",IF(AND(S135="No",ISNUMBER(M135),M135&lt;AsOf),"Overdue",""))</f>
        <v/>
      </c>
      <c r="U135" s="54" t="str">
        <f aca="false">IF(A135="","",IF(COUNTIFS(EXT_SUP,B135,EXT_MAND,"&lt;&gt;No",EXT_DONE,"No")&gt;0,"Not ready - "&amp;COUNTIFS(EXT_SUP,B135,EXT_MAND,"&lt;&gt;No",EXT_DONE,"No")&amp;" mandatory action(s) open",IF(SUMPRODUCT(--(COUNTIFS(EXT_SUP,B135,EXT_ITEM,L_ExitItems)=0))&gt;0,"Not ready - "&amp;SUMPRODUCT(--(COUNTIFS(EXT_SUP,B135,EXT_ITEM,L_ExitItems)=0))&amp;" checklist item(s) not yet recorded","Ready for closure review (not a formal approval)")))</f>
        <v/>
      </c>
      <c r="V135" s="54" t="str">
        <f aca="false">IF(A135="","",IF(COUNTIF(EXT_ID,A135)&gt;1,"CHECK: duplicate ID",IF(B135="","CHECK: Supplier ID missing",IF(COUNTIF(INV_ID,B135)=0,"CHECK: Supplier ID not in inventory",IF(AND(H135&lt;&gt;"",COUNTIF(INV_ID,H135)=0),"CHECK: Replacement supplier ID not in inventory",IF(AND(Q135="Closed - approved",OR(LEFT(U135,9)="Not ready",R135="")),"CHECK: closed without readiness or approval reference",IF(AND(Q135="Ready for closure review",LEFT(U135,9)="Not ready"),"CHECK: marked ready but mandatory items open","OK")))))))</f>
        <v/>
      </c>
    </row>
    <row r="136" customFormat="false" ht="15" hidden="false" customHeight="false" outlineLevel="0" collapsed="false">
      <c r="A136" s="50"/>
      <c r="B136" s="50"/>
      <c r="C136" s="59" t="str">
        <f aca="false">IF(B136="","",IFERROR(INDEX(INV_NAME,MATCH(B136,INV_ID,0)),"CHECK: Supplier ID not found"))</f>
        <v/>
      </c>
      <c r="D136" s="34"/>
      <c r="E136" s="34"/>
      <c r="F136" s="51"/>
      <c r="G136" s="34"/>
      <c r="H136" s="50"/>
      <c r="I136" s="34"/>
      <c r="J136" s="50"/>
      <c r="K136" s="34"/>
      <c r="L136" s="50"/>
      <c r="M136" s="51"/>
      <c r="N136" s="34"/>
      <c r="O136" s="34"/>
      <c r="P136" s="50"/>
      <c r="Q136" s="34"/>
      <c r="R136" s="60"/>
      <c r="S136" s="52" t="str">
        <f aca="false">IF(A136="","",IF(AND(OR(N136="Complete",N136="Not applicable - justified"),O136&lt;&gt;""),"Yes","No"))</f>
        <v/>
      </c>
      <c r="T136" s="52" t="str">
        <f aca="false">IF(A136="","",IF(AND(S136="No",ISNUMBER(M136),M136&lt;AsOf),"Overdue",""))</f>
        <v/>
      </c>
      <c r="U136" s="54" t="str">
        <f aca="false">IF(A136="","",IF(COUNTIFS(EXT_SUP,B136,EXT_MAND,"&lt;&gt;No",EXT_DONE,"No")&gt;0,"Not ready - "&amp;COUNTIFS(EXT_SUP,B136,EXT_MAND,"&lt;&gt;No",EXT_DONE,"No")&amp;" mandatory action(s) open",IF(SUMPRODUCT(--(COUNTIFS(EXT_SUP,B136,EXT_ITEM,L_ExitItems)=0))&gt;0,"Not ready - "&amp;SUMPRODUCT(--(COUNTIFS(EXT_SUP,B136,EXT_ITEM,L_ExitItems)=0))&amp;" checklist item(s) not yet recorded","Ready for closure review (not a formal approval)")))</f>
        <v/>
      </c>
      <c r="V136" s="54" t="str">
        <f aca="false">IF(A136="","",IF(COUNTIF(EXT_ID,A136)&gt;1,"CHECK: duplicate ID",IF(B136="","CHECK: Supplier ID missing",IF(COUNTIF(INV_ID,B136)=0,"CHECK: Supplier ID not in inventory",IF(AND(H136&lt;&gt;"",COUNTIF(INV_ID,H136)=0),"CHECK: Replacement supplier ID not in inventory",IF(AND(Q136="Closed - approved",OR(LEFT(U136,9)="Not ready",R136="")),"CHECK: closed without readiness or approval reference",IF(AND(Q136="Ready for closure review",LEFT(U136,9)="Not ready"),"CHECK: marked ready but mandatory items open","OK")))))))</f>
        <v/>
      </c>
    </row>
    <row r="137" customFormat="false" ht="15" hidden="false" customHeight="false" outlineLevel="0" collapsed="false">
      <c r="A137" s="50"/>
      <c r="B137" s="50"/>
      <c r="C137" s="59" t="str">
        <f aca="false">IF(B137="","",IFERROR(INDEX(INV_NAME,MATCH(B137,INV_ID,0)),"CHECK: Supplier ID not found"))</f>
        <v/>
      </c>
      <c r="D137" s="34"/>
      <c r="E137" s="34"/>
      <c r="F137" s="51"/>
      <c r="G137" s="34"/>
      <c r="H137" s="50"/>
      <c r="I137" s="34"/>
      <c r="J137" s="50"/>
      <c r="K137" s="34"/>
      <c r="L137" s="50"/>
      <c r="M137" s="51"/>
      <c r="N137" s="34"/>
      <c r="O137" s="34"/>
      <c r="P137" s="50"/>
      <c r="Q137" s="34"/>
      <c r="R137" s="60"/>
      <c r="S137" s="52" t="str">
        <f aca="false">IF(A137="","",IF(AND(OR(N137="Complete",N137="Not applicable - justified"),O137&lt;&gt;""),"Yes","No"))</f>
        <v/>
      </c>
      <c r="T137" s="52" t="str">
        <f aca="false">IF(A137="","",IF(AND(S137="No",ISNUMBER(M137),M137&lt;AsOf),"Overdue",""))</f>
        <v/>
      </c>
      <c r="U137" s="54" t="str">
        <f aca="false">IF(A137="","",IF(COUNTIFS(EXT_SUP,B137,EXT_MAND,"&lt;&gt;No",EXT_DONE,"No")&gt;0,"Not ready - "&amp;COUNTIFS(EXT_SUP,B137,EXT_MAND,"&lt;&gt;No",EXT_DONE,"No")&amp;" mandatory action(s) open",IF(SUMPRODUCT(--(COUNTIFS(EXT_SUP,B137,EXT_ITEM,L_ExitItems)=0))&gt;0,"Not ready - "&amp;SUMPRODUCT(--(COUNTIFS(EXT_SUP,B137,EXT_ITEM,L_ExitItems)=0))&amp;" checklist item(s) not yet recorded","Ready for closure review (not a formal approval)")))</f>
        <v/>
      </c>
      <c r="V137" s="54" t="str">
        <f aca="false">IF(A137="","",IF(COUNTIF(EXT_ID,A137)&gt;1,"CHECK: duplicate ID",IF(B137="","CHECK: Supplier ID missing",IF(COUNTIF(INV_ID,B137)=0,"CHECK: Supplier ID not in inventory",IF(AND(H137&lt;&gt;"",COUNTIF(INV_ID,H137)=0),"CHECK: Replacement supplier ID not in inventory",IF(AND(Q137="Closed - approved",OR(LEFT(U137,9)="Not ready",R137="")),"CHECK: closed without readiness or approval reference",IF(AND(Q137="Ready for closure review",LEFT(U137,9)="Not ready"),"CHECK: marked ready but mandatory items open","OK")))))))</f>
        <v/>
      </c>
    </row>
    <row r="138" customFormat="false" ht="15" hidden="false" customHeight="false" outlineLevel="0" collapsed="false">
      <c r="A138" s="50"/>
      <c r="B138" s="50"/>
      <c r="C138" s="59" t="str">
        <f aca="false">IF(B138="","",IFERROR(INDEX(INV_NAME,MATCH(B138,INV_ID,0)),"CHECK: Supplier ID not found"))</f>
        <v/>
      </c>
      <c r="D138" s="34"/>
      <c r="E138" s="34"/>
      <c r="F138" s="51"/>
      <c r="G138" s="34"/>
      <c r="H138" s="50"/>
      <c r="I138" s="34"/>
      <c r="J138" s="50"/>
      <c r="K138" s="34"/>
      <c r="L138" s="50"/>
      <c r="M138" s="51"/>
      <c r="N138" s="34"/>
      <c r="O138" s="34"/>
      <c r="P138" s="50"/>
      <c r="Q138" s="34"/>
      <c r="R138" s="60"/>
      <c r="S138" s="52" t="str">
        <f aca="false">IF(A138="","",IF(AND(OR(N138="Complete",N138="Not applicable - justified"),O138&lt;&gt;""),"Yes","No"))</f>
        <v/>
      </c>
      <c r="T138" s="52" t="str">
        <f aca="false">IF(A138="","",IF(AND(S138="No",ISNUMBER(M138),M138&lt;AsOf),"Overdue",""))</f>
        <v/>
      </c>
      <c r="U138" s="54" t="str">
        <f aca="false">IF(A138="","",IF(COUNTIFS(EXT_SUP,B138,EXT_MAND,"&lt;&gt;No",EXT_DONE,"No")&gt;0,"Not ready - "&amp;COUNTIFS(EXT_SUP,B138,EXT_MAND,"&lt;&gt;No",EXT_DONE,"No")&amp;" mandatory action(s) open",IF(SUMPRODUCT(--(COUNTIFS(EXT_SUP,B138,EXT_ITEM,L_ExitItems)=0))&gt;0,"Not ready - "&amp;SUMPRODUCT(--(COUNTIFS(EXT_SUP,B138,EXT_ITEM,L_ExitItems)=0))&amp;" checklist item(s) not yet recorded","Ready for closure review (not a formal approval)")))</f>
        <v/>
      </c>
      <c r="V138" s="54" t="str">
        <f aca="false">IF(A138="","",IF(COUNTIF(EXT_ID,A138)&gt;1,"CHECK: duplicate ID",IF(B138="","CHECK: Supplier ID missing",IF(COUNTIF(INV_ID,B138)=0,"CHECK: Supplier ID not in inventory",IF(AND(H138&lt;&gt;"",COUNTIF(INV_ID,H138)=0),"CHECK: Replacement supplier ID not in inventory",IF(AND(Q138="Closed - approved",OR(LEFT(U138,9)="Not ready",R138="")),"CHECK: closed without readiness or approval reference",IF(AND(Q138="Ready for closure review",LEFT(U138,9)="Not ready"),"CHECK: marked ready but mandatory items open","OK")))))))</f>
        <v/>
      </c>
    </row>
    <row r="139" customFormat="false" ht="15" hidden="false" customHeight="false" outlineLevel="0" collapsed="false">
      <c r="A139" s="50"/>
      <c r="B139" s="50"/>
      <c r="C139" s="59" t="str">
        <f aca="false">IF(B139="","",IFERROR(INDEX(INV_NAME,MATCH(B139,INV_ID,0)),"CHECK: Supplier ID not found"))</f>
        <v/>
      </c>
      <c r="D139" s="34"/>
      <c r="E139" s="34"/>
      <c r="F139" s="51"/>
      <c r="G139" s="34"/>
      <c r="H139" s="50"/>
      <c r="I139" s="34"/>
      <c r="J139" s="50"/>
      <c r="K139" s="34"/>
      <c r="L139" s="50"/>
      <c r="M139" s="51"/>
      <c r="N139" s="34"/>
      <c r="O139" s="34"/>
      <c r="P139" s="50"/>
      <c r="Q139" s="34"/>
      <c r="R139" s="60"/>
      <c r="S139" s="52" t="str">
        <f aca="false">IF(A139="","",IF(AND(OR(N139="Complete",N139="Not applicable - justified"),O139&lt;&gt;""),"Yes","No"))</f>
        <v/>
      </c>
      <c r="T139" s="52" t="str">
        <f aca="false">IF(A139="","",IF(AND(S139="No",ISNUMBER(M139),M139&lt;AsOf),"Overdue",""))</f>
        <v/>
      </c>
      <c r="U139" s="54" t="str">
        <f aca="false">IF(A139="","",IF(COUNTIFS(EXT_SUP,B139,EXT_MAND,"&lt;&gt;No",EXT_DONE,"No")&gt;0,"Not ready - "&amp;COUNTIFS(EXT_SUP,B139,EXT_MAND,"&lt;&gt;No",EXT_DONE,"No")&amp;" mandatory action(s) open",IF(SUMPRODUCT(--(COUNTIFS(EXT_SUP,B139,EXT_ITEM,L_ExitItems)=0))&gt;0,"Not ready - "&amp;SUMPRODUCT(--(COUNTIFS(EXT_SUP,B139,EXT_ITEM,L_ExitItems)=0))&amp;" checklist item(s) not yet recorded","Ready for closure review (not a formal approval)")))</f>
        <v/>
      </c>
      <c r="V139" s="54" t="str">
        <f aca="false">IF(A139="","",IF(COUNTIF(EXT_ID,A139)&gt;1,"CHECK: duplicate ID",IF(B139="","CHECK: Supplier ID missing",IF(COUNTIF(INV_ID,B139)=0,"CHECK: Supplier ID not in inventory",IF(AND(H139&lt;&gt;"",COUNTIF(INV_ID,H139)=0),"CHECK: Replacement supplier ID not in inventory",IF(AND(Q139="Closed - approved",OR(LEFT(U139,9)="Not ready",R139="")),"CHECK: closed without readiness or approval reference",IF(AND(Q139="Ready for closure review",LEFT(U139,9)="Not ready"),"CHECK: marked ready but mandatory items open","OK")))))))</f>
        <v/>
      </c>
    </row>
    <row r="140" customFormat="false" ht="15" hidden="false" customHeight="false" outlineLevel="0" collapsed="false">
      <c r="A140" s="50"/>
      <c r="B140" s="50"/>
      <c r="C140" s="59" t="str">
        <f aca="false">IF(B140="","",IFERROR(INDEX(INV_NAME,MATCH(B140,INV_ID,0)),"CHECK: Supplier ID not found"))</f>
        <v/>
      </c>
      <c r="D140" s="34"/>
      <c r="E140" s="34"/>
      <c r="F140" s="51"/>
      <c r="G140" s="34"/>
      <c r="H140" s="50"/>
      <c r="I140" s="34"/>
      <c r="J140" s="50"/>
      <c r="K140" s="34"/>
      <c r="L140" s="50"/>
      <c r="M140" s="51"/>
      <c r="N140" s="34"/>
      <c r="O140" s="34"/>
      <c r="P140" s="50"/>
      <c r="Q140" s="34"/>
      <c r="R140" s="60"/>
      <c r="S140" s="52" t="str">
        <f aca="false">IF(A140="","",IF(AND(OR(N140="Complete",N140="Not applicable - justified"),O140&lt;&gt;""),"Yes","No"))</f>
        <v/>
      </c>
      <c r="T140" s="52" t="str">
        <f aca="false">IF(A140="","",IF(AND(S140="No",ISNUMBER(M140),M140&lt;AsOf),"Overdue",""))</f>
        <v/>
      </c>
      <c r="U140" s="54" t="str">
        <f aca="false">IF(A140="","",IF(COUNTIFS(EXT_SUP,B140,EXT_MAND,"&lt;&gt;No",EXT_DONE,"No")&gt;0,"Not ready - "&amp;COUNTIFS(EXT_SUP,B140,EXT_MAND,"&lt;&gt;No",EXT_DONE,"No")&amp;" mandatory action(s) open",IF(SUMPRODUCT(--(COUNTIFS(EXT_SUP,B140,EXT_ITEM,L_ExitItems)=0))&gt;0,"Not ready - "&amp;SUMPRODUCT(--(COUNTIFS(EXT_SUP,B140,EXT_ITEM,L_ExitItems)=0))&amp;" checklist item(s) not yet recorded","Ready for closure review (not a formal approval)")))</f>
        <v/>
      </c>
      <c r="V140" s="54" t="str">
        <f aca="false">IF(A140="","",IF(COUNTIF(EXT_ID,A140)&gt;1,"CHECK: duplicate ID",IF(B140="","CHECK: Supplier ID missing",IF(COUNTIF(INV_ID,B140)=0,"CHECK: Supplier ID not in inventory",IF(AND(H140&lt;&gt;"",COUNTIF(INV_ID,H140)=0),"CHECK: Replacement supplier ID not in inventory",IF(AND(Q140="Closed - approved",OR(LEFT(U140,9)="Not ready",R140="")),"CHECK: closed without readiness or approval reference",IF(AND(Q140="Ready for closure review",LEFT(U140,9)="Not ready"),"CHECK: marked ready but mandatory items open","OK")))))))</f>
        <v/>
      </c>
    </row>
    <row r="141" customFormat="false" ht="15" hidden="false" customHeight="false" outlineLevel="0" collapsed="false">
      <c r="A141" s="50"/>
      <c r="B141" s="50"/>
      <c r="C141" s="59" t="str">
        <f aca="false">IF(B141="","",IFERROR(INDEX(INV_NAME,MATCH(B141,INV_ID,0)),"CHECK: Supplier ID not found"))</f>
        <v/>
      </c>
      <c r="D141" s="34"/>
      <c r="E141" s="34"/>
      <c r="F141" s="51"/>
      <c r="G141" s="34"/>
      <c r="H141" s="50"/>
      <c r="I141" s="34"/>
      <c r="J141" s="50"/>
      <c r="K141" s="34"/>
      <c r="L141" s="50"/>
      <c r="M141" s="51"/>
      <c r="N141" s="34"/>
      <c r="O141" s="34"/>
      <c r="P141" s="50"/>
      <c r="Q141" s="34"/>
      <c r="R141" s="60"/>
      <c r="S141" s="52" t="str">
        <f aca="false">IF(A141="","",IF(AND(OR(N141="Complete",N141="Not applicable - justified"),O141&lt;&gt;""),"Yes","No"))</f>
        <v/>
      </c>
      <c r="T141" s="52" t="str">
        <f aca="false">IF(A141="","",IF(AND(S141="No",ISNUMBER(M141),M141&lt;AsOf),"Overdue",""))</f>
        <v/>
      </c>
      <c r="U141" s="54" t="str">
        <f aca="false">IF(A141="","",IF(COUNTIFS(EXT_SUP,B141,EXT_MAND,"&lt;&gt;No",EXT_DONE,"No")&gt;0,"Not ready - "&amp;COUNTIFS(EXT_SUP,B141,EXT_MAND,"&lt;&gt;No",EXT_DONE,"No")&amp;" mandatory action(s) open",IF(SUMPRODUCT(--(COUNTIFS(EXT_SUP,B141,EXT_ITEM,L_ExitItems)=0))&gt;0,"Not ready - "&amp;SUMPRODUCT(--(COUNTIFS(EXT_SUP,B141,EXT_ITEM,L_ExitItems)=0))&amp;" checklist item(s) not yet recorded","Ready for closure review (not a formal approval)")))</f>
        <v/>
      </c>
      <c r="V141" s="54" t="str">
        <f aca="false">IF(A141="","",IF(COUNTIF(EXT_ID,A141)&gt;1,"CHECK: duplicate ID",IF(B141="","CHECK: Supplier ID missing",IF(COUNTIF(INV_ID,B141)=0,"CHECK: Supplier ID not in inventory",IF(AND(H141&lt;&gt;"",COUNTIF(INV_ID,H141)=0),"CHECK: Replacement supplier ID not in inventory",IF(AND(Q141="Closed - approved",OR(LEFT(U141,9)="Not ready",R141="")),"CHECK: closed without readiness or approval reference",IF(AND(Q141="Ready for closure review",LEFT(U141,9)="Not ready"),"CHECK: marked ready but mandatory items open","OK")))))))</f>
        <v/>
      </c>
    </row>
    <row r="142" customFormat="false" ht="15" hidden="false" customHeight="false" outlineLevel="0" collapsed="false">
      <c r="A142" s="50"/>
      <c r="B142" s="50"/>
      <c r="C142" s="59" t="str">
        <f aca="false">IF(B142="","",IFERROR(INDEX(INV_NAME,MATCH(B142,INV_ID,0)),"CHECK: Supplier ID not found"))</f>
        <v/>
      </c>
      <c r="D142" s="34"/>
      <c r="E142" s="34"/>
      <c r="F142" s="51"/>
      <c r="G142" s="34"/>
      <c r="H142" s="50"/>
      <c r="I142" s="34"/>
      <c r="J142" s="50"/>
      <c r="K142" s="34"/>
      <c r="L142" s="50"/>
      <c r="M142" s="51"/>
      <c r="N142" s="34"/>
      <c r="O142" s="34"/>
      <c r="P142" s="50"/>
      <c r="Q142" s="34"/>
      <c r="R142" s="60"/>
      <c r="S142" s="52" t="str">
        <f aca="false">IF(A142="","",IF(AND(OR(N142="Complete",N142="Not applicable - justified"),O142&lt;&gt;""),"Yes","No"))</f>
        <v/>
      </c>
      <c r="T142" s="52" t="str">
        <f aca="false">IF(A142="","",IF(AND(S142="No",ISNUMBER(M142),M142&lt;AsOf),"Overdue",""))</f>
        <v/>
      </c>
      <c r="U142" s="54" t="str">
        <f aca="false">IF(A142="","",IF(COUNTIFS(EXT_SUP,B142,EXT_MAND,"&lt;&gt;No",EXT_DONE,"No")&gt;0,"Not ready - "&amp;COUNTIFS(EXT_SUP,B142,EXT_MAND,"&lt;&gt;No",EXT_DONE,"No")&amp;" mandatory action(s) open",IF(SUMPRODUCT(--(COUNTIFS(EXT_SUP,B142,EXT_ITEM,L_ExitItems)=0))&gt;0,"Not ready - "&amp;SUMPRODUCT(--(COUNTIFS(EXT_SUP,B142,EXT_ITEM,L_ExitItems)=0))&amp;" checklist item(s) not yet recorded","Ready for closure review (not a formal approval)")))</f>
        <v/>
      </c>
      <c r="V142" s="54" t="str">
        <f aca="false">IF(A142="","",IF(COUNTIF(EXT_ID,A142)&gt;1,"CHECK: duplicate ID",IF(B142="","CHECK: Supplier ID missing",IF(COUNTIF(INV_ID,B142)=0,"CHECK: Supplier ID not in inventory",IF(AND(H142&lt;&gt;"",COUNTIF(INV_ID,H142)=0),"CHECK: Replacement supplier ID not in inventory",IF(AND(Q142="Closed - approved",OR(LEFT(U142,9)="Not ready",R142="")),"CHECK: closed without readiness or approval reference",IF(AND(Q142="Ready for closure review",LEFT(U142,9)="Not ready"),"CHECK: marked ready but mandatory items open","OK")))))))</f>
        <v/>
      </c>
    </row>
    <row r="143" customFormat="false" ht="15" hidden="false" customHeight="false" outlineLevel="0" collapsed="false">
      <c r="A143" s="50"/>
      <c r="B143" s="50"/>
      <c r="C143" s="59" t="str">
        <f aca="false">IF(B143="","",IFERROR(INDEX(INV_NAME,MATCH(B143,INV_ID,0)),"CHECK: Supplier ID not found"))</f>
        <v/>
      </c>
      <c r="D143" s="34"/>
      <c r="E143" s="34"/>
      <c r="F143" s="51"/>
      <c r="G143" s="34"/>
      <c r="H143" s="50"/>
      <c r="I143" s="34"/>
      <c r="J143" s="50"/>
      <c r="K143" s="34"/>
      <c r="L143" s="50"/>
      <c r="M143" s="51"/>
      <c r="N143" s="34"/>
      <c r="O143" s="34"/>
      <c r="P143" s="50"/>
      <c r="Q143" s="34"/>
      <c r="R143" s="60"/>
      <c r="S143" s="52" t="str">
        <f aca="false">IF(A143="","",IF(AND(OR(N143="Complete",N143="Not applicable - justified"),O143&lt;&gt;""),"Yes","No"))</f>
        <v/>
      </c>
      <c r="T143" s="52" t="str">
        <f aca="false">IF(A143="","",IF(AND(S143="No",ISNUMBER(M143),M143&lt;AsOf),"Overdue",""))</f>
        <v/>
      </c>
      <c r="U143" s="54" t="str">
        <f aca="false">IF(A143="","",IF(COUNTIFS(EXT_SUP,B143,EXT_MAND,"&lt;&gt;No",EXT_DONE,"No")&gt;0,"Not ready - "&amp;COUNTIFS(EXT_SUP,B143,EXT_MAND,"&lt;&gt;No",EXT_DONE,"No")&amp;" mandatory action(s) open",IF(SUMPRODUCT(--(COUNTIFS(EXT_SUP,B143,EXT_ITEM,L_ExitItems)=0))&gt;0,"Not ready - "&amp;SUMPRODUCT(--(COUNTIFS(EXT_SUP,B143,EXT_ITEM,L_ExitItems)=0))&amp;" checklist item(s) not yet recorded","Ready for closure review (not a formal approval)")))</f>
        <v/>
      </c>
      <c r="V143" s="54" t="str">
        <f aca="false">IF(A143="","",IF(COUNTIF(EXT_ID,A143)&gt;1,"CHECK: duplicate ID",IF(B143="","CHECK: Supplier ID missing",IF(COUNTIF(INV_ID,B143)=0,"CHECK: Supplier ID not in inventory",IF(AND(H143&lt;&gt;"",COUNTIF(INV_ID,H143)=0),"CHECK: Replacement supplier ID not in inventory",IF(AND(Q143="Closed - approved",OR(LEFT(U143,9)="Not ready",R143="")),"CHECK: closed without readiness or approval reference",IF(AND(Q143="Ready for closure review",LEFT(U143,9)="Not ready"),"CHECK: marked ready but mandatory items open","OK")))))))</f>
        <v/>
      </c>
    </row>
    <row r="144" customFormat="false" ht="15" hidden="false" customHeight="false" outlineLevel="0" collapsed="false">
      <c r="A144" s="50"/>
      <c r="B144" s="50"/>
      <c r="C144" s="59" t="str">
        <f aca="false">IF(B144="","",IFERROR(INDEX(INV_NAME,MATCH(B144,INV_ID,0)),"CHECK: Supplier ID not found"))</f>
        <v/>
      </c>
      <c r="D144" s="34"/>
      <c r="E144" s="34"/>
      <c r="F144" s="51"/>
      <c r="G144" s="34"/>
      <c r="H144" s="50"/>
      <c r="I144" s="34"/>
      <c r="J144" s="50"/>
      <c r="K144" s="34"/>
      <c r="L144" s="50"/>
      <c r="M144" s="51"/>
      <c r="N144" s="34"/>
      <c r="O144" s="34"/>
      <c r="P144" s="50"/>
      <c r="Q144" s="34"/>
      <c r="R144" s="60"/>
      <c r="S144" s="52" t="str">
        <f aca="false">IF(A144="","",IF(AND(OR(N144="Complete",N144="Not applicable - justified"),O144&lt;&gt;""),"Yes","No"))</f>
        <v/>
      </c>
      <c r="T144" s="52" t="str">
        <f aca="false">IF(A144="","",IF(AND(S144="No",ISNUMBER(M144),M144&lt;AsOf),"Overdue",""))</f>
        <v/>
      </c>
      <c r="U144" s="54" t="str">
        <f aca="false">IF(A144="","",IF(COUNTIFS(EXT_SUP,B144,EXT_MAND,"&lt;&gt;No",EXT_DONE,"No")&gt;0,"Not ready - "&amp;COUNTIFS(EXT_SUP,B144,EXT_MAND,"&lt;&gt;No",EXT_DONE,"No")&amp;" mandatory action(s) open",IF(SUMPRODUCT(--(COUNTIFS(EXT_SUP,B144,EXT_ITEM,L_ExitItems)=0))&gt;0,"Not ready - "&amp;SUMPRODUCT(--(COUNTIFS(EXT_SUP,B144,EXT_ITEM,L_ExitItems)=0))&amp;" checklist item(s) not yet recorded","Ready for closure review (not a formal approval)")))</f>
        <v/>
      </c>
      <c r="V144" s="54" t="str">
        <f aca="false">IF(A144="","",IF(COUNTIF(EXT_ID,A144)&gt;1,"CHECK: duplicate ID",IF(B144="","CHECK: Supplier ID missing",IF(COUNTIF(INV_ID,B144)=0,"CHECK: Supplier ID not in inventory",IF(AND(H144&lt;&gt;"",COUNTIF(INV_ID,H144)=0),"CHECK: Replacement supplier ID not in inventory",IF(AND(Q144="Closed - approved",OR(LEFT(U144,9)="Not ready",R144="")),"CHECK: closed without readiness or approval reference",IF(AND(Q144="Ready for closure review",LEFT(U144,9)="Not ready"),"CHECK: marked ready but mandatory items open","OK")))))))</f>
        <v/>
      </c>
    </row>
    <row r="145" customFormat="false" ht="15" hidden="false" customHeight="false" outlineLevel="0" collapsed="false">
      <c r="A145" s="50"/>
      <c r="B145" s="50"/>
      <c r="C145" s="59" t="str">
        <f aca="false">IF(B145="","",IFERROR(INDEX(INV_NAME,MATCH(B145,INV_ID,0)),"CHECK: Supplier ID not found"))</f>
        <v/>
      </c>
      <c r="D145" s="34"/>
      <c r="E145" s="34"/>
      <c r="F145" s="51"/>
      <c r="G145" s="34"/>
      <c r="H145" s="50"/>
      <c r="I145" s="34"/>
      <c r="J145" s="50"/>
      <c r="K145" s="34"/>
      <c r="L145" s="50"/>
      <c r="M145" s="51"/>
      <c r="N145" s="34"/>
      <c r="O145" s="34"/>
      <c r="P145" s="50"/>
      <c r="Q145" s="34"/>
      <c r="R145" s="60"/>
      <c r="S145" s="52" t="str">
        <f aca="false">IF(A145="","",IF(AND(OR(N145="Complete",N145="Not applicable - justified"),O145&lt;&gt;""),"Yes","No"))</f>
        <v/>
      </c>
      <c r="T145" s="52" t="str">
        <f aca="false">IF(A145="","",IF(AND(S145="No",ISNUMBER(M145),M145&lt;AsOf),"Overdue",""))</f>
        <v/>
      </c>
      <c r="U145" s="54" t="str">
        <f aca="false">IF(A145="","",IF(COUNTIFS(EXT_SUP,B145,EXT_MAND,"&lt;&gt;No",EXT_DONE,"No")&gt;0,"Not ready - "&amp;COUNTIFS(EXT_SUP,B145,EXT_MAND,"&lt;&gt;No",EXT_DONE,"No")&amp;" mandatory action(s) open",IF(SUMPRODUCT(--(COUNTIFS(EXT_SUP,B145,EXT_ITEM,L_ExitItems)=0))&gt;0,"Not ready - "&amp;SUMPRODUCT(--(COUNTIFS(EXT_SUP,B145,EXT_ITEM,L_ExitItems)=0))&amp;" checklist item(s) not yet recorded","Ready for closure review (not a formal approval)")))</f>
        <v/>
      </c>
      <c r="V145" s="54" t="str">
        <f aca="false">IF(A145="","",IF(COUNTIF(EXT_ID,A145)&gt;1,"CHECK: duplicate ID",IF(B145="","CHECK: Supplier ID missing",IF(COUNTIF(INV_ID,B145)=0,"CHECK: Supplier ID not in inventory",IF(AND(H145&lt;&gt;"",COUNTIF(INV_ID,H145)=0),"CHECK: Replacement supplier ID not in inventory",IF(AND(Q145="Closed - approved",OR(LEFT(U145,9)="Not ready",R145="")),"CHECK: closed without readiness or approval reference",IF(AND(Q145="Ready for closure review",LEFT(U145,9)="Not ready"),"CHECK: marked ready but mandatory items open","OK")))))))</f>
        <v/>
      </c>
    </row>
    <row r="146" customFormat="false" ht="15" hidden="false" customHeight="false" outlineLevel="0" collapsed="false">
      <c r="A146" s="50"/>
      <c r="B146" s="50"/>
      <c r="C146" s="59" t="str">
        <f aca="false">IF(B146="","",IFERROR(INDEX(INV_NAME,MATCH(B146,INV_ID,0)),"CHECK: Supplier ID not found"))</f>
        <v/>
      </c>
      <c r="D146" s="34"/>
      <c r="E146" s="34"/>
      <c r="F146" s="51"/>
      <c r="G146" s="34"/>
      <c r="H146" s="50"/>
      <c r="I146" s="34"/>
      <c r="J146" s="50"/>
      <c r="K146" s="34"/>
      <c r="L146" s="50"/>
      <c r="M146" s="51"/>
      <c r="N146" s="34"/>
      <c r="O146" s="34"/>
      <c r="P146" s="50"/>
      <c r="Q146" s="34"/>
      <c r="R146" s="60"/>
      <c r="S146" s="52" t="str">
        <f aca="false">IF(A146="","",IF(AND(OR(N146="Complete",N146="Not applicable - justified"),O146&lt;&gt;""),"Yes","No"))</f>
        <v/>
      </c>
      <c r="T146" s="52" t="str">
        <f aca="false">IF(A146="","",IF(AND(S146="No",ISNUMBER(M146),M146&lt;AsOf),"Overdue",""))</f>
        <v/>
      </c>
      <c r="U146" s="54" t="str">
        <f aca="false">IF(A146="","",IF(COUNTIFS(EXT_SUP,B146,EXT_MAND,"&lt;&gt;No",EXT_DONE,"No")&gt;0,"Not ready - "&amp;COUNTIFS(EXT_SUP,B146,EXT_MAND,"&lt;&gt;No",EXT_DONE,"No")&amp;" mandatory action(s) open",IF(SUMPRODUCT(--(COUNTIFS(EXT_SUP,B146,EXT_ITEM,L_ExitItems)=0))&gt;0,"Not ready - "&amp;SUMPRODUCT(--(COUNTIFS(EXT_SUP,B146,EXT_ITEM,L_ExitItems)=0))&amp;" checklist item(s) not yet recorded","Ready for closure review (not a formal approval)")))</f>
        <v/>
      </c>
      <c r="V146" s="54" t="str">
        <f aca="false">IF(A146="","",IF(COUNTIF(EXT_ID,A146)&gt;1,"CHECK: duplicate ID",IF(B146="","CHECK: Supplier ID missing",IF(COUNTIF(INV_ID,B146)=0,"CHECK: Supplier ID not in inventory",IF(AND(H146&lt;&gt;"",COUNTIF(INV_ID,H146)=0),"CHECK: Replacement supplier ID not in inventory",IF(AND(Q146="Closed - approved",OR(LEFT(U146,9)="Not ready",R146="")),"CHECK: closed without readiness or approval reference",IF(AND(Q146="Ready for closure review",LEFT(U146,9)="Not ready"),"CHECK: marked ready but mandatory items open","OK")))))))</f>
        <v/>
      </c>
    </row>
    <row r="147" customFormat="false" ht="15" hidden="false" customHeight="false" outlineLevel="0" collapsed="false">
      <c r="A147" s="50"/>
      <c r="B147" s="50"/>
      <c r="C147" s="59" t="str">
        <f aca="false">IF(B147="","",IFERROR(INDEX(INV_NAME,MATCH(B147,INV_ID,0)),"CHECK: Supplier ID not found"))</f>
        <v/>
      </c>
      <c r="D147" s="34"/>
      <c r="E147" s="34"/>
      <c r="F147" s="51"/>
      <c r="G147" s="34"/>
      <c r="H147" s="50"/>
      <c r="I147" s="34"/>
      <c r="J147" s="50"/>
      <c r="K147" s="34"/>
      <c r="L147" s="50"/>
      <c r="M147" s="51"/>
      <c r="N147" s="34"/>
      <c r="O147" s="34"/>
      <c r="P147" s="50"/>
      <c r="Q147" s="34"/>
      <c r="R147" s="60"/>
      <c r="S147" s="52" t="str">
        <f aca="false">IF(A147="","",IF(AND(OR(N147="Complete",N147="Not applicable - justified"),O147&lt;&gt;""),"Yes","No"))</f>
        <v/>
      </c>
      <c r="T147" s="52" t="str">
        <f aca="false">IF(A147="","",IF(AND(S147="No",ISNUMBER(M147),M147&lt;AsOf),"Overdue",""))</f>
        <v/>
      </c>
      <c r="U147" s="54" t="str">
        <f aca="false">IF(A147="","",IF(COUNTIFS(EXT_SUP,B147,EXT_MAND,"&lt;&gt;No",EXT_DONE,"No")&gt;0,"Not ready - "&amp;COUNTIFS(EXT_SUP,B147,EXT_MAND,"&lt;&gt;No",EXT_DONE,"No")&amp;" mandatory action(s) open",IF(SUMPRODUCT(--(COUNTIFS(EXT_SUP,B147,EXT_ITEM,L_ExitItems)=0))&gt;0,"Not ready - "&amp;SUMPRODUCT(--(COUNTIFS(EXT_SUP,B147,EXT_ITEM,L_ExitItems)=0))&amp;" checklist item(s) not yet recorded","Ready for closure review (not a formal approval)")))</f>
        <v/>
      </c>
      <c r="V147" s="54" t="str">
        <f aca="false">IF(A147="","",IF(COUNTIF(EXT_ID,A147)&gt;1,"CHECK: duplicate ID",IF(B147="","CHECK: Supplier ID missing",IF(COUNTIF(INV_ID,B147)=0,"CHECK: Supplier ID not in inventory",IF(AND(H147&lt;&gt;"",COUNTIF(INV_ID,H147)=0),"CHECK: Replacement supplier ID not in inventory",IF(AND(Q147="Closed - approved",OR(LEFT(U147,9)="Not ready",R147="")),"CHECK: closed without readiness or approval reference",IF(AND(Q147="Ready for closure review",LEFT(U147,9)="Not ready"),"CHECK: marked ready but mandatory items open","OK")))))))</f>
        <v/>
      </c>
    </row>
    <row r="148" customFormat="false" ht="15" hidden="false" customHeight="false" outlineLevel="0" collapsed="false">
      <c r="A148" s="50"/>
      <c r="B148" s="50"/>
      <c r="C148" s="59" t="str">
        <f aca="false">IF(B148="","",IFERROR(INDEX(INV_NAME,MATCH(B148,INV_ID,0)),"CHECK: Supplier ID not found"))</f>
        <v/>
      </c>
      <c r="D148" s="34"/>
      <c r="E148" s="34"/>
      <c r="F148" s="51"/>
      <c r="G148" s="34"/>
      <c r="H148" s="50"/>
      <c r="I148" s="34"/>
      <c r="J148" s="50"/>
      <c r="K148" s="34"/>
      <c r="L148" s="50"/>
      <c r="M148" s="51"/>
      <c r="N148" s="34"/>
      <c r="O148" s="34"/>
      <c r="P148" s="50"/>
      <c r="Q148" s="34"/>
      <c r="R148" s="60"/>
      <c r="S148" s="52" t="str">
        <f aca="false">IF(A148="","",IF(AND(OR(N148="Complete",N148="Not applicable - justified"),O148&lt;&gt;""),"Yes","No"))</f>
        <v/>
      </c>
      <c r="T148" s="52" t="str">
        <f aca="false">IF(A148="","",IF(AND(S148="No",ISNUMBER(M148),M148&lt;AsOf),"Overdue",""))</f>
        <v/>
      </c>
      <c r="U148" s="54" t="str">
        <f aca="false">IF(A148="","",IF(COUNTIFS(EXT_SUP,B148,EXT_MAND,"&lt;&gt;No",EXT_DONE,"No")&gt;0,"Not ready - "&amp;COUNTIFS(EXT_SUP,B148,EXT_MAND,"&lt;&gt;No",EXT_DONE,"No")&amp;" mandatory action(s) open",IF(SUMPRODUCT(--(COUNTIFS(EXT_SUP,B148,EXT_ITEM,L_ExitItems)=0))&gt;0,"Not ready - "&amp;SUMPRODUCT(--(COUNTIFS(EXT_SUP,B148,EXT_ITEM,L_ExitItems)=0))&amp;" checklist item(s) not yet recorded","Ready for closure review (not a formal approval)")))</f>
        <v/>
      </c>
      <c r="V148" s="54" t="str">
        <f aca="false">IF(A148="","",IF(COUNTIF(EXT_ID,A148)&gt;1,"CHECK: duplicate ID",IF(B148="","CHECK: Supplier ID missing",IF(COUNTIF(INV_ID,B148)=0,"CHECK: Supplier ID not in inventory",IF(AND(H148&lt;&gt;"",COUNTIF(INV_ID,H148)=0),"CHECK: Replacement supplier ID not in inventory",IF(AND(Q148="Closed - approved",OR(LEFT(U148,9)="Not ready",R148="")),"CHECK: closed without readiness or approval reference",IF(AND(Q148="Ready for closure review",LEFT(U148,9)="Not ready"),"CHECK: marked ready but mandatory items open","OK")))))))</f>
        <v/>
      </c>
    </row>
    <row r="149" customFormat="false" ht="15" hidden="false" customHeight="false" outlineLevel="0" collapsed="false">
      <c r="A149" s="50"/>
      <c r="B149" s="50"/>
      <c r="C149" s="59" t="str">
        <f aca="false">IF(B149="","",IFERROR(INDEX(INV_NAME,MATCH(B149,INV_ID,0)),"CHECK: Supplier ID not found"))</f>
        <v/>
      </c>
      <c r="D149" s="34"/>
      <c r="E149" s="34"/>
      <c r="F149" s="51"/>
      <c r="G149" s="34"/>
      <c r="H149" s="50"/>
      <c r="I149" s="34"/>
      <c r="J149" s="50"/>
      <c r="K149" s="34"/>
      <c r="L149" s="50"/>
      <c r="M149" s="51"/>
      <c r="N149" s="34"/>
      <c r="O149" s="34"/>
      <c r="P149" s="50"/>
      <c r="Q149" s="34"/>
      <c r="R149" s="60"/>
      <c r="S149" s="52" t="str">
        <f aca="false">IF(A149="","",IF(AND(OR(N149="Complete",N149="Not applicable - justified"),O149&lt;&gt;""),"Yes","No"))</f>
        <v/>
      </c>
      <c r="T149" s="52" t="str">
        <f aca="false">IF(A149="","",IF(AND(S149="No",ISNUMBER(M149),M149&lt;AsOf),"Overdue",""))</f>
        <v/>
      </c>
      <c r="U149" s="54" t="str">
        <f aca="false">IF(A149="","",IF(COUNTIFS(EXT_SUP,B149,EXT_MAND,"&lt;&gt;No",EXT_DONE,"No")&gt;0,"Not ready - "&amp;COUNTIFS(EXT_SUP,B149,EXT_MAND,"&lt;&gt;No",EXT_DONE,"No")&amp;" mandatory action(s) open",IF(SUMPRODUCT(--(COUNTIFS(EXT_SUP,B149,EXT_ITEM,L_ExitItems)=0))&gt;0,"Not ready - "&amp;SUMPRODUCT(--(COUNTIFS(EXT_SUP,B149,EXT_ITEM,L_ExitItems)=0))&amp;" checklist item(s) not yet recorded","Ready for closure review (not a formal approval)")))</f>
        <v/>
      </c>
      <c r="V149" s="54" t="str">
        <f aca="false">IF(A149="","",IF(COUNTIF(EXT_ID,A149)&gt;1,"CHECK: duplicate ID",IF(B149="","CHECK: Supplier ID missing",IF(COUNTIF(INV_ID,B149)=0,"CHECK: Supplier ID not in inventory",IF(AND(H149&lt;&gt;"",COUNTIF(INV_ID,H149)=0),"CHECK: Replacement supplier ID not in inventory",IF(AND(Q149="Closed - approved",OR(LEFT(U149,9)="Not ready",R149="")),"CHECK: closed without readiness or approval reference",IF(AND(Q149="Ready for closure review",LEFT(U149,9)="Not ready"),"CHECK: marked ready but mandatory items open","OK")))))))</f>
        <v/>
      </c>
    </row>
    <row r="150" customFormat="false" ht="15" hidden="false" customHeight="false" outlineLevel="0" collapsed="false">
      <c r="A150" s="50"/>
      <c r="B150" s="50"/>
      <c r="C150" s="59" t="str">
        <f aca="false">IF(B150="","",IFERROR(INDEX(INV_NAME,MATCH(B150,INV_ID,0)),"CHECK: Supplier ID not found"))</f>
        <v/>
      </c>
      <c r="D150" s="34"/>
      <c r="E150" s="34"/>
      <c r="F150" s="51"/>
      <c r="G150" s="34"/>
      <c r="H150" s="50"/>
      <c r="I150" s="34"/>
      <c r="J150" s="50"/>
      <c r="K150" s="34"/>
      <c r="L150" s="50"/>
      <c r="M150" s="51"/>
      <c r="N150" s="34"/>
      <c r="O150" s="34"/>
      <c r="P150" s="50"/>
      <c r="Q150" s="34"/>
      <c r="R150" s="60"/>
      <c r="S150" s="52" t="str">
        <f aca="false">IF(A150="","",IF(AND(OR(N150="Complete",N150="Not applicable - justified"),O150&lt;&gt;""),"Yes","No"))</f>
        <v/>
      </c>
      <c r="T150" s="52" t="str">
        <f aca="false">IF(A150="","",IF(AND(S150="No",ISNUMBER(M150),M150&lt;AsOf),"Overdue",""))</f>
        <v/>
      </c>
      <c r="U150" s="54" t="str">
        <f aca="false">IF(A150="","",IF(COUNTIFS(EXT_SUP,B150,EXT_MAND,"&lt;&gt;No",EXT_DONE,"No")&gt;0,"Not ready - "&amp;COUNTIFS(EXT_SUP,B150,EXT_MAND,"&lt;&gt;No",EXT_DONE,"No")&amp;" mandatory action(s) open",IF(SUMPRODUCT(--(COUNTIFS(EXT_SUP,B150,EXT_ITEM,L_ExitItems)=0))&gt;0,"Not ready - "&amp;SUMPRODUCT(--(COUNTIFS(EXT_SUP,B150,EXT_ITEM,L_ExitItems)=0))&amp;" checklist item(s) not yet recorded","Ready for closure review (not a formal approval)")))</f>
        <v/>
      </c>
      <c r="V150" s="54" t="str">
        <f aca="false">IF(A150="","",IF(COUNTIF(EXT_ID,A150)&gt;1,"CHECK: duplicate ID",IF(B150="","CHECK: Supplier ID missing",IF(COUNTIF(INV_ID,B150)=0,"CHECK: Supplier ID not in inventory",IF(AND(H150&lt;&gt;"",COUNTIF(INV_ID,H150)=0),"CHECK: Replacement supplier ID not in inventory",IF(AND(Q150="Closed - approved",OR(LEFT(U150,9)="Not ready",R150="")),"CHECK: closed without readiness or approval reference",IF(AND(Q150="Ready for closure review",LEFT(U150,9)="Not ready"),"CHECK: marked ready but mandatory items open","OK")))))))</f>
        <v/>
      </c>
    </row>
    <row r="151" customFormat="false" ht="15" hidden="false" customHeight="false" outlineLevel="0" collapsed="false">
      <c r="A151" s="50"/>
      <c r="B151" s="50"/>
      <c r="C151" s="59" t="str">
        <f aca="false">IF(B151="","",IFERROR(INDEX(INV_NAME,MATCH(B151,INV_ID,0)),"CHECK: Supplier ID not found"))</f>
        <v/>
      </c>
      <c r="D151" s="34"/>
      <c r="E151" s="34"/>
      <c r="F151" s="51"/>
      <c r="G151" s="34"/>
      <c r="H151" s="50"/>
      <c r="I151" s="34"/>
      <c r="J151" s="50"/>
      <c r="K151" s="34"/>
      <c r="L151" s="50"/>
      <c r="M151" s="51"/>
      <c r="N151" s="34"/>
      <c r="O151" s="34"/>
      <c r="P151" s="50"/>
      <c r="Q151" s="34"/>
      <c r="R151" s="60"/>
      <c r="S151" s="52" t="str">
        <f aca="false">IF(A151="","",IF(AND(OR(N151="Complete",N151="Not applicable - justified"),O151&lt;&gt;""),"Yes","No"))</f>
        <v/>
      </c>
      <c r="T151" s="52" t="str">
        <f aca="false">IF(A151="","",IF(AND(S151="No",ISNUMBER(M151),M151&lt;AsOf),"Overdue",""))</f>
        <v/>
      </c>
      <c r="U151" s="54" t="str">
        <f aca="false">IF(A151="","",IF(COUNTIFS(EXT_SUP,B151,EXT_MAND,"&lt;&gt;No",EXT_DONE,"No")&gt;0,"Not ready - "&amp;COUNTIFS(EXT_SUP,B151,EXT_MAND,"&lt;&gt;No",EXT_DONE,"No")&amp;" mandatory action(s) open",IF(SUMPRODUCT(--(COUNTIFS(EXT_SUP,B151,EXT_ITEM,L_ExitItems)=0))&gt;0,"Not ready - "&amp;SUMPRODUCT(--(COUNTIFS(EXT_SUP,B151,EXT_ITEM,L_ExitItems)=0))&amp;" checklist item(s) not yet recorded","Ready for closure review (not a formal approval)")))</f>
        <v/>
      </c>
      <c r="V151" s="54" t="str">
        <f aca="false">IF(A151="","",IF(COUNTIF(EXT_ID,A151)&gt;1,"CHECK: duplicate ID",IF(B151="","CHECK: Supplier ID missing",IF(COUNTIF(INV_ID,B151)=0,"CHECK: Supplier ID not in inventory",IF(AND(H151&lt;&gt;"",COUNTIF(INV_ID,H151)=0),"CHECK: Replacement supplier ID not in inventory",IF(AND(Q151="Closed - approved",OR(LEFT(U151,9)="Not ready",R151="")),"CHECK: closed without readiness or approval reference",IF(AND(Q151="Ready for closure review",LEFT(U151,9)="Not ready"),"CHECK: marked ready but mandatory items open","OK")))))))</f>
        <v/>
      </c>
    </row>
    <row r="152" customFormat="false" ht="15" hidden="false" customHeight="false" outlineLevel="0" collapsed="false">
      <c r="A152" s="50"/>
      <c r="B152" s="50"/>
      <c r="C152" s="59" t="str">
        <f aca="false">IF(B152="","",IFERROR(INDEX(INV_NAME,MATCH(B152,INV_ID,0)),"CHECK: Supplier ID not found"))</f>
        <v/>
      </c>
      <c r="D152" s="34"/>
      <c r="E152" s="34"/>
      <c r="F152" s="51"/>
      <c r="G152" s="34"/>
      <c r="H152" s="50"/>
      <c r="I152" s="34"/>
      <c r="J152" s="50"/>
      <c r="K152" s="34"/>
      <c r="L152" s="50"/>
      <c r="M152" s="51"/>
      <c r="N152" s="34"/>
      <c r="O152" s="34"/>
      <c r="P152" s="50"/>
      <c r="Q152" s="34"/>
      <c r="R152" s="60"/>
      <c r="S152" s="52" t="str">
        <f aca="false">IF(A152="","",IF(AND(OR(N152="Complete",N152="Not applicable - justified"),O152&lt;&gt;""),"Yes","No"))</f>
        <v/>
      </c>
      <c r="T152" s="52" t="str">
        <f aca="false">IF(A152="","",IF(AND(S152="No",ISNUMBER(M152),M152&lt;AsOf),"Overdue",""))</f>
        <v/>
      </c>
      <c r="U152" s="54" t="str">
        <f aca="false">IF(A152="","",IF(COUNTIFS(EXT_SUP,B152,EXT_MAND,"&lt;&gt;No",EXT_DONE,"No")&gt;0,"Not ready - "&amp;COUNTIFS(EXT_SUP,B152,EXT_MAND,"&lt;&gt;No",EXT_DONE,"No")&amp;" mandatory action(s) open",IF(SUMPRODUCT(--(COUNTIFS(EXT_SUP,B152,EXT_ITEM,L_ExitItems)=0))&gt;0,"Not ready - "&amp;SUMPRODUCT(--(COUNTIFS(EXT_SUP,B152,EXT_ITEM,L_ExitItems)=0))&amp;" checklist item(s) not yet recorded","Ready for closure review (not a formal approval)")))</f>
        <v/>
      </c>
      <c r="V152" s="54" t="str">
        <f aca="false">IF(A152="","",IF(COUNTIF(EXT_ID,A152)&gt;1,"CHECK: duplicate ID",IF(B152="","CHECK: Supplier ID missing",IF(COUNTIF(INV_ID,B152)=0,"CHECK: Supplier ID not in inventory",IF(AND(H152&lt;&gt;"",COUNTIF(INV_ID,H152)=0),"CHECK: Replacement supplier ID not in inventory",IF(AND(Q152="Closed - approved",OR(LEFT(U152,9)="Not ready",R152="")),"CHECK: closed without readiness or approval reference",IF(AND(Q152="Ready for closure review",LEFT(U152,9)="Not ready"),"CHECK: marked ready but mandatory items open","OK")))))))</f>
        <v/>
      </c>
    </row>
    <row r="153" customFormat="false" ht="15" hidden="false" customHeight="false" outlineLevel="0" collapsed="false">
      <c r="A153" s="50"/>
      <c r="B153" s="50"/>
      <c r="C153" s="59" t="str">
        <f aca="false">IF(B153="","",IFERROR(INDEX(INV_NAME,MATCH(B153,INV_ID,0)),"CHECK: Supplier ID not found"))</f>
        <v/>
      </c>
      <c r="D153" s="34"/>
      <c r="E153" s="34"/>
      <c r="F153" s="51"/>
      <c r="G153" s="34"/>
      <c r="H153" s="50"/>
      <c r="I153" s="34"/>
      <c r="J153" s="50"/>
      <c r="K153" s="34"/>
      <c r="L153" s="50"/>
      <c r="M153" s="51"/>
      <c r="N153" s="34"/>
      <c r="O153" s="34"/>
      <c r="P153" s="50"/>
      <c r="Q153" s="34"/>
      <c r="R153" s="60"/>
      <c r="S153" s="52" t="str">
        <f aca="false">IF(A153="","",IF(AND(OR(N153="Complete",N153="Not applicable - justified"),O153&lt;&gt;""),"Yes","No"))</f>
        <v/>
      </c>
      <c r="T153" s="52" t="str">
        <f aca="false">IF(A153="","",IF(AND(S153="No",ISNUMBER(M153),M153&lt;AsOf),"Overdue",""))</f>
        <v/>
      </c>
      <c r="U153" s="54" t="str">
        <f aca="false">IF(A153="","",IF(COUNTIFS(EXT_SUP,B153,EXT_MAND,"&lt;&gt;No",EXT_DONE,"No")&gt;0,"Not ready - "&amp;COUNTIFS(EXT_SUP,B153,EXT_MAND,"&lt;&gt;No",EXT_DONE,"No")&amp;" mandatory action(s) open",IF(SUMPRODUCT(--(COUNTIFS(EXT_SUP,B153,EXT_ITEM,L_ExitItems)=0))&gt;0,"Not ready - "&amp;SUMPRODUCT(--(COUNTIFS(EXT_SUP,B153,EXT_ITEM,L_ExitItems)=0))&amp;" checklist item(s) not yet recorded","Ready for closure review (not a formal approval)")))</f>
        <v/>
      </c>
      <c r="V153" s="54" t="str">
        <f aca="false">IF(A153="","",IF(COUNTIF(EXT_ID,A153)&gt;1,"CHECK: duplicate ID",IF(B153="","CHECK: Supplier ID missing",IF(COUNTIF(INV_ID,B153)=0,"CHECK: Supplier ID not in inventory",IF(AND(H153&lt;&gt;"",COUNTIF(INV_ID,H153)=0),"CHECK: Replacement supplier ID not in inventory",IF(AND(Q153="Closed - approved",OR(LEFT(U153,9)="Not ready",R153="")),"CHECK: closed without readiness or approval reference",IF(AND(Q153="Ready for closure review",LEFT(U153,9)="Not ready"),"CHECK: marked ready but mandatory items open","OK")))))))</f>
        <v/>
      </c>
    </row>
    <row r="154" customFormat="false" ht="15" hidden="false" customHeight="false" outlineLevel="0" collapsed="false">
      <c r="A154" s="50"/>
      <c r="B154" s="50"/>
      <c r="C154" s="59" t="str">
        <f aca="false">IF(B154="","",IFERROR(INDEX(INV_NAME,MATCH(B154,INV_ID,0)),"CHECK: Supplier ID not found"))</f>
        <v/>
      </c>
      <c r="D154" s="34"/>
      <c r="E154" s="34"/>
      <c r="F154" s="51"/>
      <c r="G154" s="34"/>
      <c r="H154" s="50"/>
      <c r="I154" s="34"/>
      <c r="J154" s="50"/>
      <c r="K154" s="34"/>
      <c r="L154" s="50"/>
      <c r="M154" s="51"/>
      <c r="N154" s="34"/>
      <c r="O154" s="34"/>
      <c r="P154" s="50"/>
      <c r="Q154" s="34"/>
      <c r="R154" s="60"/>
      <c r="S154" s="52" t="str">
        <f aca="false">IF(A154="","",IF(AND(OR(N154="Complete",N154="Not applicable - justified"),O154&lt;&gt;""),"Yes","No"))</f>
        <v/>
      </c>
      <c r="T154" s="52" t="str">
        <f aca="false">IF(A154="","",IF(AND(S154="No",ISNUMBER(M154),M154&lt;AsOf),"Overdue",""))</f>
        <v/>
      </c>
      <c r="U154" s="54" t="str">
        <f aca="false">IF(A154="","",IF(COUNTIFS(EXT_SUP,B154,EXT_MAND,"&lt;&gt;No",EXT_DONE,"No")&gt;0,"Not ready - "&amp;COUNTIFS(EXT_SUP,B154,EXT_MAND,"&lt;&gt;No",EXT_DONE,"No")&amp;" mandatory action(s) open",IF(SUMPRODUCT(--(COUNTIFS(EXT_SUP,B154,EXT_ITEM,L_ExitItems)=0))&gt;0,"Not ready - "&amp;SUMPRODUCT(--(COUNTIFS(EXT_SUP,B154,EXT_ITEM,L_ExitItems)=0))&amp;" checklist item(s) not yet recorded","Ready for closure review (not a formal approval)")))</f>
        <v/>
      </c>
      <c r="V154" s="54" t="str">
        <f aca="false">IF(A154="","",IF(COUNTIF(EXT_ID,A154)&gt;1,"CHECK: duplicate ID",IF(B154="","CHECK: Supplier ID missing",IF(COUNTIF(INV_ID,B154)=0,"CHECK: Supplier ID not in inventory",IF(AND(H154&lt;&gt;"",COUNTIF(INV_ID,H154)=0),"CHECK: Replacement supplier ID not in inventory",IF(AND(Q154="Closed - approved",OR(LEFT(U154,9)="Not ready",R154="")),"CHECK: closed without readiness or approval reference",IF(AND(Q154="Ready for closure review",LEFT(U154,9)="Not ready"),"CHECK: marked ready but mandatory items open","OK")))))))</f>
        <v/>
      </c>
    </row>
    <row r="155" customFormat="false" ht="15" hidden="false" customHeight="false" outlineLevel="0" collapsed="false">
      <c r="A155" s="50"/>
      <c r="B155" s="50"/>
      <c r="C155" s="59" t="str">
        <f aca="false">IF(B155="","",IFERROR(INDEX(INV_NAME,MATCH(B155,INV_ID,0)),"CHECK: Supplier ID not found"))</f>
        <v/>
      </c>
      <c r="D155" s="34"/>
      <c r="E155" s="34"/>
      <c r="F155" s="51"/>
      <c r="G155" s="34"/>
      <c r="H155" s="50"/>
      <c r="I155" s="34"/>
      <c r="J155" s="50"/>
      <c r="K155" s="34"/>
      <c r="L155" s="50"/>
      <c r="M155" s="51"/>
      <c r="N155" s="34"/>
      <c r="O155" s="34"/>
      <c r="P155" s="50"/>
      <c r="Q155" s="34"/>
      <c r="R155" s="60"/>
      <c r="S155" s="52" t="str">
        <f aca="false">IF(A155="","",IF(AND(OR(N155="Complete",N155="Not applicable - justified"),O155&lt;&gt;""),"Yes","No"))</f>
        <v/>
      </c>
      <c r="T155" s="52" t="str">
        <f aca="false">IF(A155="","",IF(AND(S155="No",ISNUMBER(M155),M155&lt;AsOf),"Overdue",""))</f>
        <v/>
      </c>
      <c r="U155" s="54" t="str">
        <f aca="false">IF(A155="","",IF(COUNTIFS(EXT_SUP,B155,EXT_MAND,"&lt;&gt;No",EXT_DONE,"No")&gt;0,"Not ready - "&amp;COUNTIFS(EXT_SUP,B155,EXT_MAND,"&lt;&gt;No",EXT_DONE,"No")&amp;" mandatory action(s) open",IF(SUMPRODUCT(--(COUNTIFS(EXT_SUP,B155,EXT_ITEM,L_ExitItems)=0))&gt;0,"Not ready - "&amp;SUMPRODUCT(--(COUNTIFS(EXT_SUP,B155,EXT_ITEM,L_ExitItems)=0))&amp;" checklist item(s) not yet recorded","Ready for closure review (not a formal approval)")))</f>
        <v/>
      </c>
      <c r="V155" s="54" t="str">
        <f aca="false">IF(A155="","",IF(COUNTIF(EXT_ID,A155)&gt;1,"CHECK: duplicate ID",IF(B155="","CHECK: Supplier ID missing",IF(COUNTIF(INV_ID,B155)=0,"CHECK: Supplier ID not in inventory",IF(AND(H155&lt;&gt;"",COUNTIF(INV_ID,H155)=0),"CHECK: Replacement supplier ID not in inventory",IF(AND(Q155="Closed - approved",OR(LEFT(U155,9)="Not ready",R155="")),"CHECK: closed without readiness or approval reference",IF(AND(Q155="Ready for closure review",LEFT(U155,9)="Not ready"),"CHECK: marked ready but mandatory items open","OK")))))))</f>
        <v/>
      </c>
    </row>
    <row r="156" customFormat="false" ht="15" hidden="false" customHeight="false" outlineLevel="0" collapsed="false">
      <c r="A156" s="50"/>
      <c r="B156" s="50"/>
      <c r="C156" s="59" t="str">
        <f aca="false">IF(B156="","",IFERROR(INDEX(INV_NAME,MATCH(B156,INV_ID,0)),"CHECK: Supplier ID not found"))</f>
        <v/>
      </c>
      <c r="D156" s="34"/>
      <c r="E156" s="34"/>
      <c r="F156" s="51"/>
      <c r="G156" s="34"/>
      <c r="H156" s="50"/>
      <c r="I156" s="34"/>
      <c r="J156" s="50"/>
      <c r="K156" s="34"/>
      <c r="L156" s="50"/>
      <c r="M156" s="51"/>
      <c r="N156" s="34"/>
      <c r="O156" s="34"/>
      <c r="P156" s="50"/>
      <c r="Q156" s="34"/>
      <c r="R156" s="60"/>
      <c r="S156" s="52" t="str">
        <f aca="false">IF(A156="","",IF(AND(OR(N156="Complete",N156="Not applicable - justified"),O156&lt;&gt;""),"Yes","No"))</f>
        <v/>
      </c>
      <c r="T156" s="52" t="str">
        <f aca="false">IF(A156="","",IF(AND(S156="No",ISNUMBER(M156),M156&lt;AsOf),"Overdue",""))</f>
        <v/>
      </c>
      <c r="U156" s="54" t="str">
        <f aca="false">IF(A156="","",IF(COUNTIFS(EXT_SUP,B156,EXT_MAND,"&lt;&gt;No",EXT_DONE,"No")&gt;0,"Not ready - "&amp;COUNTIFS(EXT_SUP,B156,EXT_MAND,"&lt;&gt;No",EXT_DONE,"No")&amp;" mandatory action(s) open",IF(SUMPRODUCT(--(COUNTIFS(EXT_SUP,B156,EXT_ITEM,L_ExitItems)=0))&gt;0,"Not ready - "&amp;SUMPRODUCT(--(COUNTIFS(EXT_SUP,B156,EXT_ITEM,L_ExitItems)=0))&amp;" checklist item(s) not yet recorded","Ready for closure review (not a formal approval)")))</f>
        <v/>
      </c>
      <c r="V156" s="54" t="str">
        <f aca="false">IF(A156="","",IF(COUNTIF(EXT_ID,A156)&gt;1,"CHECK: duplicate ID",IF(B156="","CHECK: Supplier ID missing",IF(COUNTIF(INV_ID,B156)=0,"CHECK: Supplier ID not in inventory",IF(AND(H156&lt;&gt;"",COUNTIF(INV_ID,H156)=0),"CHECK: Replacement supplier ID not in inventory",IF(AND(Q156="Closed - approved",OR(LEFT(U156,9)="Not ready",R156="")),"CHECK: closed without readiness or approval reference",IF(AND(Q156="Ready for closure review",LEFT(U156,9)="Not ready"),"CHECK: marked ready but mandatory items open","OK")))))))</f>
        <v/>
      </c>
    </row>
  </sheetData>
  <sheetProtection sheet="true" formatColumns="false" formatRows="false" sort="false" autoFilter="false"/>
  <conditionalFormatting sqref="S7:S156">
    <cfRule type="expression" priority="2" aboveAverage="0" equalAverage="0" bottom="0" percent="0" rank="0" text="" dxfId="0">
      <formula>OR(ISNUMBER(SEARCH("Above appetite",S7)),ISNUMBER(SEARCH("Overdue",S7)),ISNUMBER(SEARCH("Expired",S7)),ISNUMBER(SEARCH("Breach",S7)),ISNUMBER(SEARCH("CHECK",S7)),ISNUMBER(SEARCH("Not ready",S7)),ISNUMBER(SEARCH("REMAINS",S7)),ISNUMBER(SEARCH("Failed",S7)),ISNUMBER(SEARCH("Cannot assess",S7)))</formula>
    </cfRule>
    <cfRule type="expression" priority="3" aboveAverage="0" equalAverage="0" bottom="0" percent="0" rank="0" text="" dxfId="21">
      <formula>OR(ISNUMBER(SEARCH("Incomplete",S7)),ISNUMBER(SEARCH("Pending",S7)),ISNUMBER(SEARCH("Approaching",S7)),ISNUMBER(SEARCH("insufficient",S7)),ISNUMBER(SEARCH("Awaiting",S7)),ISNUMBER(SEARCH("Review due",S7)),ISNUMBER(SEARCH("Not configured",S7)),ISNUMBER(SEARCH("Not classified",S7)),ISNUMBER(SEARCH("Proposed",S7)),ISNUMBER(SEARCH("Verification",S7)),ISNUMBER(SEARCH("Scope limitation",S7)),ISNUMBER(SEARCH("Follow-up",S7)),ISNUMBER(SEARCH("Open gap",S7)),ISNUMBER(SEARCH("Delivered - verification",S7)),ISNUMBER(SEARCH("Historical",S7)),ISNUMBER(SEARCH("Not scheduled",S7)),ISNUMBER(SEARCH("Not determined",S7)),ISNUMBER(SEARCH("Decision record",S7)),ISNUMBER(SEARCH("Due soon",S7)),ISNUMBER(SEARCH("Not reviewed",S7)),ISNUMBER(SEARCH("Tier not",S7)),ISNUMBER(SEARCH("No decision",S7)),ISNUMBER(SEARCH("Superseded",S7)),ISNUMBER(SEARCH("Optional",S7)),ISNUMBER(SEARCH("legal review",S7)),ISNUMBER(SEARCH("No treatment",S7)),ISNUMBER(SEARCH("not recorded",S7)),ISNUMBER(SEARCH("consider",S7)),ISNUMBER(SEARCH("Not set",S7)),ISNUMBER(SEARCH("Not started",S7)),ISNUMBER(SEARCH("No expiry",S7)),ISNUMBER(SEARCH("No KRI",S7)),ISNUMBER(SEARCH("no reassessment",S7)),ISNUMBER(SEARCH("Applicability",S7)),ISNUMBER(SEARCH("Not current",S7)),ISNUMBER(SEARCH("assess relevance",S7)))</formula>
    </cfRule>
    <cfRule type="expression" priority="4" aboveAverage="0" equalAverage="0" bottom="0" percent="0" rank="0" text="" dxfId="22">
      <formula>OR(LEFT(S7,2)="OK",LEFT(S7,8)="Complete",LEFT(S7,7)="Current",LEFT(S7,10)="Authorised",LEFT(S7,6)="Within",LEFT(S7,11)="On schedule",LEFT(S7,17)="Ready for closure",LEFT(S7,17)="Evidence reviewed",LEFT(S7,19)="Decision referenced",LEFT(S7,27)="Reassessment event recorded",LEFT(S7,14)="Period current",LEFT(S7,17)="Gap dispositioned",LEFT(S7,17)="Reviewed - no gap",LEFT(S7,11)="Recommended",LEFT(S7,17)="Closed - verified")</formula>
    </cfRule>
  </conditionalFormatting>
  <conditionalFormatting sqref="T7:T156">
    <cfRule type="expression" priority="5" aboveAverage="0" equalAverage="0" bottom="0" percent="0" rank="0" text="" dxfId="0">
      <formula>OR(ISNUMBER(SEARCH("Above appetite",T7)),ISNUMBER(SEARCH("Overdue",T7)),ISNUMBER(SEARCH("Expired",T7)),ISNUMBER(SEARCH("Breach",T7)),ISNUMBER(SEARCH("CHECK",T7)),ISNUMBER(SEARCH("Not ready",T7)),ISNUMBER(SEARCH("REMAINS",T7)),ISNUMBER(SEARCH("Failed",T7)),ISNUMBER(SEARCH("Cannot assess",T7)))</formula>
    </cfRule>
    <cfRule type="expression" priority="6" aboveAverage="0" equalAverage="0" bottom="0" percent="0" rank="0" text="" dxfId="21">
      <formula>OR(ISNUMBER(SEARCH("Incomplete",T7)),ISNUMBER(SEARCH("Pending",T7)),ISNUMBER(SEARCH("Approaching",T7)),ISNUMBER(SEARCH("insufficient",T7)),ISNUMBER(SEARCH("Awaiting",T7)),ISNUMBER(SEARCH("Review due",T7)),ISNUMBER(SEARCH("Not configured",T7)),ISNUMBER(SEARCH("Not classified",T7)),ISNUMBER(SEARCH("Proposed",T7)),ISNUMBER(SEARCH("Verification",T7)),ISNUMBER(SEARCH("Scope limitation",T7)),ISNUMBER(SEARCH("Follow-up",T7)),ISNUMBER(SEARCH("Open gap",T7)),ISNUMBER(SEARCH("Delivered - verification",T7)),ISNUMBER(SEARCH("Historical",T7)),ISNUMBER(SEARCH("Not scheduled",T7)),ISNUMBER(SEARCH("Not determined",T7)),ISNUMBER(SEARCH("Decision record",T7)),ISNUMBER(SEARCH("Due soon",T7)),ISNUMBER(SEARCH("Not reviewed",T7)),ISNUMBER(SEARCH("Tier not",T7)),ISNUMBER(SEARCH("No decision",T7)),ISNUMBER(SEARCH("Superseded",T7)),ISNUMBER(SEARCH("Optional",T7)),ISNUMBER(SEARCH("legal review",T7)),ISNUMBER(SEARCH("No treatment",T7)),ISNUMBER(SEARCH("not recorded",T7)),ISNUMBER(SEARCH("consider",T7)),ISNUMBER(SEARCH("Not set",T7)),ISNUMBER(SEARCH("Not started",T7)),ISNUMBER(SEARCH("No expiry",T7)),ISNUMBER(SEARCH("No KRI",T7)),ISNUMBER(SEARCH("no reassessment",T7)),ISNUMBER(SEARCH("Applicability",T7)),ISNUMBER(SEARCH("Not current",T7)),ISNUMBER(SEARCH("assess relevance",T7)))</formula>
    </cfRule>
    <cfRule type="expression" priority="7" aboveAverage="0" equalAverage="0" bottom="0" percent="0" rank="0" text="" dxfId="22">
      <formula>OR(LEFT(T7,2)="OK",LEFT(T7,8)="Complete",LEFT(T7,7)="Current",LEFT(T7,10)="Authorised",LEFT(T7,6)="Within",LEFT(T7,11)="On schedule",LEFT(T7,17)="Ready for closure",LEFT(T7,17)="Evidence reviewed",LEFT(T7,19)="Decision referenced",LEFT(T7,27)="Reassessment event recorded",LEFT(T7,14)="Period current",LEFT(T7,17)="Gap dispositioned",LEFT(T7,17)="Reviewed - no gap",LEFT(T7,11)="Recommended",LEFT(T7,17)="Closed - verified")</formula>
    </cfRule>
  </conditionalFormatting>
  <conditionalFormatting sqref="U7:U156">
    <cfRule type="expression" priority="8" aboveAverage="0" equalAverage="0" bottom="0" percent="0" rank="0" text="" dxfId="0">
      <formula>OR(ISNUMBER(SEARCH("Above appetite",U7)),ISNUMBER(SEARCH("Overdue",U7)),ISNUMBER(SEARCH("Expired",U7)),ISNUMBER(SEARCH("Breach",U7)),ISNUMBER(SEARCH("CHECK",U7)),ISNUMBER(SEARCH("Not ready",U7)),ISNUMBER(SEARCH("REMAINS",U7)),ISNUMBER(SEARCH("Failed",U7)),ISNUMBER(SEARCH("Cannot assess",U7)))</formula>
    </cfRule>
    <cfRule type="expression" priority="9" aboveAverage="0" equalAverage="0" bottom="0" percent="0" rank="0" text="" dxfId="21">
      <formula>OR(ISNUMBER(SEARCH("Incomplete",U7)),ISNUMBER(SEARCH("Pending",U7)),ISNUMBER(SEARCH("Approaching",U7)),ISNUMBER(SEARCH("insufficient",U7)),ISNUMBER(SEARCH("Awaiting",U7)),ISNUMBER(SEARCH("Review due",U7)),ISNUMBER(SEARCH("Not configured",U7)),ISNUMBER(SEARCH("Not classified",U7)),ISNUMBER(SEARCH("Proposed",U7)),ISNUMBER(SEARCH("Verification",U7)),ISNUMBER(SEARCH("Scope limitation",U7)),ISNUMBER(SEARCH("Follow-up",U7)),ISNUMBER(SEARCH("Open gap",U7)),ISNUMBER(SEARCH("Delivered - verification",U7)),ISNUMBER(SEARCH("Historical",U7)),ISNUMBER(SEARCH("Not scheduled",U7)),ISNUMBER(SEARCH("Not determined",U7)),ISNUMBER(SEARCH("Decision record",U7)),ISNUMBER(SEARCH("Due soon",U7)),ISNUMBER(SEARCH("Not reviewed",U7)),ISNUMBER(SEARCH("Tier not",U7)),ISNUMBER(SEARCH("No decision",U7)),ISNUMBER(SEARCH("Superseded",U7)),ISNUMBER(SEARCH("Optional",U7)),ISNUMBER(SEARCH("legal review",U7)),ISNUMBER(SEARCH("No treatment",U7)),ISNUMBER(SEARCH("not recorded",U7)),ISNUMBER(SEARCH("consider",U7)),ISNUMBER(SEARCH("Not set",U7)),ISNUMBER(SEARCH("Not started",U7)),ISNUMBER(SEARCH("No expiry",U7)),ISNUMBER(SEARCH("No KRI",U7)),ISNUMBER(SEARCH("no reassessment",U7)),ISNUMBER(SEARCH("Applicability",U7)),ISNUMBER(SEARCH("Not current",U7)),ISNUMBER(SEARCH("assess relevance",U7)))</formula>
    </cfRule>
    <cfRule type="expression" priority="10" aboveAverage="0" equalAverage="0" bottom="0" percent="0" rank="0" text="" dxfId="22">
      <formula>OR(LEFT(U7,2)="OK",LEFT(U7,8)="Complete",LEFT(U7,7)="Current",LEFT(U7,10)="Authorised",LEFT(U7,6)="Within",LEFT(U7,11)="On schedule",LEFT(U7,17)="Ready for closure",LEFT(U7,17)="Evidence reviewed",LEFT(U7,19)="Decision referenced",LEFT(U7,27)="Reassessment event recorded",LEFT(U7,14)="Period current",LEFT(U7,17)="Gap dispositioned",LEFT(U7,17)="Reviewed - no gap",LEFT(U7,11)="Recommended",LEFT(U7,17)="Closed - verified")</formula>
    </cfRule>
  </conditionalFormatting>
  <conditionalFormatting sqref="V7:V156">
    <cfRule type="expression" priority="11" aboveAverage="0" equalAverage="0" bottom="0" percent="0" rank="0" text="" dxfId="0">
      <formula>OR(ISNUMBER(SEARCH("Above appetite",V7)),ISNUMBER(SEARCH("Overdue",V7)),ISNUMBER(SEARCH("Expired",V7)),ISNUMBER(SEARCH("Breach",V7)),ISNUMBER(SEARCH("CHECK",V7)),ISNUMBER(SEARCH("Not ready",V7)),ISNUMBER(SEARCH("REMAINS",V7)),ISNUMBER(SEARCH("Failed",V7)),ISNUMBER(SEARCH("Cannot assess",V7)))</formula>
    </cfRule>
    <cfRule type="expression" priority="12" aboveAverage="0" equalAverage="0" bottom="0" percent="0" rank="0" text="" dxfId="21">
      <formula>OR(ISNUMBER(SEARCH("Incomplete",V7)),ISNUMBER(SEARCH("Pending",V7)),ISNUMBER(SEARCH("Approaching",V7)),ISNUMBER(SEARCH("insufficient",V7)),ISNUMBER(SEARCH("Awaiting",V7)),ISNUMBER(SEARCH("Review due",V7)),ISNUMBER(SEARCH("Not configured",V7)),ISNUMBER(SEARCH("Not classified",V7)),ISNUMBER(SEARCH("Proposed",V7)),ISNUMBER(SEARCH("Verification",V7)),ISNUMBER(SEARCH("Scope limitation",V7)),ISNUMBER(SEARCH("Follow-up",V7)),ISNUMBER(SEARCH("Open gap",V7)),ISNUMBER(SEARCH("Delivered - verification",V7)),ISNUMBER(SEARCH("Historical",V7)),ISNUMBER(SEARCH("Not scheduled",V7)),ISNUMBER(SEARCH("Not determined",V7)),ISNUMBER(SEARCH("Decision record",V7)),ISNUMBER(SEARCH("Due soon",V7)),ISNUMBER(SEARCH("Not reviewed",V7)),ISNUMBER(SEARCH("Tier not",V7)),ISNUMBER(SEARCH("No decision",V7)),ISNUMBER(SEARCH("Superseded",V7)),ISNUMBER(SEARCH("Optional",V7)),ISNUMBER(SEARCH("legal review",V7)),ISNUMBER(SEARCH("No treatment",V7)),ISNUMBER(SEARCH("not recorded",V7)),ISNUMBER(SEARCH("consider",V7)),ISNUMBER(SEARCH("Not set",V7)),ISNUMBER(SEARCH("Not started",V7)),ISNUMBER(SEARCH("No expiry",V7)),ISNUMBER(SEARCH("No KRI",V7)),ISNUMBER(SEARCH("no reassessment",V7)),ISNUMBER(SEARCH("Applicability",V7)),ISNUMBER(SEARCH("Not current",V7)),ISNUMBER(SEARCH("assess relevance",V7)))</formula>
    </cfRule>
    <cfRule type="expression" priority="13" aboveAverage="0" equalAverage="0" bottom="0" percent="0" rank="0" text="" dxfId="22">
      <formula>OR(LEFT(V7,2)="OK",LEFT(V7,8)="Complete",LEFT(V7,7)="Current",LEFT(V7,10)="Authorised",LEFT(V7,6)="Within",LEFT(V7,11)="On schedule",LEFT(V7,17)="Ready for closure",LEFT(V7,17)="Evidence reviewed",LEFT(V7,19)="Decision referenced",LEFT(V7,27)="Reassessment event recorded",LEFT(V7,14)="Period current",LEFT(V7,17)="Gap dispositioned",LEFT(V7,17)="Reviewed - no gap",LEFT(V7,11)="Recommended",LEFT(V7,17)="Closed - verified")</formula>
    </cfRule>
  </conditionalFormatting>
  <conditionalFormatting sqref="A7:A156">
    <cfRule type="expression" priority="14" aboveAverage="0" equalAverage="0" bottom="0" percent="0" rank="0" text="" dxfId="0">
      <formula>AND(A7&lt;&gt;"",COUNTIF($A$7:$A$156,A7)&gt;1)</formula>
    </cfRule>
  </conditionalFormatting>
  <dataValidations count="9">
    <dataValidation allowBlank="true" error="Enter a valid date (on or after 1 Jan 2000)." errorStyle="stop" errorTitle="Invalid date" operator="greaterThanOrEqual" showDropDown="false" showErrorMessage="true" showInputMessage="false" sqref="F7:F156 M7:M156" type="date">
      <formula1>36526</formula1>
      <formula2>0</formula2>
    </dataValidation>
    <dataValidation allowBlank="true" error="Choose a value from the list (controlled vocabulary or an existing ID)." errorStyle="stop" errorTitle="Invalid entry" operator="between" showDropDown="false" showErrorMessage="true" showInputMessage="false" sqref="B7:B156" type="list">
      <formula1>INV_ID</formula1>
      <formula2>0</formula2>
    </dataValidation>
    <dataValidation allowBlank="true" error="Choose a value from the list (controlled vocabulary or an existing ID)." errorStyle="stop" errorTitle="Invalid entry" operator="between" showDropDown="false" showErrorMessage="true" showInputMessage="false" sqref="E7:E156" type="list">
      <formula1>L_ExitType</formula1>
      <formula2>0</formula2>
    </dataValidation>
    <dataValidation allowBlank="true" error="Choose a value from the list (controlled vocabulary or an existing ID)." errorStyle="stop" errorTitle="Invalid entry" operator="between" showDropDown="false" showErrorMessage="true" showInputMessage="false" sqref="H7:H156" type="list">
      <formula1>INV_ID</formula1>
      <formula2>0</formula2>
    </dataValidation>
    <dataValidation allowBlank="true" error="Choose a value from the list (controlled vocabulary or an existing ID)." errorStyle="stop" errorTitle="Invalid entry" operator="between" showDropDown="false" showErrorMessage="true" showInputMessage="false" sqref="I7:I156" type="list">
      <formula1>L_ExitItems</formula1>
      <formula2>0</formula2>
    </dataValidation>
    <dataValidation allowBlank="true" error="Choose a value from the list (controlled vocabulary or an existing ID)." errorStyle="stop" errorTitle="Invalid entry" operator="between" showDropDown="false" showErrorMessage="true" showInputMessage="false" sqref="J7:J156" type="list">
      <formula1>L_YesNo</formula1>
      <formula2>0</formula2>
    </dataValidation>
    <dataValidation allowBlank="true" error="Choose a value from the list (controlled vocabulary or an existing ID)." errorStyle="stop" errorTitle="Invalid entry" operator="between" showDropDown="false" showErrorMessage="true" showInputMessage="false" sqref="N7:N156" type="list">
      <formula1>L_ExitStatus</formula1>
      <formula2>0</formula2>
    </dataValidation>
    <dataValidation allowBlank="true" error="Choose a value from the list (controlled vocabulary or an existing ID)." errorStyle="stop" errorTitle="Invalid entry" operator="between" showDropDown="false" showErrorMessage="true" showInputMessage="false" sqref="P7:P156" type="list">
      <formula1>RSK_ID</formula1>
      <formula2>0</formula2>
    </dataValidation>
    <dataValidation allowBlank="true" error="Choose a value from the list (controlled vocabulary or an existing ID)." errorStyle="stop" errorTitle="Invalid entry" operator="between" showDropDown="false" showErrorMessage="true" showInputMessage="false" sqref="Q7:Q156" type="list">
      <formula1>L_ExitClosure</formula1>
      <formula2>0</formula2>
    </dataValidation>
  </dataValidations>
  <hyperlinks>
    <hyperlink ref="H1" r:id="rId1" location="'01%20Start%20Here'!A1" display="&lt;&lt; Back to Start Here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tableParts>
    <tablePart r:id="rId2"/>
  </tableParts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J13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16"/>
    <col collapsed="false" customWidth="true" hidden="false" outlineLevel="0" max="2" min="2" style="1" width="20"/>
    <col collapsed="false" customWidth="true" hidden="false" outlineLevel="0" max="3" min="3" style="1" width="34"/>
    <col collapsed="false" customWidth="true" hidden="false" outlineLevel="0" max="6" min="4" style="1" width="14"/>
    <col collapsed="false" customWidth="true" hidden="false" outlineLevel="0" max="7" min="7" style="1" width="20"/>
    <col collapsed="false" customWidth="true" hidden="false" outlineLevel="0" max="8" min="8" style="1" width="22"/>
    <col collapsed="false" customWidth="true" hidden="true" outlineLevel="0" max="10" min="10" style="1" width="13"/>
  </cols>
  <sheetData>
    <row r="1" customFormat="false" ht="19.7" hidden="false" customHeight="false" outlineLevel="0" collapsed="false">
      <c r="A1" s="66" t="s">
        <v>1849</v>
      </c>
      <c r="H1" s="10" t="s">
        <v>100</v>
      </c>
    </row>
    <row r="2" customFormat="false" ht="15" hidden="false" customHeight="false" outlineLevel="0" collapsed="false">
      <c r="A2" s="3" t="s">
        <v>1850</v>
      </c>
    </row>
    <row r="4" customFormat="false" ht="15" hidden="false" customHeight="false" outlineLevel="0" collapsed="false">
      <c r="A4" s="7" t="s">
        <v>1851</v>
      </c>
      <c r="C4" s="67" t="s">
        <v>479</v>
      </c>
      <c r="D4" s="68" t="str">
        <f aca="false">IF(RptRow=0,"&lt;&lt; select a Supplier ID in the blue cell",INDEX(INV_NAME,RptRow)&amp;"")</f>
        <v>Northwind Cloud Hosting Ltd</v>
      </c>
      <c r="E4" s="68"/>
      <c r="F4" s="68"/>
      <c r="G4" s="68"/>
      <c r="H4" s="68"/>
      <c r="J4" s="1" t="n">
        <f aca="false">IF(RptSup="",0,IFERROR(MATCH(RptSup,INV_ID,0),0))</f>
        <v>1</v>
      </c>
    </row>
    <row r="5" customFormat="false" ht="15" hidden="false" customHeight="false" outlineLevel="0" collapsed="false">
      <c r="A5" s="26" t="str">
        <f aca="false">"As-of date: "&amp;TEXT(AsOf,"yyyy-mm-dd")&amp;"   |   Appetite: "&amp;IF(AppetiteThreshold="","Not configured","escalate at "&amp;AppetiteThreshold&amp;" and above")</f>
        <v>As-of date: 2026-10-28   |   Appetite: escalate at High and above</v>
      </c>
      <c r="J5" s="1" t="n">
        <f aca="false">IF(RptRow=0,0,IFERROR(MATCH(RptSup&amp;"|Current",CRT_KEY,0),0))</f>
        <v>1</v>
      </c>
    </row>
    <row r="6" customFormat="false" ht="15" hidden="false" customHeight="false" outlineLevel="0" collapsed="false">
      <c r="J6" s="1" t="n">
        <f aca="false">IF(RptRow=0,0,IFERROR(MATCH(RptSup&amp;"|Latest",DEC_KEY,0),0))</f>
        <v>1</v>
      </c>
    </row>
    <row r="7" customFormat="false" ht="15" hidden="false" customHeight="false" outlineLevel="0" collapsed="false">
      <c r="A7" s="5" t="s">
        <v>1852</v>
      </c>
      <c r="B7" s="6"/>
      <c r="C7" s="6"/>
      <c r="D7" s="6"/>
      <c r="E7" s="6"/>
      <c r="F7" s="6"/>
      <c r="G7" s="6"/>
      <c r="H7" s="6"/>
    </row>
    <row r="8" customFormat="false" ht="18" hidden="false" customHeight="true" outlineLevel="0" collapsed="false">
      <c r="A8" s="69" t="s">
        <v>538</v>
      </c>
      <c r="B8" s="69"/>
      <c r="C8" s="8" t="str">
        <f aca="false">IF(RptRow=0,"",INDEX(INV_NAME,RptRow)&amp;"")</f>
        <v>Northwind Cloud Hosting Ltd</v>
      </c>
      <c r="D8" s="8"/>
      <c r="E8" s="8"/>
      <c r="F8" s="8"/>
      <c r="G8" s="8"/>
      <c r="H8" s="8"/>
    </row>
    <row r="9" customFormat="false" ht="27.75" hidden="false" customHeight="true" outlineLevel="0" collapsed="false">
      <c r="A9" s="69" t="s">
        <v>458</v>
      </c>
      <c r="B9" s="69"/>
      <c r="C9" s="8" t="str">
        <f aca="false">IF(RptRow=0,"",INDEX(INV_SERVICE,RptRow)&amp;"")</f>
        <v>Public cloud IaaS/PaaS hosting for the online account servicing platform</v>
      </c>
      <c r="D9" s="8"/>
      <c r="E9" s="8"/>
      <c r="F9" s="8"/>
      <c r="G9" s="8"/>
      <c r="H9" s="8"/>
    </row>
    <row r="10" customFormat="false" ht="18" hidden="false" customHeight="true" outlineLevel="0" collapsed="false">
      <c r="A10" s="69" t="s">
        <v>459</v>
      </c>
      <c r="B10" s="69"/>
      <c r="C10" s="8" t="str">
        <f aca="false">IF(RptRow=0,"",INDEX(INV_BOWNER,RptRow)&amp;"")</f>
        <v>Head of Digital Platforms (A. Patel)</v>
      </c>
      <c r="D10" s="8"/>
      <c r="E10" s="8"/>
      <c r="F10" s="8"/>
      <c r="G10" s="8"/>
      <c r="H10" s="8"/>
    </row>
    <row r="11" customFormat="false" ht="18" hidden="false" customHeight="true" outlineLevel="0" collapsed="false">
      <c r="A11" s="69" t="s">
        <v>1853</v>
      </c>
      <c r="B11" s="69"/>
      <c r="C11" s="8" t="str">
        <f aca="false">IF(RptRow=0,"",INDEX(INV_ROWNER,RptRow)&amp;"")</f>
        <v>Platform Engineering Manager (J. Okafor)</v>
      </c>
      <c r="D11" s="8"/>
      <c r="E11" s="8"/>
      <c r="F11" s="8"/>
      <c r="G11" s="8"/>
      <c r="H11" s="8"/>
    </row>
    <row r="12" customFormat="false" ht="18" hidden="false" customHeight="true" outlineLevel="0" collapsed="false">
      <c r="A12" s="69" t="s">
        <v>461</v>
      </c>
      <c r="B12" s="69"/>
      <c r="C12" s="8" t="str">
        <f aca="false">IF(RptRow=0,"",INDEX(INV_PROCESS,RptRow)&amp;"")</f>
        <v>Online account servicing</v>
      </c>
      <c r="D12" s="8"/>
      <c r="E12" s="8"/>
      <c r="F12" s="8"/>
      <c r="G12" s="8"/>
      <c r="H12" s="8"/>
    </row>
    <row r="13" customFormat="false" ht="18" hidden="false" customHeight="true" outlineLevel="0" collapsed="false">
      <c r="A13" s="69" t="s">
        <v>1854</v>
      </c>
      <c r="B13" s="69"/>
      <c r="C13" s="8" t="str">
        <f aca="false">IF(RptRow=0,"",INDEX(INV_STATUS,RptRow)&amp;"")</f>
        <v>Active</v>
      </c>
      <c r="D13" s="8"/>
      <c r="E13" s="8"/>
      <c r="F13" s="8"/>
      <c r="G13" s="8"/>
      <c r="H13" s="8"/>
    </row>
    <row r="14" customFormat="false" ht="18" hidden="false" customHeight="true" outlineLevel="0" collapsed="false">
      <c r="A14" s="69" t="s">
        <v>465</v>
      </c>
      <c r="B14" s="69"/>
      <c r="C14" s="8" t="str">
        <f aca="false">IF(RptRow=0,"",INDEX(INV_INFOCATS,RptRow)&amp;"")</f>
        <v>Customer personal and financial data</v>
      </c>
      <c r="D14" s="8"/>
      <c r="E14" s="8"/>
      <c r="F14" s="8"/>
      <c r="G14" s="8"/>
      <c r="H14" s="8"/>
    </row>
    <row r="15" customFormat="false" ht="18" hidden="false" customHeight="true" outlineLevel="0" collapsed="false">
      <c r="A15" s="69" t="s">
        <v>466</v>
      </c>
      <c r="B15" s="69"/>
      <c r="C15" s="8" t="str">
        <f aca="false">IF(RptRow=0,"",INDEX(INV_SYSTEMS,RptRow)&amp;"")</f>
        <v>Privileged cloud administration; API integrations to core systems</v>
      </c>
      <c r="D15" s="8"/>
      <c r="E15" s="8"/>
      <c r="F15" s="8"/>
      <c r="G15" s="8"/>
      <c r="H15" s="8"/>
    </row>
    <row r="16" customFormat="false" ht="18" hidden="false" customHeight="true" outlineLevel="0" collapsed="false">
      <c r="A16" s="69" t="s">
        <v>467</v>
      </c>
      <c r="B16" s="69"/>
      <c r="C16" s="8" t="str">
        <f aca="false">IF(RptRow=0,"",INDEX(INV_HOSTING,RptRow)&amp;"")</f>
        <v>IaaS/PaaS</v>
      </c>
      <c r="D16" s="8"/>
      <c r="E16" s="8"/>
      <c r="F16" s="8"/>
      <c r="G16" s="8"/>
      <c r="H16" s="8"/>
    </row>
    <row r="17" customFormat="false" ht="18" hidden="false" customHeight="true" outlineLevel="0" collapsed="false">
      <c r="A17" s="69" t="s">
        <v>1855</v>
      </c>
      <c r="B17" s="69"/>
      <c r="C17" s="8" t="str">
        <f aca="false">IF(RptRow=0,"",IF(INDEX(INV_CSTART,RptRow)="","start not set",TEXT(INDEX(INV_CSTART,RptRow),"yyyy-mm-dd"))&amp;" to "&amp;IF(INDEX(INV_CEND,RptRow)="","end not set",TEXT(INDEX(INV_CEND,RptRow),"yyyy-mm-dd")))</f>
        <v>2024-04-01 to 2027-03-31</v>
      </c>
      <c r="D17" s="8"/>
      <c r="E17" s="8"/>
      <c r="F17" s="8"/>
      <c r="G17" s="8"/>
      <c r="H17" s="8"/>
    </row>
    <row r="19" customFormat="false" ht="15" hidden="false" customHeight="false" outlineLevel="0" collapsed="false">
      <c r="A19" s="5" t="s">
        <v>1856</v>
      </c>
      <c r="B19" s="6"/>
      <c r="C19" s="6"/>
      <c r="D19" s="6"/>
      <c r="E19" s="6"/>
      <c r="F19" s="6"/>
      <c r="G19" s="6"/>
      <c r="H19" s="6"/>
    </row>
    <row r="20" customFormat="false" ht="18" hidden="false" customHeight="true" outlineLevel="0" collapsed="false">
      <c r="A20" s="69" t="s">
        <v>472</v>
      </c>
      <c r="B20" s="69"/>
      <c r="C20" s="9" t="n">
        <f aca="false">IF(RptRow=0,"",IF(INDEX(INV_LASTASS,RptRow)="","",INDEX(INV_LASTASS,RptRow)))</f>
        <v>46275</v>
      </c>
      <c r="D20" s="9"/>
      <c r="E20" s="9"/>
      <c r="F20" s="9"/>
      <c r="G20" s="9"/>
      <c r="H20" s="9"/>
    </row>
    <row r="21" customFormat="false" ht="30" hidden="false" customHeight="true" outlineLevel="0" collapsed="false">
      <c r="A21" s="69" t="s">
        <v>1857</v>
      </c>
      <c r="B21" s="69"/>
      <c r="C21" s="8" t="str">
        <f aca="false">IF(RptRow=0,"",INDEX(INV_SCOPE,RptRow)&amp;"")</f>
        <v>Annual reassessment of hosting service for the online account servicing platform (all regions in contract scope).</v>
      </c>
      <c r="D21" s="8"/>
      <c r="E21" s="8"/>
      <c r="F21" s="8"/>
      <c r="G21" s="8"/>
      <c r="H21" s="8"/>
    </row>
    <row r="23" customFormat="false" ht="15" hidden="false" customHeight="false" outlineLevel="0" collapsed="false">
      <c r="A23" s="5" t="s">
        <v>1858</v>
      </c>
      <c r="B23" s="6"/>
      <c r="C23" s="6"/>
      <c r="D23" s="6"/>
      <c r="E23" s="6"/>
      <c r="F23" s="6"/>
      <c r="G23" s="6"/>
      <c r="H23" s="6"/>
    </row>
    <row r="24" customFormat="false" ht="15" hidden="false" customHeight="false" outlineLevel="0" collapsed="false">
      <c r="A24" s="70" t="s">
        <v>123</v>
      </c>
      <c r="B24" s="71"/>
      <c r="C24" s="70" t="s">
        <v>1355</v>
      </c>
      <c r="D24" s="70" t="s">
        <v>1859</v>
      </c>
      <c r="E24" s="71"/>
      <c r="F24" s="71"/>
      <c r="G24" s="71"/>
      <c r="H24" s="71"/>
    </row>
    <row r="25" customFormat="false" ht="27.75" hidden="false" customHeight="true" outlineLevel="0" collapsed="false">
      <c r="A25" s="72" t="s">
        <v>127</v>
      </c>
      <c r="B25" s="72"/>
      <c r="C25" s="73" t="str">
        <f aca="false">IF(RptCrt=0,"",INDEX(CRT_RDEP,RptCrt)&amp;"")</f>
        <v>Hosts the online account servicing platform; loss halts customer access.</v>
      </c>
      <c r="D25" s="74" t="n">
        <f aca="false">IF(RptCrt=0,"",IF(INDEX(CRT_DEP,RptCrt)="","",INDEX(CRT_DEP,RptCrt)))</f>
        <v>3</v>
      </c>
    </row>
    <row r="26" customFormat="false" ht="27.75" hidden="false" customHeight="true" outlineLevel="0" collapsed="false">
      <c r="A26" s="72" t="s">
        <v>131</v>
      </c>
      <c r="B26" s="72"/>
      <c r="C26" s="73" t="str">
        <f aca="false">IF(RptCrt=0,"",INDEX(CRT_RSENS,RptCrt)&amp;"")</f>
        <v>Stores customer personal and financial data.</v>
      </c>
      <c r="D26" s="74" t="n">
        <f aca="false">IF(RptCrt=0,"",IF(INDEX(CRT_SENS,RptCrt)="","",INDEX(CRT_SENS,RptCrt)))</f>
        <v>3</v>
      </c>
    </row>
    <row r="27" customFormat="false" ht="27.75" hidden="false" customHeight="true" outlineLevel="0" collapsed="false">
      <c r="A27" s="72" t="s">
        <v>135</v>
      </c>
      <c r="B27" s="72"/>
      <c r="C27" s="73" t="str">
        <f aca="false">IF(RptCrt=0,"",INDEX(CRT_RACCESS,RptCrt)&amp;"")</f>
        <v>Privileged administrative access to production cloud accounts.</v>
      </c>
      <c r="D27" s="74" t="n">
        <f aca="false">IF(RptCrt=0,"",IF(INDEX(CRT_ACCESS,RptCrt)="","",INDEX(CRT_ACCESS,RptCrt)))</f>
        <v>3</v>
      </c>
    </row>
    <row r="28" customFormat="false" ht="27.75" hidden="false" customHeight="true" outlineLevel="0" collapsed="false">
      <c r="A28" s="72" t="s">
        <v>139</v>
      </c>
      <c r="B28" s="72"/>
      <c r="C28" s="73" t="str">
        <f aca="false">IF(RptCrt=0,"",INDEX(CRT_RDISR,RptCrt)&amp;"")</f>
        <v>Outage above 4 hours breaches internal impact tolerance.</v>
      </c>
      <c r="D28" s="74" t="n">
        <f aca="false">IF(RptCrt=0,"",IF(INDEX(CRT_DISR,RptCrt)="","",INDEX(CRT_DISR,RptCrt)))</f>
        <v>3</v>
      </c>
    </row>
    <row r="29" customFormat="false" ht="27.75" hidden="false" customHeight="true" outlineLevel="0" collapsed="false">
      <c r="A29" s="72" t="s">
        <v>1860</v>
      </c>
      <c r="B29" s="72"/>
      <c r="C29" s="73" t="str">
        <f aca="false">IF(RptCrt=0,"",INDEX(CRT_RREPL,RptCrt)&amp;"")</f>
        <v>Migration would take well over six months because of embedded platform services.</v>
      </c>
      <c r="D29" s="74" t="n">
        <f aca="false">IF(RptCrt=0,"",IF(INDEX(CRT_REPL,RptCrt)="","",INDEX(CRT_REPL,RptCrt)))</f>
        <v>3</v>
      </c>
    </row>
    <row r="30" customFormat="false" ht="18" hidden="false" customHeight="true" outlineLevel="0" collapsed="false">
      <c r="A30" s="69" t="s">
        <v>1861</v>
      </c>
      <c r="B30" s="69"/>
      <c r="C30" s="8" t="str">
        <f aca="false">IF(RptRow=0,"",IF(RptCrt=0,"Not classified",INDEX(CRT_TIER,RptCrt)))</f>
        <v>High</v>
      </c>
      <c r="D30" s="8"/>
      <c r="E30" s="8"/>
      <c r="F30" s="8"/>
      <c r="G30" s="8"/>
      <c r="H30" s="8"/>
    </row>
    <row r="31" customFormat="false" ht="30" hidden="false" customHeight="true" outlineLevel="0" collapsed="false">
      <c r="A31" s="69" t="s">
        <v>555</v>
      </c>
      <c r="B31" s="69"/>
      <c r="C31" s="8" t="str">
        <f aca="false">IF(RptCrt=0,"",INDEX(CRT_DD,RptCrt)&amp;"")</f>
        <v>Full due diligence: tailored questionnaire, independent assurance evidence, control assessment, contract review, senior decision</v>
      </c>
      <c r="D31" s="8"/>
      <c r="E31" s="8"/>
      <c r="F31" s="8"/>
      <c r="G31" s="8"/>
      <c r="H31" s="8"/>
    </row>
    <row r="32" customFormat="false" ht="18" hidden="false" customHeight="true" outlineLevel="0" collapsed="false">
      <c r="A32" s="69" t="s">
        <v>471</v>
      </c>
      <c r="B32" s="69"/>
      <c r="C32" s="8" t="str">
        <f aca="false">IF(RptRow=0,"",IF(RptCrt=0,"Not classified",INDEX(CRT_APPRDISP,RptCrt)))</f>
        <v>Approved</v>
      </c>
      <c r="D32" s="8"/>
      <c r="E32" s="8"/>
      <c r="F32" s="8"/>
      <c r="G32" s="8"/>
      <c r="H32" s="8"/>
    </row>
    <row r="33" customFormat="false" ht="18" hidden="false" customHeight="true" outlineLevel="0" collapsed="false">
      <c r="A33" s="69" t="s">
        <v>556</v>
      </c>
      <c r="B33" s="69"/>
      <c r="C33" s="8" t="str">
        <f aca="false">IF(RptCrt=0,"",INDEX(CRT_MISSING,RptCrt)&amp;"")</f>
        <v>None</v>
      </c>
      <c r="D33" s="8"/>
      <c r="E33" s="8"/>
      <c r="F33" s="8"/>
      <c r="G33" s="8"/>
      <c r="H33" s="8"/>
    </row>
    <row r="35" customFormat="false" ht="15" hidden="false" customHeight="false" outlineLevel="0" collapsed="false">
      <c r="A35" s="5" t="s">
        <v>1862</v>
      </c>
      <c r="B35" s="6"/>
      <c r="C35" s="6"/>
      <c r="D35" s="6"/>
      <c r="E35" s="6"/>
      <c r="F35" s="6"/>
      <c r="G35" s="6"/>
      <c r="H35" s="6"/>
    </row>
    <row r="36" customFormat="false" ht="15" hidden="false" customHeight="false" outlineLevel="0" collapsed="false">
      <c r="A36" s="70" t="s">
        <v>604</v>
      </c>
      <c r="B36" s="70" t="s">
        <v>1863</v>
      </c>
      <c r="C36" s="70" t="s">
        <v>606</v>
      </c>
      <c r="D36" s="70" t="s">
        <v>613</v>
      </c>
      <c r="E36" s="70" t="s">
        <v>614</v>
      </c>
      <c r="F36" s="70" t="s">
        <v>1864</v>
      </c>
      <c r="G36" s="70" t="s">
        <v>610</v>
      </c>
      <c r="H36" s="70" t="s">
        <v>631</v>
      </c>
    </row>
    <row r="37" customFormat="false" ht="30" hidden="false" customHeight="true" outlineLevel="0" collapsed="false">
      <c r="A37" s="75" t="str">
        <f aca="false">IF($J37=0,"",INDEX(RSK_ID,$J37)&amp;"")</f>
        <v>TPR-001</v>
      </c>
      <c r="B37" s="75" t="str">
        <f aca="false">IF($J37=0,"",INDEX(RSK_CAT,$J37)&amp;"")</f>
        <v>Operational resilience</v>
      </c>
      <c r="C37" s="75" t="str">
        <f aca="false">IF($J37=0,"",INDEX(RSK_STMT,$J37)&amp;"")</f>
        <v>Extended outage of Northwind hosting disrupts online account servicing.</v>
      </c>
      <c r="D37" s="75" t="n">
        <f aca="false">IF($J37=0,"",IF(INDEX(RSK_ISCORE,$J37)="","",INDEX(RSK_ISCORE,$J37)))</f>
        <v>20</v>
      </c>
      <c r="E37" s="75" t="str">
        <f aca="false">IF($J37=0,"",INDEX(RSK_IBAND,$J37)&amp;"")</f>
        <v>Critical</v>
      </c>
      <c r="F37" s="76" t="n">
        <f aca="false">IF($J37=0,"",IF(INDEX(RSK_ASSDATE,$J37)="","",INDEX(RSK_ASSDATE,$J37)))</f>
        <v>46275</v>
      </c>
      <c r="G37" s="75" t="str">
        <f aca="false">IF($J37=0,"",INDEX(RSK_OWNER,$J37)&amp;"")</f>
        <v>Head of Digital Platforms (A. Patel)</v>
      </c>
      <c r="H37" s="75" t="str">
        <f aca="false">IF($J37=0,"",INDEX(RSK_TRTSTAT,$J37)&amp;"")</f>
        <v>2 action(s); 1 open; 0 overdue</v>
      </c>
      <c r="J37" s="1" t="n">
        <f aca="false">IFERROR(MATCH(RptSup&amp;"|1",RSK_RPT,0),0)</f>
        <v>1</v>
      </c>
    </row>
    <row r="38" customFormat="false" ht="30" hidden="false" customHeight="true" outlineLevel="0" collapsed="false">
      <c r="A38" s="75" t="str">
        <f aca="false">IF($J38=0,"",INDEX(RSK_ID,$J38)&amp;"")</f>
        <v>TPR-002</v>
      </c>
      <c r="B38" s="75" t="str">
        <f aca="false">IF($J38=0,"",INDEX(RSK_CAT,$J38)&amp;"")</f>
        <v>Information security</v>
      </c>
      <c r="C38" s="75" t="str">
        <f aca="false">IF($J38=0,"",INDEX(RSK_STMT,$J38)&amp;"")</f>
        <v>Unauthorised access to customer data through weak privileged access control at the supplier.</v>
      </c>
      <c r="D38" s="75" t="n">
        <f aca="false">IF($J38=0,"",IF(INDEX(RSK_ISCORE,$J38)="","",INDEX(RSK_ISCORE,$J38)))</f>
        <v>20</v>
      </c>
      <c r="E38" s="75" t="str">
        <f aca="false">IF($J38=0,"",INDEX(RSK_IBAND,$J38)&amp;"")</f>
        <v>Critical</v>
      </c>
      <c r="F38" s="76" t="n">
        <f aca="false">IF($J38=0,"",IF(INDEX(RSK_ASSDATE,$J38)="","",INDEX(RSK_ASSDATE,$J38)))</f>
        <v>46275</v>
      </c>
      <c r="G38" s="75" t="str">
        <f aca="false">IF($J38=0,"",INDEX(RSK_OWNER,$J38)&amp;"")</f>
        <v>Head of Digital Platforms (A. Patel)</v>
      </c>
      <c r="H38" s="75" t="str">
        <f aca="false">IF($J38=0,"",INDEX(RSK_TRTSTAT,$J38)&amp;"")</f>
        <v>1 action(s); 1 open; 1 overdue</v>
      </c>
      <c r="J38" s="1" t="n">
        <f aca="false">IFERROR(MATCH(RptSup&amp;"|2",RSK_RPT,0),0)</f>
        <v>2</v>
      </c>
    </row>
    <row r="39" customFormat="false" ht="30" hidden="false" customHeight="true" outlineLevel="0" collapsed="false">
      <c r="A39" s="75" t="str">
        <f aca="false">IF($J39=0,"",INDEX(RSK_ID,$J39)&amp;"")</f>
        <v>TPR-003</v>
      </c>
      <c r="B39" s="75" t="str">
        <f aca="false">IF($J39=0,"",INDEX(RSK_CAT,$J39)&amp;"")</f>
        <v>Subcontractor / fourth party</v>
      </c>
      <c r="C39" s="75" t="str">
        <f aca="false">IF($J39=0,"",INDEX(RSK_STMT,$J39)&amp;"")</f>
        <v>Failure at Atlas Data Centres, Northwind's underlying facility provider, affects hosted services.</v>
      </c>
      <c r="D39" s="75" t="n">
        <f aca="false">IF($J39=0,"",IF(INDEX(RSK_ISCORE,$J39)="","",INDEX(RSK_ISCORE,$J39)))</f>
        <v>15</v>
      </c>
      <c r="E39" s="75" t="str">
        <f aca="false">IF($J39=0,"",INDEX(RSK_IBAND,$J39)&amp;"")</f>
        <v>High</v>
      </c>
      <c r="F39" s="76" t="n">
        <f aca="false">IF($J39=0,"",IF(INDEX(RSK_ASSDATE,$J39)="","",INDEX(RSK_ASSDATE,$J39)))</f>
        <v>46275</v>
      </c>
      <c r="G39" s="75" t="str">
        <f aca="false">IF($J39=0,"",INDEX(RSK_OWNER,$J39)&amp;"")</f>
        <v>Head of Digital Platforms (A. Patel)</v>
      </c>
      <c r="H39" s="75" t="str">
        <f aca="false">IF($J39=0,"",INDEX(RSK_TRTSTAT,$J39)&amp;"")</f>
        <v>No treatment recorded</v>
      </c>
      <c r="J39" s="1" t="n">
        <f aca="false">IFERROR(MATCH(RptSup&amp;"|3",RSK_RPT,0),0)</f>
        <v>3</v>
      </c>
    </row>
    <row r="40" customFormat="false" ht="30" hidden="false" customHeight="true" outlineLevel="0" collapsed="false">
      <c r="A40" s="75" t="str">
        <f aca="false">IF($J40=0,"",INDEX(RSK_ID,$J40)&amp;"")</f>
        <v/>
      </c>
      <c r="B40" s="75" t="str">
        <f aca="false">IF($J40=0,"",INDEX(RSK_CAT,$J40)&amp;"")</f>
        <v/>
      </c>
      <c r="C40" s="75" t="str">
        <f aca="false">IF($J40=0,"",INDEX(RSK_STMT,$J40)&amp;"")</f>
        <v/>
      </c>
      <c r="D40" s="75" t="str">
        <f aca="false">IF($J40=0,"",IF(INDEX(RSK_ISCORE,$J40)="","",INDEX(RSK_ISCORE,$J40)))</f>
        <v/>
      </c>
      <c r="E40" s="75" t="str">
        <f aca="false">IF($J40=0,"",INDEX(RSK_IBAND,$J40)&amp;"")</f>
        <v/>
      </c>
      <c r="F40" s="76" t="str">
        <f aca="false">IF($J40=0,"",IF(INDEX(RSK_ASSDATE,$J40)="","",INDEX(RSK_ASSDATE,$J40)))</f>
        <v/>
      </c>
      <c r="G40" s="75" t="str">
        <f aca="false">IF($J40=0,"",INDEX(RSK_OWNER,$J40)&amp;"")</f>
        <v/>
      </c>
      <c r="H40" s="75" t="str">
        <f aca="false">IF($J40=0,"",INDEX(RSK_TRTSTAT,$J40)&amp;"")</f>
        <v/>
      </c>
      <c r="J40" s="1" t="n">
        <f aca="false">IFERROR(MATCH(RptSup&amp;"|4",RSK_RPT,0),0)</f>
        <v>0</v>
      </c>
    </row>
    <row r="41" customFormat="false" ht="30" hidden="false" customHeight="true" outlineLevel="0" collapsed="false">
      <c r="A41" s="75" t="str">
        <f aca="false">IF($J41=0,"",INDEX(RSK_ID,$J41)&amp;"")</f>
        <v/>
      </c>
      <c r="B41" s="75" t="str">
        <f aca="false">IF($J41=0,"",INDEX(RSK_CAT,$J41)&amp;"")</f>
        <v/>
      </c>
      <c r="C41" s="75" t="str">
        <f aca="false">IF($J41=0,"",INDEX(RSK_STMT,$J41)&amp;"")</f>
        <v/>
      </c>
      <c r="D41" s="75" t="str">
        <f aca="false">IF($J41=0,"",IF(INDEX(RSK_ISCORE,$J41)="","",INDEX(RSK_ISCORE,$J41)))</f>
        <v/>
      </c>
      <c r="E41" s="75" t="str">
        <f aca="false">IF($J41=0,"",INDEX(RSK_IBAND,$J41)&amp;"")</f>
        <v/>
      </c>
      <c r="F41" s="76" t="str">
        <f aca="false">IF($J41=0,"",IF(INDEX(RSK_ASSDATE,$J41)="","",INDEX(RSK_ASSDATE,$J41)))</f>
        <v/>
      </c>
      <c r="G41" s="75" t="str">
        <f aca="false">IF($J41=0,"",INDEX(RSK_OWNER,$J41)&amp;"")</f>
        <v/>
      </c>
      <c r="H41" s="75" t="str">
        <f aca="false">IF($J41=0,"",INDEX(RSK_TRTSTAT,$J41)&amp;"")</f>
        <v/>
      </c>
      <c r="J41" s="1" t="n">
        <f aca="false">IFERROR(MATCH(RptSup&amp;"|5",RSK_RPT,0),0)</f>
        <v>0</v>
      </c>
    </row>
    <row r="42" customFormat="false" ht="30" hidden="false" customHeight="true" outlineLevel="0" collapsed="false">
      <c r="A42" s="75" t="str">
        <f aca="false">IF($J42=0,"",INDEX(RSK_ID,$J42)&amp;"")</f>
        <v/>
      </c>
      <c r="B42" s="75" t="str">
        <f aca="false">IF($J42=0,"",INDEX(RSK_CAT,$J42)&amp;"")</f>
        <v/>
      </c>
      <c r="C42" s="75" t="str">
        <f aca="false">IF($J42=0,"",INDEX(RSK_STMT,$J42)&amp;"")</f>
        <v/>
      </c>
      <c r="D42" s="75" t="str">
        <f aca="false">IF($J42=0,"",IF(INDEX(RSK_ISCORE,$J42)="","",INDEX(RSK_ISCORE,$J42)))</f>
        <v/>
      </c>
      <c r="E42" s="75" t="str">
        <f aca="false">IF($J42=0,"",INDEX(RSK_IBAND,$J42)&amp;"")</f>
        <v/>
      </c>
      <c r="F42" s="76" t="str">
        <f aca="false">IF($J42=0,"",IF(INDEX(RSK_ASSDATE,$J42)="","",INDEX(RSK_ASSDATE,$J42)))</f>
        <v/>
      </c>
      <c r="G42" s="75" t="str">
        <f aca="false">IF($J42=0,"",INDEX(RSK_OWNER,$J42)&amp;"")</f>
        <v/>
      </c>
      <c r="H42" s="75" t="str">
        <f aca="false">IF($J42=0,"",INDEX(RSK_TRTSTAT,$J42)&amp;"")</f>
        <v/>
      </c>
      <c r="J42" s="1" t="n">
        <f aca="false">IFERROR(MATCH(RptSup&amp;"|6",RSK_RPT,0),0)</f>
        <v>0</v>
      </c>
    </row>
    <row r="43" customFormat="false" ht="30" hidden="false" customHeight="true" outlineLevel="0" collapsed="false">
      <c r="A43" s="75" t="str">
        <f aca="false">IF($J43=0,"",INDEX(RSK_ID,$J43)&amp;"")</f>
        <v/>
      </c>
      <c r="B43" s="75" t="str">
        <f aca="false">IF($J43=0,"",INDEX(RSK_CAT,$J43)&amp;"")</f>
        <v/>
      </c>
      <c r="C43" s="75" t="str">
        <f aca="false">IF($J43=0,"",INDEX(RSK_STMT,$J43)&amp;"")</f>
        <v/>
      </c>
      <c r="D43" s="75" t="str">
        <f aca="false">IF($J43=0,"",IF(INDEX(RSK_ISCORE,$J43)="","",INDEX(RSK_ISCORE,$J43)))</f>
        <v/>
      </c>
      <c r="E43" s="75" t="str">
        <f aca="false">IF($J43=0,"",INDEX(RSK_IBAND,$J43)&amp;"")</f>
        <v/>
      </c>
      <c r="F43" s="76" t="str">
        <f aca="false">IF($J43=0,"",IF(INDEX(RSK_ASSDATE,$J43)="","",INDEX(RSK_ASSDATE,$J43)))</f>
        <v/>
      </c>
      <c r="G43" s="75" t="str">
        <f aca="false">IF($J43=0,"",INDEX(RSK_OWNER,$J43)&amp;"")</f>
        <v/>
      </c>
      <c r="H43" s="75" t="str">
        <f aca="false">IF($J43=0,"",INDEX(RSK_TRTSTAT,$J43)&amp;"")</f>
        <v/>
      </c>
      <c r="J43" s="1" t="n">
        <f aca="false">IFERROR(MATCH(RptSup&amp;"|7",RSK_RPT,0),0)</f>
        <v>0</v>
      </c>
    </row>
    <row r="44" customFormat="false" ht="30" hidden="false" customHeight="true" outlineLevel="0" collapsed="false">
      <c r="A44" s="75" t="str">
        <f aca="false">IF($J44=0,"",INDEX(RSK_ID,$J44)&amp;"")</f>
        <v/>
      </c>
      <c r="B44" s="75" t="str">
        <f aca="false">IF($J44=0,"",INDEX(RSK_CAT,$J44)&amp;"")</f>
        <v/>
      </c>
      <c r="C44" s="75" t="str">
        <f aca="false">IF($J44=0,"",INDEX(RSK_STMT,$J44)&amp;"")</f>
        <v/>
      </c>
      <c r="D44" s="75" t="str">
        <f aca="false">IF($J44=0,"",IF(INDEX(RSK_ISCORE,$J44)="","",INDEX(RSK_ISCORE,$J44)))</f>
        <v/>
      </c>
      <c r="E44" s="75" t="str">
        <f aca="false">IF($J44=0,"",INDEX(RSK_IBAND,$J44)&amp;"")</f>
        <v/>
      </c>
      <c r="F44" s="76" t="str">
        <f aca="false">IF($J44=0,"",IF(INDEX(RSK_ASSDATE,$J44)="","",INDEX(RSK_ASSDATE,$J44)))</f>
        <v/>
      </c>
      <c r="G44" s="75" t="str">
        <f aca="false">IF($J44=0,"",INDEX(RSK_OWNER,$J44)&amp;"")</f>
        <v/>
      </c>
      <c r="H44" s="75" t="str">
        <f aca="false">IF($J44=0,"",INDEX(RSK_TRTSTAT,$J44)&amp;"")</f>
        <v/>
      </c>
      <c r="J44" s="1" t="n">
        <f aca="false">IFERROR(MATCH(RptSup&amp;"|8",RSK_RPT,0),0)</f>
        <v>0</v>
      </c>
    </row>
    <row r="45" customFormat="false" ht="30" hidden="false" customHeight="true" outlineLevel="0" collapsed="false">
      <c r="A45" s="75" t="str">
        <f aca="false">IF($J45=0,"",INDEX(RSK_ID,$J45)&amp;"")</f>
        <v/>
      </c>
      <c r="B45" s="75" t="str">
        <f aca="false">IF($J45=0,"",INDEX(RSK_CAT,$J45)&amp;"")</f>
        <v/>
      </c>
      <c r="C45" s="75" t="str">
        <f aca="false">IF($J45=0,"",INDEX(RSK_STMT,$J45)&amp;"")</f>
        <v/>
      </c>
      <c r="D45" s="75" t="str">
        <f aca="false">IF($J45=0,"",IF(INDEX(RSK_ISCORE,$J45)="","",INDEX(RSK_ISCORE,$J45)))</f>
        <v/>
      </c>
      <c r="E45" s="75" t="str">
        <f aca="false">IF($J45=0,"",INDEX(RSK_IBAND,$J45)&amp;"")</f>
        <v/>
      </c>
      <c r="F45" s="76" t="str">
        <f aca="false">IF($J45=0,"",IF(INDEX(RSK_ASSDATE,$J45)="","",INDEX(RSK_ASSDATE,$J45)))</f>
        <v/>
      </c>
      <c r="G45" s="75" t="str">
        <f aca="false">IF($J45=0,"",INDEX(RSK_OWNER,$J45)&amp;"")</f>
        <v/>
      </c>
      <c r="H45" s="75" t="str">
        <f aca="false">IF($J45=0,"",INDEX(RSK_TRTSTAT,$J45)&amp;"")</f>
        <v/>
      </c>
      <c r="J45" s="1" t="n">
        <f aca="false">IFERROR(MATCH(RptSup&amp;"|9",RSK_RPT,0),0)</f>
        <v>0</v>
      </c>
    </row>
    <row r="46" customFormat="false" ht="30" hidden="false" customHeight="true" outlineLevel="0" collapsed="false">
      <c r="A46" s="75" t="str">
        <f aca="false">IF($J46=0,"",INDEX(RSK_ID,$J46)&amp;"")</f>
        <v/>
      </c>
      <c r="B46" s="75" t="str">
        <f aca="false">IF($J46=0,"",INDEX(RSK_CAT,$J46)&amp;"")</f>
        <v/>
      </c>
      <c r="C46" s="75" t="str">
        <f aca="false">IF($J46=0,"",INDEX(RSK_STMT,$J46)&amp;"")</f>
        <v/>
      </c>
      <c r="D46" s="75" t="str">
        <f aca="false">IF($J46=0,"",IF(INDEX(RSK_ISCORE,$J46)="","",INDEX(RSK_ISCORE,$J46)))</f>
        <v/>
      </c>
      <c r="E46" s="75" t="str">
        <f aca="false">IF($J46=0,"",INDEX(RSK_IBAND,$J46)&amp;"")</f>
        <v/>
      </c>
      <c r="F46" s="76" t="str">
        <f aca="false">IF($J46=0,"",IF(INDEX(RSK_ASSDATE,$J46)="","",INDEX(RSK_ASSDATE,$J46)))</f>
        <v/>
      </c>
      <c r="G46" s="75" t="str">
        <f aca="false">IF($J46=0,"",INDEX(RSK_OWNER,$J46)&amp;"")</f>
        <v/>
      </c>
      <c r="H46" s="75" t="str">
        <f aca="false">IF($J46=0,"",INDEX(RSK_TRTSTAT,$J46)&amp;"")</f>
        <v/>
      </c>
      <c r="J46" s="1" t="n">
        <f aca="false">IFERROR(MATCH(RptSup&amp;"|10",RSK_RPT,0),0)</f>
        <v>0</v>
      </c>
    </row>
    <row r="48" customFormat="false" ht="15" hidden="false" customHeight="false" outlineLevel="0" collapsed="false">
      <c r="A48" s="5" t="s">
        <v>1865</v>
      </c>
      <c r="B48" s="6"/>
      <c r="C48" s="6"/>
      <c r="D48" s="6"/>
      <c r="E48" s="6"/>
      <c r="F48" s="6"/>
      <c r="G48" s="6"/>
      <c r="H48" s="6"/>
    </row>
    <row r="49" customFormat="false" ht="18" hidden="false" customHeight="true" outlineLevel="0" collapsed="false">
      <c r="A49" s="69" t="s">
        <v>1866</v>
      </c>
      <c r="B49" s="69"/>
      <c r="C49" s="8" t="str">
        <f aca="false">IF(RptRow=0,"",COUNTIFS(QA_SUP,RptSup)&amp;" selected; "&amp;COUNTIFS(QA_SUP,RptSup,QA_APPLIC,"Applicable")&amp;" applicable; "&amp;(COUNTIFS(QA_SUP,RptSup,QA_APPLIC,"Applicable",QA_RESP,"Yes")+COUNTIFS(QA_SUP,RptSup,QA_APPLIC,"Applicable",QA_RESP,"Partially")+COUNTIFS(QA_SUP,RptSup,QA_APPLIC,"Applicable",QA_RESP,"No")+COUNTIFS(QA_SUP,RptSup,QA_APPLIC,"Applicable",QA_RESP,"Not applicable"))&amp;" answered")</f>
        <v>8 selected; 8 applicable; 7 answered</v>
      </c>
      <c r="D49" s="8"/>
      <c r="E49" s="8"/>
      <c r="F49" s="8"/>
      <c r="G49" s="8"/>
      <c r="H49" s="8"/>
    </row>
    <row r="50" customFormat="false" ht="30" hidden="false" customHeight="true" outlineLevel="0" collapsed="false">
      <c r="A50" s="69" t="s">
        <v>1867</v>
      </c>
      <c r="B50" s="69"/>
      <c r="C50" s="8" t="str">
        <f aca="false">IF(RptRow=0,"",IF(COUNTIFS(QA_SUP,RptSup,QA_APPLIC,"Applicable")=0,"n/a",TEXT((COUNTIFS(QA_SUP,RptSup,QA_APPLIC,"Applicable",QA_RESP,"Yes")+COUNTIFS(QA_SUP,RptSup,QA_APPLIC,"Applicable",QA_RESP,"Partially")+COUNTIFS(QA_SUP,RptSup,QA_APPLIC,"Applicable",QA_RESP,"No")+COUNTIFS(QA_SUP,RptSup,QA_APPLIC,"Applicable",QA_RESP,"Not applicable"))/COUNTIFS(QA_SUP,RptSup,QA_APPLIC,"Applicable"),"0%")&amp;" of applicable questions answered - an administrative measure, NOT a measure of supplier security"))</f>
        <v>88% of applicable questions answered - an administrative measure, NOT a measure of supplier security</v>
      </c>
      <c r="D50" s="8"/>
      <c r="E50" s="8"/>
      <c r="F50" s="8"/>
      <c r="G50" s="8"/>
      <c r="H50" s="8"/>
    </row>
    <row r="51" customFormat="false" ht="30" hidden="false" customHeight="true" outlineLevel="0" collapsed="false">
      <c r="A51" s="69" t="s">
        <v>1868</v>
      </c>
      <c r="B51" s="69"/>
      <c r="C51" s="8" t="str">
        <f aca="false">IF(RptRow=0,"",COUNTIFS(EV_SUP,RptSup)&amp;" items; "&amp;COUNTIFS(EV_SUP,RptSup,EV_CUR,"Expired")&amp;" expired; "&amp;COUNTIFS(EV_SUP,RptSup,EV_CUR,"Approaching expiry")&amp;" approaching expiry; "&amp;COUNTIFS(EV_SUP,RptSup,EV_CUR,"Historical*")&amp;" historical period (relevance review); "&amp;COUNTIFS(EV_SUP,RptSup,EV_VFLAG,"Verification pending")&amp;" verification pending; "&amp;COUNTIFS(EV_SUP,RptSup,EV_SFLAG,"Scope limitation recorded")&amp;" with scope limitation; "&amp;COUNTIFS(EV_SUP,RptSup,EV_SUFF,"Insufficient")&amp;" insufficient")</f>
        <v>4 items; 0 expired; 0 approaching expiry; 1 historical period (relevance review); 1 verification pending; 2 with scope limitation; 2 insufficient</v>
      </c>
      <c r="D51" s="8"/>
      <c r="E51" s="8"/>
      <c r="F51" s="8"/>
      <c r="G51" s="8"/>
      <c r="H51" s="8"/>
    </row>
    <row r="52" customFormat="false" ht="30" hidden="false" customHeight="true" outlineLevel="0" collapsed="false">
      <c r="A52" s="69" t="s">
        <v>1869</v>
      </c>
      <c r="B52" s="69"/>
      <c r="C52" s="8" t="str">
        <f aca="false">IF(RptRow=0,"",COUNTIFS(CA_SUP,RptSup)&amp;" assessed: "&amp;COUNTIFS(CA_SUP,RptSup,CA_STATUS,"Supported")&amp;" supported; "&amp;COUNTIFS(CA_SUP,RptSup,CA_STATUS,"Confirmed weakness")&amp;" confirmed weakness; "&amp;COUNTIFS(CA_SUP,RptSup,CA_STATUS,"Evidence insufficient")&amp;" evidence insufficient (assurance limitation); "&amp;COUNTIFS(CA_SUP,RptSup,CA_STATUS,"Exception identified")&amp;" exception(s)")</f>
        <v>3 assessed: 1 supported; 1 confirmed weakness; 1 evidence insufficient (assurance limitation); 0 exception(s)</v>
      </c>
      <c r="D52" s="8"/>
      <c r="E52" s="8"/>
      <c r="F52" s="8"/>
      <c r="G52" s="8"/>
      <c r="H52" s="8"/>
    </row>
    <row r="53" customFormat="false" ht="15" hidden="false" customHeight="false" outlineLevel="0" collapsed="false">
      <c r="A53" s="70" t="s">
        <v>1244</v>
      </c>
      <c r="B53" s="70" t="s">
        <v>1870</v>
      </c>
      <c r="C53" s="70" t="s">
        <v>1871</v>
      </c>
      <c r="D53" s="70" t="s">
        <v>1872</v>
      </c>
      <c r="E53" s="70" t="s">
        <v>1873</v>
      </c>
      <c r="F53" s="70" t="s">
        <v>1874</v>
      </c>
      <c r="G53" s="70" t="s">
        <v>1875</v>
      </c>
      <c r="H53" s="70" t="s">
        <v>1260</v>
      </c>
    </row>
    <row r="54" customFormat="false" ht="36" hidden="false" customHeight="true" outlineLevel="0" collapsed="false">
      <c r="A54" s="75" t="str">
        <f aca="false">IF($J54=0,"",INDEX(EV_ID,$J54)&amp;"")</f>
        <v>EV-001</v>
      </c>
      <c r="B54" s="75" t="str">
        <f aca="false">IF($J54=0,"",INDEX(EV_TYPE,$J54)&amp;"")</f>
        <v>ISO/IEC 27001 certificate</v>
      </c>
      <c r="C54" s="75" t="str">
        <f aca="false">IF($J54=0,"",INDEX(EV_TITLE,$J54)&amp;"")</f>
        <v>ISO/IEC 27001:2022 certificate - Northwind Cloud Hosting</v>
      </c>
      <c r="D54" s="75" t="str">
        <f aca="false">IF($J54=0,"",INDEX(EV_VERIF,$J54)&amp;"")</f>
        <v>Verified</v>
      </c>
      <c r="E54" s="75" t="str">
        <f aca="false">IF($J54=0,"",INDEX(EV_SUFF,$J54)&amp;"")</f>
        <v>Partially sufficient</v>
      </c>
      <c r="F54" s="75" t="str">
        <f aca="false">IF($J54=0,"",INDEX(EV_SCOPELIM,$J54)&amp;"")</f>
        <v>Yes</v>
      </c>
      <c r="G54" s="75" t="str">
        <f aca="false">IF($J54=0,"",INDEX(EV_CUR,$J54)&amp;"")</f>
        <v>Current</v>
      </c>
      <c r="H54" s="75" t="str">
        <f aca="false">IF($J54=0,"",INDEX(EV_NEXT,$J54)&amp;"")</f>
        <v>Confirm service regions used by us are within scope</v>
      </c>
      <c r="J54" s="1" t="n">
        <f aca="false">IFERROR(MATCH(RptSup&amp;"|1",EV_RPT,0),0)</f>
        <v>1</v>
      </c>
    </row>
    <row r="55" customFormat="false" ht="36" hidden="false" customHeight="true" outlineLevel="0" collapsed="false">
      <c r="A55" s="75" t="str">
        <f aca="false">IF($J55=0,"",INDEX(EV_ID,$J55)&amp;"")</f>
        <v>EV-002</v>
      </c>
      <c r="B55" s="75" t="str">
        <f aca="false">IF($J55=0,"",INDEX(EV_TYPE,$J55)&amp;"")</f>
        <v>SOC 2 report</v>
      </c>
      <c r="C55" s="75" t="str">
        <f aca="false">IF($J55=0,"",INDEX(EV_TITLE,$J55)&amp;"")</f>
        <v>SOC 2 Type II report, 1 Oct 2024 - 30 Sep 2025</v>
      </c>
      <c r="D55" s="75" t="str">
        <f aca="false">IF($J55=0,"",INDEX(EV_VERIF,$J55)&amp;"")</f>
        <v>Verified</v>
      </c>
      <c r="E55" s="75" t="str">
        <f aca="false">IF($J55=0,"",INDEX(EV_SUFF,$J55)&amp;"")</f>
        <v>Partially sufficient</v>
      </c>
      <c r="F55" s="75" t="str">
        <f aca="false">IF($J55=0,"",INDEX(EV_SCOPELIM,$J55)&amp;"")</f>
        <v>No</v>
      </c>
      <c r="G55" s="75" t="str">
        <f aca="false">IF($J55=0,"",INDEX(EV_CUR,$J55)&amp;"")</f>
        <v>Historical period ended 2025-09-30 - assess relevance; request update</v>
      </c>
      <c r="H55" s="75" t="str">
        <f aca="false">IF($J55=0,"",INDEX(EV_NEXT,$J55)&amp;"")</f>
        <v>Request next SOC 2 report</v>
      </c>
      <c r="J55" s="1" t="n">
        <f aca="false">IFERROR(MATCH(RptSup&amp;"|2",EV_RPT,0),0)</f>
        <v>2</v>
      </c>
    </row>
    <row r="56" customFormat="false" ht="36" hidden="false" customHeight="true" outlineLevel="0" collapsed="false">
      <c r="A56" s="75" t="str">
        <f aca="false">IF($J56=0,"",INDEX(EV_ID,$J56)&amp;"")</f>
        <v>EV-003</v>
      </c>
      <c r="B56" s="75" t="str">
        <f aca="false">IF($J56=0,"",INDEX(EV_TYPE,$J56)&amp;"")</f>
        <v>Recovery test</v>
      </c>
      <c r="C56" s="75" t="str">
        <f aca="false">IF($J56=0,"",INDEX(EV_TITLE,$J56)&amp;"")</f>
        <v>Recovery test summary November 2025</v>
      </c>
      <c r="D56" s="75" t="str">
        <f aca="false">IF($J56=0,"",INDEX(EV_VERIF,$J56)&amp;"")</f>
        <v>Verified</v>
      </c>
      <c r="E56" s="75" t="str">
        <f aca="false">IF($J56=0,"",INDEX(EV_SUFF,$J56)&amp;"")</f>
        <v>Insufficient</v>
      </c>
      <c r="F56" s="75" t="str">
        <f aca="false">IF($J56=0,"",INDEX(EV_SCOPELIM,$J56)&amp;"")</f>
        <v>Yes</v>
      </c>
      <c r="G56" s="75" t="str">
        <f aca="false">IF($J56=0,"",INDEX(EV_CUR,$J56)&amp;"")</f>
        <v>No expiry or period recorded</v>
      </c>
      <c r="H56" s="75" t="str">
        <f aca="false">IF($J56=0,"",INDEX(EV_NEXT,$J56)&amp;"")</f>
        <v>Obtain full recovery test results</v>
      </c>
      <c r="J56" s="1" t="n">
        <f aca="false">IFERROR(MATCH(RptSup&amp;"|3",EV_RPT,0),0)</f>
        <v>3</v>
      </c>
    </row>
    <row r="57" customFormat="false" ht="36" hidden="false" customHeight="true" outlineLevel="0" collapsed="false">
      <c r="A57" s="75" t="str">
        <f aca="false">IF($J57=0,"",INDEX(EV_ID,$J57)&amp;"")</f>
        <v>EV-004</v>
      </c>
      <c r="B57" s="75" t="str">
        <f aca="false">IF($J57=0,"",INDEX(EV_TYPE,$J57)&amp;"")</f>
        <v>Supplier attestation</v>
      </c>
      <c r="C57" s="75" t="str">
        <f aca="false">IF($J57=0,"",INDEX(EV_TITLE,$J57)&amp;"")</f>
        <v>Attestation of quarterly privileged access reviews</v>
      </c>
      <c r="D57" s="75" t="str">
        <f aca="false">IF($J57=0,"",INDEX(EV_VERIF,$J57)&amp;"")</f>
        <v>Pending verification</v>
      </c>
      <c r="E57" s="75" t="str">
        <f aca="false">IF($J57=0,"",INDEX(EV_SUFF,$J57)&amp;"")</f>
        <v>Insufficient</v>
      </c>
      <c r="F57" s="75" t="str">
        <f aca="false">IF($J57=0,"",INDEX(EV_SCOPELIM,$J57)&amp;"")</f>
        <v>No</v>
      </c>
      <c r="G57" s="75" t="str">
        <f aca="false">IF($J57=0,"",INDEX(EV_CUR,$J57)&amp;"")</f>
        <v>No expiry or period recorded</v>
      </c>
      <c r="H57" s="75" t="str">
        <f aca="false">IF($J57=0,"",INDEX(EV_NEXT,$J57)&amp;"")</f>
        <v>Request review records or screenshots</v>
      </c>
      <c r="J57" s="1" t="n">
        <f aca="false">IFERROR(MATCH(RptSup&amp;"|4",EV_RPT,0),0)</f>
        <v>4</v>
      </c>
    </row>
    <row r="58" customFormat="false" ht="36" hidden="false" customHeight="true" outlineLevel="0" collapsed="false">
      <c r="A58" s="75" t="str">
        <f aca="false">IF($J58=0,"",INDEX(EV_ID,$J58)&amp;"")</f>
        <v/>
      </c>
      <c r="B58" s="75" t="str">
        <f aca="false">IF($J58=0,"",INDEX(EV_TYPE,$J58)&amp;"")</f>
        <v/>
      </c>
      <c r="C58" s="75" t="str">
        <f aca="false">IF($J58=0,"",INDEX(EV_TITLE,$J58)&amp;"")</f>
        <v/>
      </c>
      <c r="D58" s="75" t="str">
        <f aca="false">IF($J58=0,"",INDEX(EV_VERIF,$J58)&amp;"")</f>
        <v/>
      </c>
      <c r="E58" s="75" t="str">
        <f aca="false">IF($J58=0,"",INDEX(EV_SUFF,$J58)&amp;"")</f>
        <v/>
      </c>
      <c r="F58" s="75" t="str">
        <f aca="false">IF($J58=0,"",INDEX(EV_SCOPELIM,$J58)&amp;"")</f>
        <v/>
      </c>
      <c r="G58" s="75" t="str">
        <f aca="false">IF($J58=0,"",INDEX(EV_CUR,$J58)&amp;"")</f>
        <v/>
      </c>
      <c r="H58" s="75" t="str">
        <f aca="false">IF($J58=0,"",INDEX(EV_NEXT,$J58)&amp;"")</f>
        <v/>
      </c>
      <c r="J58" s="1" t="n">
        <f aca="false">IFERROR(MATCH(RptSup&amp;"|5",EV_RPT,0),0)</f>
        <v>0</v>
      </c>
    </row>
    <row r="59" customFormat="false" ht="36" hidden="false" customHeight="true" outlineLevel="0" collapsed="false">
      <c r="A59" s="75" t="str">
        <f aca="false">IF($J59=0,"",INDEX(EV_ID,$J59)&amp;"")</f>
        <v/>
      </c>
      <c r="B59" s="75" t="str">
        <f aca="false">IF($J59=0,"",INDEX(EV_TYPE,$J59)&amp;"")</f>
        <v/>
      </c>
      <c r="C59" s="75" t="str">
        <f aca="false">IF($J59=0,"",INDEX(EV_TITLE,$J59)&amp;"")</f>
        <v/>
      </c>
      <c r="D59" s="75" t="str">
        <f aca="false">IF($J59=0,"",INDEX(EV_VERIF,$J59)&amp;"")</f>
        <v/>
      </c>
      <c r="E59" s="75" t="str">
        <f aca="false">IF($J59=0,"",INDEX(EV_SUFF,$J59)&amp;"")</f>
        <v/>
      </c>
      <c r="F59" s="75" t="str">
        <f aca="false">IF($J59=0,"",INDEX(EV_SCOPELIM,$J59)&amp;"")</f>
        <v/>
      </c>
      <c r="G59" s="75" t="str">
        <f aca="false">IF($J59=0,"",INDEX(EV_CUR,$J59)&amp;"")</f>
        <v/>
      </c>
      <c r="H59" s="75" t="str">
        <f aca="false">IF($J59=0,"",INDEX(EV_NEXT,$J59)&amp;"")</f>
        <v/>
      </c>
      <c r="J59" s="1" t="n">
        <f aca="false">IFERROR(MATCH(RptSup&amp;"|6",EV_RPT,0),0)</f>
        <v>0</v>
      </c>
    </row>
    <row r="60" customFormat="false" ht="36" hidden="false" customHeight="true" outlineLevel="0" collapsed="false">
      <c r="A60" s="75" t="str">
        <f aca="false">IF($J60=0,"",INDEX(EV_ID,$J60)&amp;"")</f>
        <v/>
      </c>
      <c r="B60" s="75" t="str">
        <f aca="false">IF($J60=0,"",INDEX(EV_TYPE,$J60)&amp;"")</f>
        <v/>
      </c>
      <c r="C60" s="75" t="str">
        <f aca="false">IF($J60=0,"",INDEX(EV_TITLE,$J60)&amp;"")</f>
        <v/>
      </c>
      <c r="D60" s="75" t="str">
        <f aca="false">IF($J60=0,"",INDEX(EV_VERIF,$J60)&amp;"")</f>
        <v/>
      </c>
      <c r="E60" s="75" t="str">
        <f aca="false">IF($J60=0,"",INDEX(EV_SUFF,$J60)&amp;"")</f>
        <v/>
      </c>
      <c r="F60" s="75" t="str">
        <f aca="false">IF($J60=0,"",INDEX(EV_SCOPELIM,$J60)&amp;"")</f>
        <v/>
      </c>
      <c r="G60" s="75" t="str">
        <f aca="false">IF($J60=0,"",INDEX(EV_CUR,$J60)&amp;"")</f>
        <v/>
      </c>
      <c r="H60" s="75" t="str">
        <f aca="false">IF($J60=0,"",INDEX(EV_NEXT,$J60)&amp;"")</f>
        <v/>
      </c>
      <c r="J60" s="1" t="n">
        <f aca="false">IFERROR(MATCH(RptSup&amp;"|7",EV_RPT,0),0)</f>
        <v>0</v>
      </c>
    </row>
    <row r="61" customFormat="false" ht="36" hidden="false" customHeight="true" outlineLevel="0" collapsed="false">
      <c r="A61" s="75" t="str">
        <f aca="false">IF($J61=0,"",INDEX(EV_ID,$J61)&amp;"")</f>
        <v/>
      </c>
      <c r="B61" s="75" t="str">
        <f aca="false">IF($J61=0,"",INDEX(EV_TYPE,$J61)&amp;"")</f>
        <v/>
      </c>
      <c r="C61" s="75" t="str">
        <f aca="false">IF($J61=0,"",INDEX(EV_TITLE,$J61)&amp;"")</f>
        <v/>
      </c>
      <c r="D61" s="75" t="str">
        <f aca="false">IF($J61=0,"",INDEX(EV_VERIF,$J61)&amp;"")</f>
        <v/>
      </c>
      <c r="E61" s="75" t="str">
        <f aca="false">IF($J61=0,"",INDEX(EV_SUFF,$J61)&amp;"")</f>
        <v/>
      </c>
      <c r="F61" s="75" t="str">
        <f aca="false">IF($J61=0,"",INDEX(EV_SCOPELIM,$J61)&amp;"")</f>
        <v/>
      </c>
      <c r="G61" s="75" t="str">
        <f aca="false">IF($J61=0,"",INDEX(EV_CUR,$J61)&amp;"")</f>
        <v/>
      </c>
      <c r="H61" s="75" t="str">
        <f aca="false">IF($J61=0,"",INDEX(EV_NEXT,$J61)&amp;"")</f>
        <v/>
      </c>
      <c r="J61" s="1" t="n">
        <f aca="false">IFERROR(MATCH(RptSup&amp;"|8",EV_RPT,0),0)</f>
        <v>0</v>
      </c>
    </row>
    <row r="63" customFormat="false" ht="15" hidden="false" customHeight="false" outlineLevel="0" collapsed="false">
      <c r="A63" s="5" t="s">
        <v>1876</v>
      </c>
      <c r="B63" s="6"/>
      <c r="C63" s="6"/>
      <c r="D63" s="6"/>
      <c r="E63" s="6"/>
      <c r="F63" s="6"/>
      <c r="G63" s="6"/>
      <c r="H63" s="6"/>
    </row>
    <row r="64" customFormat="false" ht="30" hidden="false" customHeight="true" outlineLevel="0" collapsed="false">
      <c r="A64" s="69" t="s">
        <v>1877</v>
      </c>
      <c r="B64" s="69"/>
      <c r="C64" s="8" t="str">
        <f aca="false">IF(RptRow=0,"",COUNTIFS(FND_SUP,RptSup,FND_ACTIVE,"Active",FND_TYPE,"Confirmed control weakness")&amp;" confirmed weakness; "&amp;COUNTIFS(FND_SUP,RptSup,FND_ACTIVE,"Active",FND_TYPE,"Evidence gap")&amp;" evidence gap; "&amp;COUNTIFS(FND_SUP,RptSup,FND_ACTIVE,"Active",FND_TYPE,"Control exception")&amp;" control exception; "&amp;COUNTIFS(FND_SUP,RptSup,FND_ACTIVE,"Active",FND_TYPE,"Contractual gap")&amp;" contractual gap; "&amp;COUNTIFS(FND_SUP,RptSup,FND_ACTIVE,"Active",FND_TYPE,"Unresolved dependency")&amp;" unresolved dependency; "&amp;COUNTIFS(FND_SUP,RptSup,FND_ACTIVE,"Active",FND_TYPE,"Improvement opportunity")&amp;" improvement; "&amp;COUNTIFS(FND_SUP,RptSup,FND_OVERDUE,"Overdue")&amp;" overdue")</f>
        <v>1 confirmed weakness; 1 evidence gap; 0 control exception; 0 contractual gap; 0 unresolved dependency; 0 improvement; 1 overdue</v>
      </c>
      <c r="D64" s="8"/>
      <c r="E64" s="8"/>
      <c r="F64" s="8"/>
      <c r="G64" s="8"/>
      <c r="H64" s="8"/>
    </row>
    <row r="65" customFormat="false" ht="15" hidden="false" customHeight="false" outlineLevel="0" collapsed="false">
      <c r="A65" s="70" t="s">
        <v>1399</v>
      </c>
      <c r="B65" s="70" t="s">
        <v>1870</v>
      </c>
      <c r="C65" s="70" t="s">
        <v>1404</v>
      </c>
      <c r="D65" s="70" t="s">
        <v>214</v>
      </c>
      <c r="E65" s="70" t="s">
        <v>1410</v>
      </c>
      <c r="F65" s="70" t="s">
        <v>1412</v>
      </c>
      <c r="G65" s="70" t="s">
        <v>1878</v>
      </c>
      <c r="H65" s="70" t="s">
        <v>1879</v>
      </c>
    </row>
    <row r="66" customFormat="false" ht="36" hidden="false" customHeight="true" outlineLevel="0" collapsed="false">
      <c r="A66" s="75" t="str">
        <f aca="false">IF($J66=0,"",INDEX(FND_ID,$J66)&amp;"")</f>
        <v>F-001</v>
      </c>
      <c r="B66" s="75" t="str">
        <f aca="false">IF($J66=0,"",INDEX(FND_TYPE,$J66)&amp;"")</f>
        <v>Evidence gap</v>
      </c>
      <c r="C66" s="75" t="str">
        <f aca="false">IF($J66=0,"",INDEX(FND_OBS,$J66)&amp;"")</f>
        <v>Supplier attests reviews occur but provided no review records.</v>
      </c>
      <c r="D66" s="75" t="str">
        <f aca="false">IF($J66=0,"",INDEX(FND_SEV,$J66)&amp;"")</f>
        <v>High</v>
      </c>
      <c r="E66" s="75" t="str">
        <f aca="false">IF($J66=0,"",INDEX(FND_STATUS,$J66)&amp;"")</f>
        <v>Open</v>
      </c>
      <c r="F66" s="76" t="n">
        <f aca="false">IF($J66=0,"",IF(INDEX(FND_TARGET,$J66)="","",INDEX(FND_TARGET,$J66)))</f>
        <v>46310</v>
      </c>
      <c r="G66" s="75" t="str">
        <f aca="false">IF($J66=0,"",INDEX(FND_OVERDUE,$J66)&amp;"")</f>
        <v>Overdue</v>
      </c>
      <c r="H66" s="75" t="str">
        <f aca="false">IF($J66=0,"",INDEX(FND_RISK,$J66)&amp;"")</f>
        <v>TPR-002</v>
      </c>
      <c r="J66" s="1" t="n">
        <f aca="false">IFERROR(MATCH(RptSup&amp;"|1",FND_RPT,0),0)</f>
        <v>1</v>
      </c>
    </row>
    <row r="67" customFormat="false" ht="36" hidden="false" customHeight="true" outlineLevel="0" collapsed="false">
      <c r="A67" s="75" t="str">
        <f aca="false">IF($J67=0,"",INDEX(FND_ID,$J67)&amp;"")</f>
        <v>F-002</v>
      </c>
      <c r="B67" s="75" t="str">
        <f aca="false">IF($J67=0,"",INDEX(FND_TYPE,$J67)&amp;"")</f>
        <v>Confirmed control weakness</v>
      </c>
      <c r="C67" s="75" t="str">
        <f aca="false">IF($J67=0,"",INDEX(FND_OBS,$J67)&amp;"")</f>
        <v>Test covered 1 of 4 critical services; RTO not demonstrated for others.</v>
      </c>
      <c r="D67" s="75" t="str">
        <f aca="false">IF($J67=0,"",INDEX(FND_SEV,$J67)&amp;"")</f>
        <v>High</v>
      </c>
      <c r="E67" s="75" t="str">
        <f aca="false">IF($J67=0,"",INDEX(FND_STATUS,$J67)&amp;"")</f>
        <v>In remediation</v>
      </c>
      <c r="F67" s="76" t="n">
        <f aca="false">IF($J67=0,"",IF(INDEX(FND_TARGET,$J67)="","",INDEX(FND_TARGET,$J67)))</f>
        <v>46371</v>
      </c>
      <c r="G67" s="75" t="str">
        <f aca="false">IF($J67=0,"",INDEX(FND_OVERDUE,$J67)&amp;"")</f>
        <v/>
      </c>
      <c r="H67" s="75" t="str">
        <f aca="false">IF($J67=0,"",INDEX(FND_RISK,$J67)&amp;"")</f>
        <v>TPR-001</v>
      </c>
      <c r="J67" s="1" t="n">
        <f aca="false">IFERROR(MATCH(RptSup&amp;"|2",FND_RPT,0),0)</f>
        <v>2</v>
      </c>
    </row>
    <row r="68" customFormat="false" ht="36" hidden="false" customHeight="true" outlineLevel="0" collapsed="false">
      <c r="A68" s="75" t="str">
        <f aca="false">IF($J68=0,"",INDEX(FND_ID,$J68)&amp;"")</f>
        <v/>
      </c>
      <c r="B68" s="75" t="str">
        <f aca="false">IF($J68=0,"",INDEX(FND_TYPE,$J68)&amp;"")</f>
        <v/>
      </c>
      <c r="C68" s="75" t="str">
        <f aca="false">IF($J68=0,"",INDEX(FND_OBS,$J68)&amp;"")</f>
        <v/>
      </c>
      <c r="D68" s="75" t="str">
        <f aca="false">IF($J68=0,"",INDEX(FND_SEV,$J68)&amp;"")</f>
        <v/>
      </c>
      <c r="E68" s="75" t="str">
        <f aca="false">IF($J68=0,"",INDEX(FND_STATUS,$J68)&amp;"")</f>
        <v/>
      </c>
      <c r="F68" s="76" t="str">
        <f aca="false">IF($J68=0,"",IF(INDEX(FND_TARGET,$J68)="","",INDEX(FND_TARGET,$J68)))</f>
        <v/>
      </c>
      <c r="G68" s="75" t="str">
        <f aca="false">IF($J68=0,"",INDEX(FND_OVERDUE,$J68)&amp;"")</f>
        <v/>
      </c>
      <c r="H68" s="75" t="str">
        <f aca="false">IF($J68=0,"",INDEX(FND_RISK,$J68)&amp;"")</f>
        <v/>
      </c>
      <c r="J68" s="1" t="n">
        <f aca="false">IFERROR(MATCH(RptSup&amp;"|3",FND_RPT,0),0)</f>
        <v>0</v>
      </c>
    </row>
    <row r="69" customFormat="false" ht="36" hidden="false" customHeight="true" outlineLevel="0" collapsed="false">
      <c r="A69" s="75" t="str">
        <f aca="false">IF($J69=0,"",INDEX(FND_ID,$J69)&amp;"")</f>
        <v/>
      </c>
      <c r="B69" s="75" t="str">
        <f aca="false">IF($J69=0,"",INDEX(FND_TYPE,$J69)&amp;"")</f>
        <v/>
      </c>
      <c r="C69" s="75" t="str">
        <f aca="false">IF($J69=0,"",INDEX(FND_OBS,$J69)&amp;"")</f>
        <v/>
      </c>
      <c r="D69" s="75" t="str">
        <f aca="false">IF($J69=0,"",INDEX(FND_SEV,$J69)&amp;"")</f>
        <v/>
      </c>
      <c r="E69" s="75" t="str">
        <f aca="false">IF($J69=0,"",INDEX(FND_STATUS,$J69)&amp;"")</f>
        <v/>
      </c>
      <c r="F69" s="76" t="str">
        <f aca="false">IF($J69=0,"",IF(INDEX(FND_TARGET,$J69)="","",INDEX(FND_TARGET,$J69)))</f>
        <v/>
      </c>
      <c r="G69" s="75" t="str">
        <f aca="false">IF($J69=0,"",INDEX(FND_OVERDUE,$J69)&amp;"")</f>
        <v/>
      </c>
      <c r="H69" s="75" t="str">
        <f aca="false">IF($J69=0,"",INDEX(FND_RISK,$J69)&amp;"")</f>
        <v/>
      </c>
      <c r="J69" s="1" t="n">
        <f aca="false">IFERROR(MATCH(RptSup&amp;"|4",FND_RPT,0),0)</f>
        <v>0</v>
      </c>
    </row>
    <row r="70" customFormat="false" ht="36" hidden="false" customHeight="true" outlineLevel="0" collapsed="false">
      <c r="A70" s="75" t="str">
        <f aca="false">IF($J70=0,"",INDEX(FND_ID,$J70)&amp;"")</f>
        <v/>
      </c>
      <c r="B70" s="75" t="str">
        <f aca="false">IF($J70=0,"",INDEX(FND_TYPE,$J70)&amp;"")</f>
        <v/>
      </c>
      <c r="C70" s="75" t="str">
        <f aca="false">IF($J70=0,"",INDEX(FND_OBS,$J70)&amp;"")</f>
        <v/>
      </c>
      <c r="D70" s="75" t="str">
        <f aca="false">IF($J70=0,"",INDEX(FND_SEV,$J70)&amp;"")</f>
        <v/>
      </c>
      <c r="E70" s="75" t="str">
        <f aca="false">IF($J70=0,"",INDEX(FND_STATUS,$J70)&amp;"")</f>
        <v/>
      </c>
      <c r="F70" s="76" t="str">
        <f aca="false">IF($J70=0,"",IF(INDEX(FND_TARGET,$J70)="","",INDEX(FND_TARGET,$J70)))</f>
        <v/>
      </c>
      <c r="G70" s="75" t="str">
        <f aca="false">IF($J70=0,"",INDEX(FND_OVERDUE,$J70)&amp;"")</f>
        <v/>
      </c>
      <c r="H70" s="75" t="str">
        <f aca="false">IF($J70=0,"",INDEX(FND_RISK,$J70)&amp;"")</f>
        <v/>
      </c>
      <c r="J70" s="1" t="n">
        <f aca="false">IFERROR(MATCH(RptSup&amp;"|5",FND_RPT,0),0)</f>
        <v>0</v>
      </c>
    </row>
    <row r="71" customFormat="false" ht="36" hidden="false" customHeight="true" outlineLevel="0" collapsed="false">
      <c r="A71" s="75" t="str">
        <f aca="false">IF($J71=0,"",INDEX(FND_ID,$J71)&amp;"")</f>
        <v/>
      </c>
      <c r="B71" s="75" t="str">
        <f aca="false">IF($J71=0,"",INDEX(FND_TYPE,$J71)&amp;"")</f>
        <v/>
      </c>
      <c r="C71" s="75" t="str">
        <f aca="false">IF($J71=0,"",INDEX(FND_OBS,$J71)&amp;"")</f>
        <v/>
      </c>
      <c r="D71" s="75" t="str">
        <f aca="false">IF($J71=0,"",INDEX(FND_SEV,$J71)&amp;"")</f>
        <v/>
      </c>
      <c r="E71" s="75" t="str">
        <f aca="false">IF($J71=0,"",INDEX(FND_STATUS,$J71)&amp;"")</f>
        <v/>
      </c>
      <c r="F71" s="76" t="str">
        <f aca="false">IF($J71=0,"",IF(INDEX(FND_TARGET,$J71)="","",INDEX(FND_TARGET,$J71)))</f>
        <v/>
      </c>
      <c r="G71" s="75" t="str">
        <f aca="false">IF($J71=0,"",INDEX(FND_OVERDUE,$J71)&amp;"")</f>
        <v/>
      </c>
      <c r="H71" s="75" t="str">
        <f aca="false">IF($J71=0,"",INDEX(FND_RISK,$J71)&amp;"")</f>
        <v/>
      </c>
      <c r="J71" s="1" t="n">
        <f aca="false">IFERROR(MATCH(RptSup&amp;"|6",FND_RPT,0),0)</f>
        <v>0</v>
      </c>
    </row>
    <row r="72" customFormat="false" ht="36" hidden="false" customHeight="true" outlineLevel="0" collapsed="false">
      <c r="A72" s="75" t="str">
        <f aca="false">IF($J72=0,"",INDEX(FND_ID,$J72)&amp;"")</f>
        <v/>
      </c>
      <c r="B72" s="75" t="str">
        <f aca="false">IF($J72=0,"",INDEX(FND_TYPE,$J72)&amp;"")</f>
        <v/>
      </c>
      <c r="C72" s="75" t="str">
        <f aca="false">IF($J72=0,"",INDEX(FND_OBS,$J72)&amp;"")</f>
        <v/>
      </c>
      <c r="D72" s="75" t="str">
        <f aca="false">IF($J72=0,"",INDEX(FND_SEV,$J72)&amp;"")</f>
        <v/>
      </c>
      <c r="E72" s="75" t="str">
        <f aca="false">IF($J72=0,"",INDEX(FND_STATUS,$J72)&amp;"")</f>
        <v/>
      </c>
      <c r="F72" s="76" t="str">
        <f aca="false">IF($J72=0,"",IF(INDEX(FND_TARGET,$J72)="","",INDEX(FND_TARGET,$J72)))</f>
        <v/>
      </c>
      <c r="G72" s="75" t="str">
        <f aca="false">IF($J72=0,"",INDEX(FND_OVERDUE,$J72)&amp;"")</f>
        <v/>
      </c>
      <c r="H72" s="75" t="str">
        <f aca="false">IF($J72=0,"",INDEX(FND_RISK,$J72)&amp;"")</f>
        <v/>
      </c>
      <c r="J72" s="1" t="n">
        <f aca="false">IFERROR(MATCH(RptSup&amp;"|7",FND_RPT,0),0)</f>
        <v>0</v>
      </c>
    </row>
    <row r="73" customFormat="false" ht="36" hidden="false" customHeight="true" outlineLevel="0" collapsed="false">
      <c r="A73" s="75" t="str">
        <f aca="false">IF($J73=0,"",INDEX(FND_ID,$J73)&amp;"")</f>
        <v/>
      </c>
      <c r="B73" s="75" t="str">
        <f aca="false">IF($J73=0,"",INDEX(FND_TYPE,$J73)&amp;"")</f>
        <v/>
      </c>
      <c r="C73" s="75" t="str">
        <f aca="false">IF($J73=0,"",INDEX(FND_OBS,$J73)&amp;"")</f>
        <v/>
      </c>
      <c r="D73" s="75" t="str">
        <f aca="false">IF($J73=0,"",INDEX(FND_SEV,$J73)&amp;"")</f>
        <v/>
      </c>
      <c r="E73" s="75" t="str">
        <f aca="false">IF($J73=0,"",INDEX(FND_STATUS,$J73)&amp;"")</f>
        <v/>
      </c>
      <c r="F73" s="76" t="str">
        <f aca="false">IF($J73=0,"",IF(INDEX(FND_TARGET,$J73)="","",INDEX(FND_TARGET,$J73)))</f>
        <v/>
      </c>
      <c r="G73" s="75" t="str">
        <f aca="false">IF($J73=0,"",INDEX(FND_OVERDUE,$J73)&amp;"")</f>
        <v/>
      </c>
      <c r="H73" s="75" t="str">
        <f aca="false">IF($J73=0,"",INDEX(FND_RISK,$J73)&amp;"")</f>
        <v/>
      </c>
      <c r="J73" s="1" t="n">
        <f aca="false">IFERROR(MATCH(RptSup&amp;"|8",FND_RPT,0),0)</f>
        <v>0</v>
      </c>
    </row>
    <row r="74" customFormat="false" ht="36" hidden="false" customHeight="true" outlineLevel="0" collapsed="false">
      <c r="A74" s="75" t="str">
        <f aca="false">IF($J74=0,"",INDEX(FND_ID,$J74)&amp;"")</f>
        <v/>
      </c>
      <c r="B74" s="75" t="str">
        <f aca="false">IF($J74=0,"",INDEX(FND_TYPE,$J74)&amp;"")</f>
        <v/>
      </c>
      <c r="C74" s="75" t="str">
        <f aca="false">IF($J74=0,"",INDEX(FND_OBS,$J74)&amp;"")</f>
        <v/>
      </c>
      <c r="D74" s="75" t="str">
        <f aca="false">IF($J74=0,"",INDEX(FND_SEV,$J74)&amp;"")</f>
        <v/>
      </c>
      <c r="E74" s="75" t="str">
        <f aca="false">IF($J74=0,"",INDEX(FND_STATUS,$J74)&amp;"")</f>
        <v/>
      </c>
      <c r="F74" s="76" t="str">
        <f aca="false">IF($J74=0,"",IF(INDEX(FND_TARGET,$J74)="","",INDEX(FND_TARGET,$J74)))</f>
        <v/>
      </c>
      <c r="G74" s="75" t="str">
        <f aca="false">IF($J74=0,"",INDEX(FND_OVERDUE,$J74)&amp;"")</f>
        <v/>
      </c>
      <c r="H74" s="75" t="str">
        <f aca="false">IF($J74=0,"",INDEX(FND_RISK,$J74)&amp;"")</f>
        <v/>
      </c>
      <c r="J74" s="1" t="n">
        <f aca="false">IFERROR(MATCH(RptSup&amp;"|9",FND_RPT,0),0)</f>
        <v>0</v>
      </c>
    </row>
    <row r="75" customFormat="false" ht="36" hidden="false" customHeight="true" outlineLevel="0" collapsed="false">
      <c r="A75" s="75" t="str">
        <f aca="false">IF($J75=0,"",INDEX(FND_ID,$J75)&amp;"")</f>
        <v/>
      </c>
      <c r="B75" s="75" t="str">
        <f aca="false">IF($J75=0,"",INDEX(FND_TYPE,$J75)&amp;"")</f>
        <v/>
      </c>
      <c r="C75" s="75" t="str">
        <f aca="false">IF($J75=0,"",INDEX(FND_OBS,$J75)&amp;"")</f>
        <v/>
      </c>
      <c r="D75" s="75" t="str">
        <f aca="false">IF($J75=0,"",INDEX(FND_SEV,$J75)&amp;"")</f>
        <v/>
      </c>
      <c r="E75" s="75" t="str">
        <f aca="false">IF($J75=0,"",INDEX(FND_STATUS,$J75)&amp;"")</f>
        <v/>
      </c>
      <c r="F75" s="76" t="str">
        <f aca="false">IF($J75=0,"",IF(INDEX(FND_TARGET,$J75)="","",INDEX(FND_TARGET,$J75)))</f>
        <v/>
      </c>
      <c r="G75" s="75" t="str">
        <f aca="false">IF($J75=0,"",INDEX(FND_OVERDUE,$J75)&amp;"")</f>
        <v/>
      </c>
      <c r="H75" s="75" t="str">
        <f aca="false">IF($J75=0,"",INDEX(FND_RISK,$J75)&amp;"")</f>
        <v/>
      </c>
      <c r="J75" s="1" t="n">
        <f aca="false">IFERROR(MATCH(RptSup&amp;"|10",FND_RPT,0),0)</f>
        <v>0</v>
      </c>
    </row>
    <row r="77" customFormat="false" ht="15" hidden="false" customHeight="false" outlineLevel="0" collapsed="false">
      <c r="A77" s="5" t="s">
        <v>1880</v>
      </c>
      <c r="B77" s="6"/>
      <c r="C77" s="6"/>
      <c r="D77" s="6"/>
      <c r="E77" s="6"/>
      <c r="F77" s="6"/>
      <c r="G77" s="6"/>
      <c r="H77" s="6"/>
    </row>
    <row r="78" customFormat="false" ht="18" hidden="false" customHeight="true" outlineLevel="0" collapsed="false">
      <c r="A78" s="69" t="s">
        <v>1881</v>
      </c>
      <c r="B78" s="69"/>
      <c r="C78" s="8" t="str">
        <f aca="false">IF(RptRow=0,"",IF(COUNTIFS(RSK_SUP,RptSup)=0,"No risks recorded",IF(COUNTIFS(RSK_SUP,RptSup,RSK_RSCORE,"&gt;0")=0,"Incomplete - no complete residual assessment",_xlfn.MAXIFS(RSK_RSCORE,RSK_SUP,RptSup)&amp;" ("&amp;LOOKUP(_xlfn.MAXIFS(RSK_RSCORE,RSK_SUP,RptSup),BandMin,BandName)&amp;")")))</f>
        <v>15 (High)</v>
      </c>
      <c r="D78" s="8"/>
      <c r="E78" s="8"/>
      <c r="F78" s="8"/>
      <c r="G78" s="8"/>
      <c r="H78" s="8"/>
    </row>
    <row r="79" customFormat="false" ht="18" hidden="false" customHeight="true" outlineLevel="0" collapsed="false">
      <c r="A79" s="69" t="s">
        <v>1882</v>
      </c>
      <c r="B79" s="69"/>
      <c r="C79" s="8" t="n">
        <f aca="false">IF(RptRow=0,"",COUNTIFS(RSK_SUP,RptSup,RSK_RBAND,"Incomplete"))</f>
        <v>0</v>
      </c>
      <c r="D79" s="8"/>
      <c r="E79" s="8"/>
      <c r="F79" s="8"/>
      <c r="G79" s="8"/>
      <c r="H79" s="8"/>
    </row>
    <row r="80" customFormat="false" ht="18" hidden="false" customHeight="true" outlineLevel="0" collapsed="false">
      <c r="A80" s="69" t="s">
        <v>1883</v>
      </c>
      <c r="B80" s="69"/>
      <c r="C80" s="8" t="str">
        <f aca="false">IF(RptRow=0,"",IF(AppetiteThreshold="","Not configured - appetite position cannot be stated",COUNTIFS(RSK_SUP,RptSup,RSK_APP,"Above*")&amp;" risk(s) above appetite; "&amp;COUNTIFS(RSK_SUP,RptSup,RSK_APP,"Within*")&amp;" within appetite; "&amp;COUNTIFS(RSK_SUP,RptSup,RSK_APP,"Cannot*")&amp;" cannot be assessed"))</f>
        <v>2 risk(s) above appetite; 1 within appetite; 0 cannot be assessed</v>
      </c>
      <c r="D80" s="8"/>
      <c r="E80" s="8"/>
      <c r="F80" s="8"/>
      <c r="G80" s="8"/>
      <c r="H80" s="8"/>
    </row>
    <row r="81" customFormat="false" ht="15" hidden="false" customHeight="false" outlineLevel="0" collapsed="false">
      <c r="A81" s="70" t="s">
        <v>604</v>
      </c>
      <c r="B81" s="70" t="s">
        <v>1884</v>
      </c>
      <c r="C81" s="70" t="s">
        <v>1885</v>
      </c>
      <c r="D81" s="70" t="s">
        <v>1886</v>
      </c>
      <c r="E81" s="70" t="s">
        <v>625</v>
      </c>
      <c r="F81" s="70" t="s">
        <v>626</v>
      </c>
      <c r="G81" s="70" t="s">
        <v>120</v>
      </c>
      <c r="H81" s="70" t="s">
        <v>630</v>
      </c>
    </row>
    <row r="82" customFormat="false" ht="39.75" hidden="false" customHeight="true" outlineLevel="0" collapsed="false">
      <c r="A82" s="75" t="str">
        <f aca="false">IF($J82=0,"",INDEX(RSK_ID,$J82)&amp;"")</f>
        <v>TPR-001</v>
      </c>
      <c r="B82" s="75" t="str">
        <f aca="false">IF($J82=0,"",INDEX(RSK_RBAND,$J82)&amp;"")</f>
        <v>High</v>
      </c>
      <c r="C82" s="75" t="str">
        <f aca="false">IF($J82=0,"",INDEX(RSK_RRAT,$J82)&amp;"")</f>
        <v>Contractual availability commitments and partial failover reduce likelihood, but recovery test covered 1 of 4 critical services (F-002).</v>
      </c>
      <c r="D82" s="75" t="n">
        <f aca="false">IF($J82=0,"",IF(INDEX(RSK_RSCORE,$J82)="","",INDEX(RSK_RSCORE,$J82)))</f>
        <v>15</v>
      </c>
      <c r="E82" s="75" t="n">
        <f aca="false">IF($J82=0,"",IF(INDEX(RSK_TSCORE,$J82)="","",INDEX(RSK_TSCORE,$J82)))</f>
        <v>8</v>
      </c>
      <c r="F82" s="75" t="str">
        <f aca="false">IF($J82=0,"",INDEX(RSK_TBAND,$J82)&amp;"")</f>
        <v>Moderate</v>
      </c>
      <c r="G82" s="75" t="str">
        <f aca="false">IF($J82=0,"",INDEX(RSK_APP,$J82)&amp;"")</f>
        <v>Above appetite - escalation required</v>
      </c>
      <c r="H82" s="75" t="str">
        <f aca="false">IF($J82=0,"",INDEX(RSK_DECSTAT,$J82)&amp;"")</f>
        <v>Risk accepted - Authorised (user-entered record)</v>
      </c>
      <c r="J82" s="1" t="n">
        <f aca="false">IFERROR(MATCH(RptSup&amp;"|1",RSK_RPT,0),0)</f>
        <v>1</v>
      </c>
    </row>
    <row r="83" customFormat="false" ht="39.75" hidden="false" customHeight="true" outlineLevel="0" collapsed="false">
      <c r="A83" s="75" t="str">
        <f aca="false">IF($J83=0,"",INDEX(RSK_ID,$J83)&amp;"")</f>
        <v>TPR-002</v>
      </c>
      <c r="B83" s="75" t="str">
        <f aca="false">IF($J83=0,"",INDEX(RSK_RBAND,$J83)&amp;"")</f>
        <v>High</v>
      </c>
      <c r="C83" s="75" t="str">
        <f aca="false">IF($J83=0,"",INDEX(RSK_RRAT,$J83)&amp;"")</f>
        <v>Strong design and ISO 27001 certification, but operating effectiveness of privileged access reviews is not evidenced; conservative likelihood retained.</v>
      </c>
      <c r="D83" s="75" t="n">
        <f aca="false">IF($J83=0,"",IF(INDEX(RSK_RSCORE,$J83)="","",INDEX(RSK_RSCORE,$J83)))</f>
        <v>12</v>
      </c>
      <c r="E83" s="75" t="n">
        <f aca="false">IF($J83=0,"",IF(INDEX(RSK_TSCORE,$J83)="","",INDEX(RSK_TSCORE,$J83)))</f>
        <v>8</v>
      </c>
      <c r="F83" s="75" t="str">
        <f aca="false">IF($J83=0,"",INDEX(RSK_TBAND,$J83)&amp;"")</f>
        <v>Moderate</v>
      </c>
      <c r="G83" s="75" t="str">
        <f aca="false">IF($J83=0,"",INDEX(RSK_APP,$J83)&amp;"")</f>
        <v>Above appetite - escalation required</v>
      </c>
      <c r="H83" s="75" t="str">
        <f aca="false">IF($J83=0,"",INDEX(RSK_DECSTAT,$J83)&amp;"")</f>
        <v>No decision referenced</v>
      </c>
      <c r="J83" s="1" t="n">
        <f aca="false">IFERROR(MATCH(RptSup&amp;"|2",RSK_RPT,0),0)</f>
        <v>2</v>
      </c>
    </row>
    <row r="84" customFormat="false" ht="39.75" hidden="false" customHeight="true" outlineLevel="0" collapsed="false">
      <c r="A84" s="75" t="str">
        <f aca="false">IF($J84=0,"",INDEX(RSK_ID,$J84)&amp;"")</f>
        <v>TPR-003</v>
      </c>
      <c r="B84" s="75" t="str">
        <f aca="false">IF($J84=0,"",INDEX(RSK_RBAND,$J84)&amp;"")</f>
        <v>Moderate</v>
      </c>
      <c r="C84" s="75" t="str">
        <f aca="false">IF($J84=0,"",INDEX(RSK_RRAT,$J84)&amp;"")</f>
        <v>Tier III facility and secondary region provide mitigation; subcontractor notification right missing (CON-004).</v>
      </c>
      <c r="D84" s="75" t="n">
        <f aca="false">IF($J84=0,"",IF(INDEX(RSK_RSCORE,$J84)="","",INDEX(RSK_RSCORE,$J84)))</f>
        <v>10</v>
      </c>
      <c r="E84" s="75" t="n">
        <f aca="false">IF($J84=0,"",IF(INDEX(RSK_TSCORE,$J84)="","",INDEX(RSK_TSCORE,$J84)))</f>
        <v>8</v>
      </c>
      <c r="F84" s="75" t="str">
        <f aca="false">IF($J84=0,"",INDEX(RSK_TBAND,$J84)&amp;"")</f>
        <v>Moderate</v>
      </c>
      <c r="G84" s="75" t="str">
        <f aca="false">IF($J84=0,"",INDEX(RSK_APP,$J84)&amp;"")</f>
        <v>Within appetite</v>
      </c>
      <c r="H84" s="75" t="str">
        <f aca="false">IF($J84=0,"",INDEX(RSK_DECSTAT,$J84)&amp;"")</f>
        <v>No decision referenced</v>
      </c>
      <c r="J84" s="1" t="n">
        <f aca="false">IFERROR(MATCH(RptSup&amp;"|3",RSK_RPT,0),0)</f>
        <v>3</v>
      </c>
    </row>
    <row r="85" customFormat="false" ht="39.75" hidden="false" customHeight="true" outlineLevel="0" collapsed="false">
      <c r="A85" s="75" t="str">
        <f aca="false">IF($J85=0,"",INDEX(RSK_ID,$J85)&amp;"")</f>
        <v/>
      </c>
      <c r="B85" s="75" t="str">
        <f aca="false">IF($J85=0,"",INDEX(RSK_RBAND,$J85)&amp;"")</f>
        <v/>
      </c>
      <c r="C85" s="75" t="str">
        <f aca="false">IF($J85=0,"",INDEX(RSK_RRAT,$J85)&amp;"")</f>
        <v/>
      </c>
      <c r="D85" s="75" t="str">
        <f aca="false">IF($J85=0,"",IF(INDEX(RSK_RSCORE,$J85)="","",INDEX(RSK_RSCORE,$J85)))</f>
        <v/>
      </c>
      <c r="E85" s="75" t="str">
        <f aca="false">IF($J85=0,"",IF(INDEX(RSK_TSCORE,$J85)="","",INDEX(RSK_TSCORE,$J85)))</f>
        <v/>
      </c>
      <c r="F85" s="75" t="str">
        <f aca="false">IF($J85=0,"",INDEX(RSK_TBAND,$J85)&amp;"")</f>
        <v/>
      </c>
      <c r="G85" s="75" t="str">
        <f aca="false">IF($J85=0,"",INDEX(RSK_APP,$J85)&amp;"")</f>
        <v/>
      </c>
      <c r="H85" s="75" t="str">
        <f aca="false">IF($J85=0,"",INDEX(RSK_DECSTAT,$J85)&amp;"")</f>
        <v/>
      </c>
      <c r="J85" s="1" t="n">
        <f aca="false">IFERROR(MATCH(RptSup&amp;"|4",RSK_RPT,0),0)</f>
        <v>0</v>
      </c>
    </row>
    <row r="86" customFormat="false" ht="39.75" hidden="false" customHeight="true" outlineLevel="0" collapsed="false">
      <c r="A86" s="75" t="str">
        <f aca="false">IF($J86=0,"",INDEX(RSK_ID,$J86)&amp;"")</f>
        <v/>
      </c>
      <c r="B86" s="75" t="str">
        <f aca="false">IF($J86=0,"",INDEX(RSK_RBAND,$J86)&amp;"")</f>
        <v/>
      </c>
      <c r="C86" s="75" t="str">
        <f aca="false">IF($J86=0,"",INDEX(RSK_RRAT,$J86)&amp;"")</f>
        <v/>
      </c>
      <c r="D86" s="75" t="str">
        <f aca="false">IF($J86=0,"",IF(INDEX(RSK_RSCORE,$J86)="","",INDEX(RSK_RSCORE,$J86)))</f>
        <v/>
      </c>
      <c r="E86" s="75" t="str">
        <f aca="false">IF($J86=0,"",IF(INDEX(RSK_TSCORE,$J86)="","",INDEX(RSK_TSCORE,$J86)))</f>
        <v/>
      </c>
      <c r="F86" s="75" t="str">
        <f aca="false">IF($J86=0,"",INDEX(RSK_TBAND,$J86)&amp;"")</f>
        <v/>
      </c>
      <c r="G86" s="75" t="str">
        <f aca="false">IF($J86=0,"",INDEX(RSK_APP,$J86)&amp;"")</f>
        <v/>
      </c>
      <c r="H86" s="75" t="str">
        <f aca="false">IF($J86=0,"",INDEX(RSK_DECSTAT,$J86)&amp;"")</f>
        <v/>
      </c>
      <c r="J86" s="1" t="n">
        <f aca="false">IFERROR(MATCH(RptSup&amp;"|5",RSK_RPT,0),0)</f>
        <v>0</v>
      </c>
    </row>
    <row r="87" customFormat="false" ht="39.75" hidden="false" customHeight="true" outlineLevel="0" collapsed="false">
      <c r="A87" s="75" t="str">
        <f aca="false">IF($J87=0,"",INDEX(RSK_ID,$J87)&amp;"")</f>
        <v/>
      </c>
      <c r="B87" s="75" t="str">
        <f aca="false">IF($J87=0,"",INDEX(RSK_RBAND,$J87)&amp;"")</f>
        <v/>
      </c>
      <c r="C87" s="75" t="str">
        <f aca="false">IF($J87=0,"",INDEX(RSK_RRAT,$J87)&amp;"")</f>
        <v/>
      </c>
      <c r="D87" s="75" t="str">
        <f aca="false">IF($J87=0,"",IF(INDEX(RSK_RSCORE,$J87)="","",INDEX(RSK_RSCORE,$J87)))</f>
        <v/>
      </c>
      <c r="E87" s="75" t="str">
        <f aca="false">IF($J87=0,"",IF(INDEX(RSK_TSCORE,$J87)="","",INDEX(RSK_TSCORE,$J87)))</f>
        <v/>
      </c>
      <c r="F87" s="75" t="str">
        <f aca="false">IF($J87=0,"",INDEX(RSK_TBAND,$J87)&amp;"")</f>
        <v/>
      </c>
      <c r="G87" s="75" t="str">
        <f aca="false">IF($J87=0,"",INDEX(RSK_APP,$J87)&amp;"")</f>
        <v/>
      </c>
      <c r="H87" s="75" t="str">
        <f aca="false">IF($J87=0,"",INDEX(RSK_DECSTAT,$J87)&amp;"")</f>
        <v/>
      </c>
      <c r="J87" s="1" t="n">
        <f aca="false">IFERROR(MATCH(RptSup&amp;"|6",RSK_RPT,0),0)</f>
        <v>0</v>
      </c>
    </row>
    <row r="88" customFormat="false" ht="39.75" hidden="false" customHeight="true" outlineLevel="0" collapsed="false">
      <c r="A88" s="75" t="str">
        <f aca="false">IF($J88=0,"",INDEX(RSK_ID,$J88)&amp;"")</f>
        <v/>
      </c>
      <c r="B88" s="75" t="str">
        <f aca="false">IF($J88=0,"",INDEX(RSK_RBAND,$J88)&amp;"")</f>
        <v/>
      </c>
      <c r="C88" s="75" t="str">
        <f aca="false">IF($J88=0,"",INDEX(RSK_RRAT,$J88)&amp;"")</f>
        <v/>
      </c>
      <c r="D88" s="75" t="str">
        <f aca="false">IF($J88=0,"",IF(INDEX(RSK_RSCORE,$J88)="","",INDEX(RSK_RSCORE,$J88)))</f>
        <v/>
      </c>
      <c r="E88" s="75" t="str">
        <f aca="false">IF($J88=0,"",IF(INDEX(RSK_TSCORE,$J88)="","",INDEX(RSK_TSCORE,$J88)))</f>
        <v/>
      </c>
      <c r="F88" s="75" t="str">
        <f aca="false">IF($J88=0,"",INDEX(RSK_TBAND,$J88)&amp;"")</f>
        <v/>
      </c>
      <c r="G88" s="75" t="str">
        <f aca="false">IF($J88=0,"",INDEX(RSK_APP,$J88)&amp;"")</f>
        <v/>
      </c>
      <c r="H88" s="75" t="str">
        <f aca="false">IF($J88=0,"",INDEX(RSK_DECSTAT,$J88)&amp;"")</f>
        <v/>
      </c>
      <c r="J88" s="1" t="n">
        <f aca="false">IFERROR(MATCH(RptSup&amp;"|7",RSK_RPT,0),0)</f>
        <v>0</v>
      </c>
    </row>
    <row r="89" customFormat="false" ht="39.75" hidden="false" customHeight="true" outlineLevel="0" collapsed="false">
      <c r="A89" s="75" t="str">
        <f aca="false">IF($J89=0,"",INDEX(RSK_ID,$J89)&amp;"")</f>
        <v/>
      </c>
      <c r="B89" s="75" t="str">
        <f aca="false">IF($J89=0,"",INDEX(RSK_RBAND,$J89)&amp;"")</f>
        <v/>
      </c>
      <c r="C89" s="75" t="str">
        <f aca="false">IF($J89=0,"",INDEX(RSK_RRAT,$J89)&amp;"")</f>
        <v/>
      </c>
      <c r="D89" s="75" t="str">
        <f aca="false">IF($J89=0,"",IF(INDEX(RSK_RSCORE,$J89)="","",INDEX(RSK_RSCORE,$J89)))</f>
        <v/>
      </c>
      <c r="E89" s="75" t="str">
        <f aca="false">IF($J89=0,"",IF(INDEX(RSK_TSCORE,$J89)="","",INDEX(RSK_TSCORE,$J89)))</f>
        <v/>
      </c>
      <c r="F89" s="75" t="str">
        <f aca="false">IF($J89=0,"",INDEX(RSK_TBAND,$J89)&amp;"")</f>
        <v/>
      </c>
      <c r="G89" s="75" t="str">
        <f aca="false">IF($J89=0,"",INDEX(RSK_APP,$J89)&amp;"")</f>
        <v/>
      </c>
      <c r="H89" s="75" t="str">
        <f aca="false">IF($J89=0,"",INDEX(RSK_DECSTAT,$J89)&amp;"")</f>
        <v/>
      </c>
      <c r="J89" s="1" t="n">
        <f aca="false">IFERROR(MATCH(RptSup&amp;"|8",RSK_RPT,0),0)</f>
        <v>0</v>
      </c>
    </row>
    <row r="90" customFormat="false" ht="39.75" hidden="false" customHeight="true" outlineLevel="0" collapsed="false">
      <c r="A90" s="75" t="str">
        <f aca="false">IF($J90=0,"",INDEX(RSK_ID,$J90)&amp;"")</f>
        <v/>
      </c>
      <c r="B90" s="75" t="str">
        <f aca="false">IF($J90=0,"",INDEX(RSK_RBAND,$J90)&amp;"")</f>
        <v/>
      </c>
      <c r="C90" s="75" t="str">
        <f aca="false">IF($J90=0,"",INDEX(RSK_RRAT,$J90)&amp;"")</f>
        <v/>
      </c>
      <c r="D90" s="75" t="str">
        <f aca="false">IF($J90=0,"",IF(INDEX(RSK_RSCORE,$J90)="","",INDEX(RSK_RSCORE,$J90)))</f>
        <v/>
      </c>
      <c r="E90" s="75" t="str">
        <f aca="false">IF($J90=0,"",IF(INDEX(RSK_TSCORE,$J90)="","",INDEX(RSK_TSCORE,$J90)))</f>
        <v/>
      </c>
      <c r="F90" s="75" t="str">
        <f aca="false">IF($J90=0,"",INDEX(RSK_TBAND,$J90)&amp;"")</f>
        <v/>
      </c>
      <c r="G90" s="75" t="str">
        <f aca="false">IF($J90=0,"",INDEX(RSK_APP,$J90)&amp;"")</f>
        <v/>
      </c>
      <c r="H90" s="75" t="str">
        <f aca="false">IF($J90=0,"",INDEX(RSK_DECSTAT,$J90)&amp;"")</f>
        <v/>
      </c>
      <c r="J90" s="1" t="n">
        <f aca="false">IFERROR(MATCH(RptSup&amp;"|9",RSK_RPT,0),0)</f>
        <v>0</v>
      </c>
    </row>
    <row r="91" customFormat="false" ht="39.75" hidden="false" customHeight="true" outlineLevel="0" collapsed="false">
      <c r="A91" s="75" t="str">
        <f aca="false">IF($J91=0,"",INDEX(RSK_ID,$J91)&amp;"")</f>
        <v/>
      </c>
      <c r="B91" s="75" t="str">
        <f aca="false">IF($J91=0,"",INDEX(RSK_RBAND,$J91)&amp;"")</f>
        <v/>
      </c>
      <c r="C91" s="75" t="str">
        <f aca="false">IF($J91=0,"",INDEX(RSK_RRAT,$J91)&amp;"")</f>
        <v/>
      </c>
      <c r="D91" s="75" t="str">
        <f aca="false">IF($J91=0,"",IF(INDEX(RSK_RSCORE,$J91)="","",INDEX(RSK_RSCORE,$J91)))</f>
        <v/>
      </c>
      <c r="E91" s="75" t="str">
        <f aca="false">IF($J91=0,"",IF(INDEX(RSK_TSCORE,$J91)="","",INDEX(RSK_TSCORE,$J91)))</f>
        <v/>
      </c>
      <c r="F91" s="75" t="str">
        <f aca="false">IF($J91=0,"",INDEX(RSK_TBAND,$J91)&amp;"")</f>
        <v/>
      </c>
      <c r="G91" s="75" t="str">
        <f aca="false">IF($J91=0,"",INDEX(RSK_APP,$J91)&amp;"")</f>
        <v/>
      </c>
      <c r="H91" s="75" t="str">
        <f aca="false">IF($J91=0,"",INDEX(RSK_DECSTAT,$J91)&amp;"")</f>
        <v/>
      </c>
      <c r="J91" s="1" t="n">
        <f aca="false">IFERROR(MATCH(RptSup&amp;"|10",RSK_RPT,0),0)</f>
        <v>0</v>
      </c>
    </row>
    <row r="93" customFormat="false" ht="15" hidden="false" customHeight="false" outlineLevel="0" collapsed="false">
      <c r="A93" s="5" t="s">
        <v>1887</v>
      </c>
      <c r="B93" s="6"/>
      <c r="C93" s="6"/>
      <c r="D93" s="6"/>
      <c r="E93" s="6"/>
      <c r="F93" s="6"/>
      <c r="G93" s="6"/>
      <c r="H93" s="6"/>
    </row>
    <row r="94" customFormat="false" ht="18" hidden="false" customHeight="true" outlineLevel="0" collapsed="false">
      <c r="A94" s="69" t="s">
        <v>1888</v>
      </c>
      <c r="B94" s="69"/>
      <c r="C94" s="8" t="str">
        <f aca="false">IF(RptRow=0,"",COUNTIFS(TRT_SUP,RptSup,TRT_OPEN,"Open")&amp;" open; "&amp;COUNTIFS(TRT_SUP,RptSup,TRT_OVERDUE,"Overdue")&amp;" overdue; "&amp;COUNTIFS(TRT_SUP,RptSup,TRT_STATE,"Delivered*")&amp;" delivered awaiting verification")</f>
        <v>2 open; 1 overdue; 0 delivered awaiting verification</v>
      </c>
      <c r="D94" s="8"/>
      <c r="E94" s="8"/>
      <c r="F94" s="8"/>
      <c r="G94" s="8"/>
      <c r="H94" s="8"/>
    </row>
    <row r="95" customFormat="false" ht="15" hidden="false" customHeight="false" outlineLevel="0" collapsed="false">
      <c r="A95" s="70" t="s">
        <v>1889</v>
      </c>
      <c r="B95" s="70" t="s">
        <v>1890</v>
      </c>
      <c r="C95" s="70" t="s">
        <v>1462</v>
      </c>
      <c r="D95" s="70" t="s">
        <v>1891</v>
      </c>
      <c r="E95" s="70" t="s">
        <v>1892</v>
      </c>
      <c r="F95" s="70" t="s">
        <v>1872</v>
      </c>
      <c r="G95" s="70" t="s">
        <v>1878</v>
      </c>
      <c r="H95" s="70" t="s">
        <v>1893</v>
      </c>
    </row>
    <row r="96" customFormat="false" ht="36" hidden="false" customHeight="true" outlineLevel="0" collapsed="false">
      <c r="A96" s="75" t="str">
        <f aca="false">IF($J96=0,"",INDEX(TRT_ID,$J96)&amp;"")</f>
        <v>TR-001</v>
      </c>
      <c r="B96" s="75" t="str">
        <f aca="false">IF($J96=0,"",INDEX(TRT_APPROACH,$J96)&amp;"")</f>
        <v>Reduce</v>
      </c>
      <c r="C96" s="75" t="str">
        <f aca="false">IF($J96=0,"",INDEX(TRT_ACTION,$J96)&amp;"")</f>
        <v>Obtain evidence of quarterly privileged access reviews.</v>
      </c>
      <c r="D96" s="76" t="n">
        <f aca="false">IF($J96=0,"",IF(INDEX(TRT_DUE,$J96)="","",INDEX(TRT_DUE,$J96)))</f>
        <v>46310</v>
      </c>
      <c r="E96" s="75" t="str">
        <f aca="false">IF($J96=0,"",INDEX(TRT_STATE,$J96)&amp;"")</f>
        <v>In progress</v>
      </c>
      <c r="F96" s="75" t="str">
        <f aca="false">IF($J96=0,"",INDEX(TRT_VERSTAT,$J96)&amp;"")</f>
        <v>Pending</v>
      </c>
      <c r="G96" s="75" t="str">
        <f aca="false">IF($J96=0,"",INDEX(TRT_OVERDUE,$J96)&amp;"")</f>
        <v>Overdue</v>
      </c>
      <c r="H96" s="75" t="str">
        <f aca="false">IF($J96=0,"",INDEX(TRT_AOWNER,$J96)&amp;"")</f>
        <v>J. Okafor</v>
      </c>
      <c r="J96" s="1" t="n">
        <f aca="false">IFERROR(MATCH(RptSup&amp;"|1",TRT_RPT,0),0)</f>
        <v>1</v>
      </c>
    </row>
    <row r="97" customFormat="false" ht="36" hidden="false" customHeight="true" outlineLevel="0" collapsed="false">
      <c r="A97" s="75" t="str">
        <f aca="false">IF($J97=0,"",INDEX(TRT_ID,$J97)&amp;"")</f>
        <v>TR-002</v>
      </c>
      <c r="B97" s="75" t="str">
        <f aca="false">IF($J97=0,"",INDEX(TRT_APPROACH,$J97)&amp;"")</f>
        <v>Reduce</v>
      </c>
      <c r="C97" s="75" t="str">
        <f aca="false">IF($J97=0,"",INDEX(TRT_ACTION,$J97)&amp;"")</f>
        <v>Run full recovery test of all critical services and share results.</v>
      </c>
      <c r="D97" s="76" t="n">
        <f aca="false">IF($J97=0,"",IF(INDEX(TRT_DUE,$J97)="","",INDEX(TRT_DUE,$J97)))</f>
        <v>46371</v>
      </c>
      <c r="E97" s="75" t="str">
        <f aca="false">IF($J97=0,"",INDEX(TRT_STATE,$J97)&amp;"")</f>
        <v>In progress</v>
      </c>
      <c r="F97" s="75" t="str">
        <f aca="false">IF($J97=0,"",INDEX(TRT_VERSTAT,$J97)&amp;"")</f>
        <v>Pending</v>
      </c>
      <c r="G97" s="75" t="str">
        <f aca="false">IF($J97=0,"",INDEX(TRT_OVERDUE,$J97)&amp;"")</f>
        <v/>
      </c>
      <c r="H97" s="75" t="str">
        <f aca="false">IF($J97=0,"",INDEX(TRT_AOWNER,$J97)&amp;"")</f>
        <v>J. Okafor</v>
      </c>
      <c r="J97" s="1" t="n">
        <f aca="false">IFERROR(MATCH(RptSup&amp;"|2",TRT_RPT,0),0)</f>
        <v>2</v>
      </c>
    </row>
    <row r="98" customFormat="false" ht="36" hidden="false" customHeight="true" outlineLevel="0" collapsed="false">
      <c r="A98" s="75" t="str">
        <f aca="false">IF($J98=0,"",INDEX(TRT_ID,$J98)&amp;"")</f>
        <v/>
      </c>
      <c r="B98" s="75" t="str">
        <f aca="false">IF($J98=0,"",INDEX(TRT_APPROACH,$J98)&amp;"")</f>
        <v/>
      </c>
      <c r="C98" s="75" t="str">
        <f aca="false">IF($J98=0,"",INDEX(TRT_ACTION,$J98)&amp;"")</f>
        <v/>
      </c>
      <c r="D98" s="76" t="str">
        <f aca="false">IF($J98=0,"",IF(INDEX(TRT_DUE,$J98)="","",INDEX(TRT_DUE,$J98)))</f>
        <v/>
      </c>
      <c r="E98" s="75" t="str">
        <f aca="false">IF($J98=0,"",INDEX(TRT_STATE,$J98)&amp;"")</f>
        <v/>
      </c>
      <c r="F98" s="75" t="str">
        <f aca="false">IF($J98=0,"",INDEX(TRT_VERSTAT,$J98)&amp;"")</f>
        <v/>
      </c>
      <c r="G98" s="75" t="str">
        <f aca="false">IF($J98=0,"",INDEX(TRT_OVERDUE,$J98)&amp;"")</f>
        <v/>
      </c>
      <c r="H98" s="75" t="str">
        <f aca="false">IF($J98=0,"",INDEX(TRT_AOWNER,$J98)&amp;"")</f>
        <v/>
      </c>
      <c r="J98" s="1" t="n">
        <f aca="false">IFERROR(MATCH(RptSup&amp;"|3",TRT_RPT,0),0)</f>
        <v>0</v>
      </c>
    </row>
    <row r="99" customFormat="false" ht="36" hidden="false" customHeight="true" outlineLevel="0" collapsed="false">
      <c r="A99" s="75" t="str">
        <f aca="false">IF($J99=0,"",INDEX(TRT_ID,$J99)&amp;"")</f>
        <v/>
      </c>
      <c r="B99" s="75" t="str">
        <f aca="false">IF($J99=0,"",INDEX(TRT_APPROACH,$J99)&amp;"")</f>
        <v/>
      </c>
      <c r="C99" s="75" t="str">
        <f aca="false">IF($J99=0,"",INDEX(TRT_ACTION,$J99)&amp;"")</f>
        <v/>
      </c>
      <c r="D99" s="76" t="str">
        <f aca="false">IF($J99=0,"",IF(INDEX(TRT_DUE,$J99)="","",INDEX(TRT_DUE,$J99)))</f>
        <v/>
      </c>
      <c r="E99" s="75" t="str">
        <f aca="false">IF($J99=0,"",INDEX(TRT_STATE,$J99)&amp;"")</f>
        <v/>
      </c>
      <c r="F99" s="75" t="str">
        <f aca="false">IF($J99=0,"",INDEX(TRT_VERSTAT,$J99)&amp;"")</f>
        <v/>
      </c>
      <c r="G99" s="75" t="str">
        <f aca="false">IF($J99=0,"",INDEX(TRT_OVERDUE,$J99)&amp;"")</f>
        <v/>
      </c>
      <c r="H99" s="75" t="str">
        <f aca="false">IF($J99=0,"",INDEX(TRT_AOWNER,$J99)&amp;"")</f>
        <v/>
      </c>
      <c r="J99" s="1" t="n">
        <f aca="false">IFERROR(MATCH(RptSup&amp;"|4",TRT_RPT,0),0)</f>
        <v>0</v>
      </c>
    </row>
    <row r="100" customFormat="false" ht="36" hidden="false" customHeight="true" outlineLevel="0" collapsed="false">
      <c r="A100" s="75" t="str">
        <f aca="false">IF($J100=0,"",INDEX(TRT_ID,$J100)&amp;"")</f>
        <v/>
      </c>
      <c r="B100" s="75" t="str">
        <f aca="false">IF($J100=0,"",INDEX(TRT_APPROACH,$J100)&amp;"")</f>
        <v/>
      </c>
      <c r="C100" s="75" t="str">
        <f aca="false">IF($J100=0,"",INDEX(TRT_ACTION,$J100)&amp;"")</f>
        <v/>
      </c>
      <c r="D100" s="76" t="str">
        <f aca="false">IF($J100=0,"",IF(INDEX(TRT_DUE,$J100)="","",INDEX(TRT_DUE,$J100)))</f>
        <v/>
      </c>
      <c r="E100" s="75" t="str">
        <f aca="false">IF($J100=0,"",INDEX(TRT_STATE,$J100)&amp;"")</f>
        <v/>
      </c>
      <c r="F100" s="75" t="str">
        <f aca="false">IF($J100=0,"",INDEX(TRT_VERSTAT,$J100)&amp;"")</f>
        <v/>
      </c>
      <c r="G100" s="75" t="str">
        <f aca="false">IF($J100=0,"",INDEX(TRT_OVERDUE,$J100)&amp;"")</f>
        <v/>
      </c>
      <c r="H100" s="75" t="str">
        <f aca="false">IF($J100=0,"",INDEX(TRT_AOWNER,$J100)&amp;"")</f>
        <v/>
      </c>
      <c r="J100" s="1" t="n">
        <f aca="false">IFERROR(MATCH(RptSup&amp;"|5",TRT_RPT,0),0)</f>
        <v>0</v>
      </c>
    </row>
    <row r="101" customFormat="false" ht="36" hidden="false" customHeight="true" outlineLevel="0" collapsed="false">
      <c r="A101" s="75" t="str">
        <f aca="false">IF($J101=0,"",INDEX(TRT_ID,$J101)&amp;"")</f>
        <v/>
      </c>
      <c r="B101" s="75" t="str">
        <f aca="false">IF($J101=0,"",INDEX(TRT_APPROACH,$J101)&amp;"")</f>
        <v/>
      </c>
      <c r="C101" s="75" t="str">
        <f aca="false">IF($J101=0,"",INDEX(TRT_ACTION,$J101)&amp;"")</f>
        <v/>
      </c>
      <c r="D101" s="76" t="str">
        <f aca="false">IF($J101=0,"",IF(INDEX(TRT_DUE,$J101)="","",INDEX(TRT_DUE,$J101)))</f>
        <v/>
      </c>
      <c r="E101" s="75" t="str">
        <f aca="false">IF($J101=0,"",INDEX(TRT_STATE,$J101)&amp;"")</f>
        <v/>
      </c>
      <c r="F101" s="75" t="str">
        <f aca="false">IF($J101=0,"",INDEX(TRT_VERSTAT,$J101)&amp;"")</f>
        <v/>
      </c>
      <c r="G101" s="75" t="str">
        <f aca="false">IF($J101=0,"",INDEX(TRT_OVERDUE,$J101)&amp;"")</f>
        <v/>
      </c>
      <c r="H101" s="75" t="str">
        <f aca="false">IF($J101=0,"",INDEX(TRT_AOWNER,$J101)&amp;"")</f>
        <v/>
      </c>
      <c r="J101" s="1" t="n">
        <f aca="false">IFERROR(MATCH(RptSup&amp;"|6",TRT_RPT,0),0)</f>
        <v>0</v>
      </c>
    </row>
    <row r="102" customFormat="false" ht="36" hidden="false" customHeight="true" outlineLevel="0" collapsed="false">
      <c r="A102" s="75" t="str">
        <f aca="false">IF($J102=0,"",INDEX(TRT_ID,$J102)&amp;"")</f>
        <v/>
      </c>
      <c r="B102" s="75" t="str">
        <f aca="false">IF($J102=0,"",INDEX(TRT_APPROACH,$J102)&amp;"")</f>
        <v/>
      </c>
      <c r="C102" s="75" t="str">
        <f aca="false">IF($J102=0,"",INDEX(TRT_ACTION,$J102)&amp;"")</f>
        <v/>
      </c>
      <c r="D102" s="76" t="str">
        <f aca="false">IF($J102=0,"",IF(INDEX(TRT_DUE,$J102)="","",INDEX(TRT_DUE,$J102)))</f>
        <v/>
      </c>
      <c r="E102" s="75" t="str">
        <f aca="false">IF($J102=0,"",INDEX(TRT_STATE,$J102)&amp;"")</f>
        <v/>
      </c>
      <c r="F102" s="75" t="str">
        <f aca="false">IF($J102=0,"",INDEX(TRT_VERSTAT,$J102)&amp;"")</f>
        <v/>
      </c>
      <c r="G102" s="75" t="str">
        <f aca="false">IF($J102=0,"",INDEX(TRT_OVERDUE,$J102)&amp;"")</f>
        <v/>
      </c>
      <c r="H102" s="75" t="str">
        <f aca="false">IF($J102=0,"",INDEX(TRT_AOWNER,$J102)&amp;"")</f>
        <v/>
      </c>
      <c r="J102" s="1" t="n">
        <f aca="false">IFERROR(MATCH(RptSup&amp;"|7",TRT_RPT,0),0)</f>
        <v>0</v>
      </c>
    </row>
    <row r="103" customFormat="false" ht="36" hidden="false" customHeight="true" outlineLevel="0" collapsed="false">
      <c r="A103" s="75" t="str">
        <f aca="false">IF($J103=0,"",INDEX(TRT_ID,$J103)&amp;"")</f>
        <v/>
      </c>
      <c r="B103" s="75" t="str">
        <f aca="false">IF($J103=0,"",INDEX(TRT_APPROACH,$J103)&amp;"")</f>
        <v/>
      </c>
      <c r="C103" s="75" t="str">
        <f aca="false">IF($J103=0,"",INDEX(TRT_ACTION,$J103)&amp;"")</f>
        <v/>
      </c>
      <c r="D103" s="76" t="str">
        <f aca="false">IF($J103=0,"",IF(INDEX(TRT_DUE,$J103)="","",INDEX(TRT_DUE,$J103)))</f>
        <v/>
      </c>
      <c r="E103" s="75" t="str">
        <f aca="false">IF($J103=0,"",INDEX(TRT_STATE,$J103)&amp;"")</f>
        <v/>
      </c>
      <c r="F103" s="75" t="str">
        <f aca="false">IF($J103=0,"",INDEX(TRT_VERSTAT,$J103)&amp;"")</f>
        <v/>
      </c>
      <c r="G103" s="75" t="str">
        <f aca="false">IF($J103=0,"",INDEX(TRT_OVERDUE,$J103)&amp;"")</f>
        <v/>
      </c>
      <c r="H103" s="75" t="str">
        <f aca="false">IF($J103=0,"",INDEX(TRT_AOWNER,$J103)&amp;"")</f>
        <v/>
      </c>
      <c r="J103" s="1" t="n">
        <f aca="false">IFERROR(MATCH(RptSup&amp;"|8",TRT_RPT,0),0)</f>
        <v>0</v>
      </c>
    </row>
    <row r="104" customFormat="false" ht="36" hidden="false" customHeight="true" outlineLevel="0" collapsed="false">
      <c r="A104" s="75" t="str">
        <f aca="false">IF($J104=0,"",INDEX(TRT_ID,$J104)&amp;"")</f>
        <v/>
      </c>
      <c r="B104" s="75" t="str">
        <f aca="false">IF($J104=0,"",INDEX(TRT_APPROACH,$J104)&amp;"")</f>
        <v/>
      </c>
      <c r="C104" s="75" t="str">
        <f aca="false">IF($J104=0,"",INDEX(TRT_ACTION,$J104)&amp;"")</f>
        <v/>
      </c>
      <c r="D104" s="76" t="str">
        <f aca="false">IF($J104=0,"",IF(INDEX(TRT_DUE,$J104)="","",INDEX(TRT_DUE,$J104)))</f>
        <v/>
      </c>
      <c r="E104" s="75" t="str">
        <f aca="false">IF($J104=0,"",INDEX(TRT_STATE,$J104)&amp;"")</f>
        <v/>
      </c>
      <c r="F104" s="75" t="str">
        <f aca="false">IF($J104=0,"",INDEX(TRT_VERSTAT,$J104)&amp;"")</f>
        <v/>
      </c>
      <c r="G104" s="75" t="str">
        <f aca="false">IF($J104=0,"",INDEX(TRT_OVERDUE,$J104)&amp;"")</f>
        <v/>
      </c>
      <c r="H104" s="75" t="str">
        <f aca="false">IF($J104=0,"",INDEX(TRT_AOWNER,$J104)&amp;"")</f>
        <v/>
      </c>
      <c r="J104" s="1" t="n">
        <f aca="false">IFERROR(MATCH(RptSup&amp;"|9",TRT_RPT,0),0)</f>
        <v>0</v>
      </c>
    </row>
    <row r="105" customFormat="false" ht="36" hidden="false" customHeight="true" outlineLevel="0" collapsed="false">
      <c r="A105" s="75" t="str">
        <f aca="false">IF($J105=0,"",INDEX(TRT_ID,$J105)&amp;"")</f>
        <v/>
      </c>
      <c r="B105" s="75" t="str">
        <f aca="false">IF($J105=0,"",INDEX(TRT_APPROACH,$J105)&amp;"")</f>
        <v/>
      </c>
      <c r="C105" s="75" t="str">
        <f aca="false">IF($J105=0,"",INDEX(TRT_ACTION,$J105)&amp;"")</f>
        <v/>
      </c>
      <c r="D105" s="76" t="str">
        <f aca="false">IF($J105=0,"",IF(INDEX(TRT_DUE,$J105)="","",INDEX(TRT_DUE,$J105)))</f>
        <v/>
      </c>
      <c r="E105" s="75" t="str">
        <f aca="false">IF($J105=0,"",INDEX(TRT_STATE,$J105)&amp;"")</f>
        <v/>
      </c>
      <c r="F105" s="75" t="str">
        <f aca="false">IF($J105=0,"",INDEX(TRT_VERSTAT,$J105)&amp;"")</f>
        <v/>
      </c>
      <c r="G105" s="75" t="str">
        <f aca="false">IF($J105=0,"",INDEX(TRT_OVERDUE,$J105)&amp;"")</f>
        <v/>
      </c>
      <c r="H105" s="75" t="str">
        <f aca="false">IF($J105=0,"",INDEX(TRT_AOWNER,$J105)&amp;"")</f>
        <v/>
      </c>
      <c r="J105" s="1" t="n">
        <f aca="false">IFERROR(MATCH(RptSup&amp;"|10",TRT_RPT,0),0)</f>
        <v>0</v>
      </c>
    </row>
    <row r="107" customFormat="false" ht="15" hidden="false" customHeight="false" outlineLevel="0" collapsed="false">
      <c r="A107" s="5" t="s">
        <v>1894</v>
      </c>
      <c r="B107" s="6"/>
      <c r="C107" s="6"/>
      <c r="D107" s="6"/>
      <c r="E107" s="6"/>
      <c r="F107" s="6"/>
      <c r="G107" s="6"/>
      <c r="H107" s="6"/>
    </row>
    <row r="108" customFormat="false" ht="15" hidden="false" customHeight="false" outlineLevel="0" collapsed="false">
      <c r="A108" s="70" t="s">
        <v>1584</v>
      </c>
      <c r="B108" s="70" t="s">
        <v>200</v>
      </c>
      <c r="C108" s="70" t="s">
        <v>1587</v>
      </c>
      <c r="D108" s="71"/>
      <c r="E108" s="71"/>
      <c r="F108" s="71"/>
      <c r="G108" s="70" t="s">
        <v>1895</v>
      </c>
      <c r="H108" s="70" t="s">
        <v>1896</v>
      </c>
    </row>
    <row r="109" customFormat="false" ht="36" hidden="false" customHeight="true" outlineLevel="0" collapsed="false">
      <c r="A109" s="75" t="str">
        <f aca="false">IF($J109=0,"",INDEX(CON_ID,$J109)&amp;"")</f>
        <v>CON-002</v>
      </c>
      <c r="B109" s="75" t="str">
        <f aca="false">IF($J109=0,"",INDEX(CON_DOMAIN,$J109)&amp;"")</f>
        <v>Audit and assurance</v>
      </c>
      <c r="C109" s="75" t="str">
        <f aca="false">IF($J109=0,"",INDEX(CON_GAP,$J109)&amp;"")</f>
        <v>Audit rights limited to annual desk-based review.</v>
      </c>
      <c r="G109" s="75" t="str">
        <f aca="false">IF($J109=0,"",INDEX(CON_DISP,$J109)&amp;"")</f>
        <v>Open</v>
      </c>
      <c r="H109" s="75" t="str">
        <f aca="false">IF($J109=0,"",INDEX(CON_AMEND,$J109)&amp;"")</f>
        <v>Add on-site audit right once per year</v>
      </c>
      <c r="J109" s="1" t="n">
        <f aca="false">IFERROR(MATCH(RptSup&amp;"|1",CON_RPT,0),0)</f>
        <v>2</v>
      </c>
    </row>
    <row r="110" customFormat="false" ht="36" hidden="false" customHeight="true" outlineLevel="0" collapsed="false">
      <c r="A110" s="75" t="str">
        <f aca="false">IF($J110=0,"",INDEX(CON_ID,$J110)&amp;"")</f>
        <v>CON-004</v>
      </c>
      <c r="B110" s="75" t="str">
        <f aca="false">IF($J110=0,"",INDEX(CON_DOMAIN,$J110)&amp;"")</f>
        <v>Subcontractors</v>
      </c>
      <c r="C110" s="75" t="str">
        <f aca="false">IF($J110=0,"",INDEX(CON_GAP,$J110)&amp;"")</f>
        <v>No obligation to notify changes to facility provider.</v>
      </c>
      <c r="G110" s="75" t="str">
        <f aca="false">IF($J110=0,"",INDEX(CON_DISP,$J110)&amp;"")</f>
        <v>Open</v>
      </c>
      <c r="H110" s="75" t="str">
        <f aca="false">IF($J110=0,"",INDEX(CON_AMEND,$J110)&amp;"")</f>
        <v>Add notification and objection right</v>
      </c>
      <c r="J110" s="1" t="n">
        <f aca="false">IFERROR(MATCH(RptSup&amp;"|2",CON_RPT,0),0)</f>
        <v>4</v>
      </c>
    </row>
    <row r="111" customFormat="false" ht="36" hidden="false" customHeight="true" outlineLevel="0" collapsed="false">
      <c r="A111" s="75" t="str">
        <f aca="false">IF($J111=0,"",INDEX(CON_ID,$J111)&amp;"")</f>
        <v/>
      </c>
      <c r="B111" s="75" t="str">
        <f aca="false">IF($J111=0,"",INDEX(CON_DOMAIN,$J111)&amp;"")</f>
        <v/>
      </c>
      <c r="C111" s="75" t="str">
        <f aca="false">IF($J111=0,"",INDEX(CON_GAP,$J111)&amp;"")</f>
        <v/>
      </c>
      <c r="G111" s="75" t="str">
        <f aca="false">IF($J111=0,"",INDEX(CON_DISP,$J111)&amp;"")</f>
        <v/>
      </c>
      <c r="H111" s="75" t="str">
        <f aca="false">IF($J111=0,"",INDEX(CON_AMEND,$J111)&amp;"")</f>
        <v/>
      </c>
      <c r="J111" s="1" t="n">
        <f aca="false">IFERROR(MATCH(RptSup&amp;"|3",CON_RPT,0),0)</f>
        <v>0</v>
      </c>
    </row>
    <row r="112" customFormat="false" ht="36" hidden="false" customHeight="true" outlineLevel="0" collapsed="false">
      <c r="A112" s="75" t="str">
        <f aca="false">IF($J112=0,"",INDEX(CON_ID,$J112)&amp;"")</f>
        <v/>
      </c>
      <c r="B112" s="75" t="str">
        <f aca="false">IF($J112=0,"",INDEX(CON_DOMAIN,$J112)&amp;"")</f>
        <v/>
      </c>
      <c r="C112" s="75" t="str">
        <f aca="false">IF($J112=0,"",INDEX(CON_GAP,$J112)&amp;"")</f>
        <v/>
      </c>
      <c r="G112" s="75" t="str">
        <f aca="false">IF($J112=0,"",INDEX(CON_DISP,$J112)&amp;"")</f>
        <v/>
      </c>
      <c r="H112" s="75" t="str">
        <f aca="false">IF($J112=0,"",INDEX(CON_AMEND,$J112)&amp;"")</f>
        <v/>
      </c>
      <c r="J112" s="1" t="n">
        <f aca="false">IFERROR(MATCH(RptSup&amp;"|4",CON_RPT,0),0)</f>
        <v>0</v>
      </c>
    </row>
    <row r="113" customFormat="false" ht="36" hidden="false" customHeight="true" outlineLevel="0" collapsed="false">
      <c r="A113" s="75" t="str">
        <f aca="false">IF($J113=0,"",INDEX(CON_ID,$J113)&amp;"")</f>
        <v/>
      </c>
      <c r="B113" s="75" t="str">
        <f aca="false">IF($J113=0,"",INDEX(CON_DOMAIN,$J113)&amp;"")</f>
        <v/>
      </c>
      <c r="C113" s="75" t="str">
        <f aca="false">IF($J113=0,"",INDEX(CON_GAP,$J113)&amp;"")</f>
        <v/>
      </c>
      <c r="G113" s="75" t="str">
        <f aca="false">IF($J113=0,"",INDEX(CON_DISP,$J113)&amp;"")</f>
        <v/>
      </c>
      <c r="H113" s="75" t="str">
        <f aca="false">IF($J113=0,"",INDEX(CON_AMEND,$J113)&amp;"")</f>
        <v/>
      </c>
      <c r="J113" s="1" t="n">
        <f aca="false">IFERROR(MATCH(RptSup&amp;"|5",CON_RPT,0),0)</f>
        <v>0</v>
      </c>
    </row>
    <row r="114" customFormat="false" ht="36" hidden="false" customHeight="true" outlineLevel="0" collapsed="false">
      <c r="A114" s="75" t="str">
        <f aca="false">IF($J114=0,"",INDEX(CON_ID,$J114)&amp;"")</f>
        <v/>
      </c>
      <c r="B114" s="75" t="str">
        <f aca="false">IF($J114=0,"",INDEX(CON_DOMAIN,$J114)&amp;"")</f>
        <v/>
      </c>
      <c r="C114" s="75" t="str">
        <f aca="false">IF($J114=0,"",INDEX(CON_GAP,$J114)&amp;"")</f>
        <v/>
      </c>
      <c r="G114" s="75" t="str">
        <f aca="false">IF($J114=0,"",INDEX(CON_DISP,$J114)&amp;"")</f>
        <v/>
      </c>
      <c r="H114" s="75" t="str">
        <f aca="false">IF($J114=0,"",INDEX(CON_AMEND,$J114)&amp;"")</f>
        <v/>
      </c>
      <c r="J114" s="1" t="n">
        <f aca="false">IFERROR(MATCH(RptSup&amp;"|6",CON_RPT,0),0)</f>
        <v>0</v>
      </c>
    </row>
    <row r="115" customFormat="false" ht="36" hidden="false" customHeight="true" outlineLevel="0" collapsed="false">
      <c r="A115" s="75" t="str">
        <f aca="false">IF($J115=0,"",INDEX(CON_ID,$J115)&amp;"")</f>
        <v/>
      </c>
      <c r="B115" s="75" t="str">
        <f aca="false">IF($J115=0,"",INDEX(CON_DOMAIN,$J115)&amp;"")</f>
        <v/>
      </c>
      <c r="C115" s="75" t="str">
        <f aca="false">IF($J115=0,"",INDEX(CON_GAP,$J115)&amp;"")</f>
        <v/>
      </c>
      <c r="G115" s="75" t="str">
        <f aca="false">IF($J115=0,"",INDEX(CON_DISP,$J115)&amp;"")</f>
        <v/>
      </c>
      <c r="H115" s="75" t="str">
        <f aca="false">IF($J115=0,"",INDEX(CON_AMEND,$J115)&amp;"")</f>
        <v/>
      </c>
      <c r="J115" s="1" t="n">
        <f aca="false">IFERROR(MATCH(RptSup&amp;"|7",CON_RPT,0),0)</f>
        <v>0</v>
      </c>
    </row>
    <row r="116" customFormat="false" ht="36" hidden="false" customHeight="true" outlineLevel="0" collapsed="false">
      <c r="A116" s="75" t="str">
        <f aca="false">IF($J116=0,"",INDEX(CON_ID,$J116)&amp;"")</f>
        <v/>
      </c>
      <c r="B116" s="75" t="str">
        <f aca="false">IF($J116=0,"",INDEX(CON_DOMAIN,$J116)&amp;"")</f>
        <v/>
      </c>
      <c r="C116" s="75" t="str">
        <f aca="false">IF($J116=0,"",INDEX(CON_GAP,$J116)&amp;"")</f>
        <v/>
      </c>
      <c r="G116" s="75" t="str">
        <f aca="false">IF($J116=0,"",INDEX(CON_DISP,$J116)&amp;"")</f>
        <v/>
      </c>
      <c r="H116" s="75" t="str">
        <f aca="false">IF($J116=0,"",INDEX(CON_AMEND,$J116)&amp;"")</f>
        <v/>
      </c>
      <c r="J116" s="1" t="n">
        <f aca="false">IFERROR(MATCH(RptSup&amp;"|8",CON_RPT,0),0)</f>
        <v>0</v>
      </c>
    </row>
    <row r="118" customFormat="false" ht="15" hidden="false" customHeight="false" outlineLevel="0" collapsed="false">
      <c r="A118" s="5" t="s">
        <v>1897</v>
      </c>
      <c r="B118" s="6"/>
      <c r="C118" s="6"/>
      <c r="D118" s="6"/>
      <c r="E118" s="6"/>
      <c r="F118" s="6"/>
      <c r="G118" s="6"/>
      <c r="H118" s="6"/>
    </row>
    <row r="119" customFormat="false" ht="43.5" hidden="false" customHeight="true" outlineLevel="0" collapsed="false">
      <c r="A119" s="69" t="s">
        <v>1898</v>
      </c>
      <c r="B119" s="69"/>
      <c r="C119" s="8" t="str">
        <f aca="false">IF(RptRow=0,"",IF(RptDec=0,"No analyst recommendation entered - add a supplier-level record in sheet 12",IF(INDEX(DEC_REC,RptDec)="","Recommendation field empty",INDEX(DEC_REC,RptDec)&amp;"")))</f>
        <v>Recommend conditional approval subject to completion and verification of TR-001 and TR-002 and receipt of updated SOC 2 report.</v>
      </c>
      <c r="D119" s="8"/>
      <c r="E119" s="8"/>
      <c r="F119" s="8"/>
      <c r="G119" s="8"/>
      <c r="H119" s="8"/>
    </row>
    <row r="120" customFormat="false" ht="43.5" hidden="false" customHeight="true" outlineLevel="0" collapsed="false">
      <c r="A120" s="69" t="s">
        <v>1899</v>
      </c>
      <c r="B120" s="69"/>
      <c r="C120" s="8" t="str">
        <f aca="false">IF(RptDec=0,"",INDEX(DEC_RATIONALE,RptDec)&amp;"")</f>
        <v>Strong design and certified controls, but two High findings open and recovery not fully evidenced.</v>
      </c>
      <c r="D120" s="8"/>
      <c r="E120" s="8"/>
      <c r="F120" s="8"/>
      <c r="G120" s="8"/>
      <c r="H120" s="8"/>
    </row>
    <row r="122" customFormat="false" ht="15" hidden="false" customHeight="false" outlineLevel="0" collapsed="false">
      <c r="A122" s="5" t="s">
        <v>1900</v>
      </c>
      <c r="B122" s="6"/>
      <c r="C122" s="6"/>
      <c r="D122" s="6"/>
      <c r="E122" s="6"/>
      <c r="F122" s="6"/>
      <c r="G122" s="6"/>
      <c r="H122" s="6"/>
    </row>
    <row r="123" customFormat="false" ht="18" hidden="false" customHeight="true" outlineLevel="0" collapsed="false">
      <c r="A123" s="69" t="s">
        <v>1901</v>
      </c>
      <c r="B123" s="69"/>
      <c r="C123" s="8" t="str">
        <f aca="false">IF(RptRow=0,"",IF(RptDec=0,"No decision record",IF(INDEX(DEC_FINAL,RptDec)="","Not yet decided",INDEX(DEC_FINAL,RptDec)&amp;"")))</f>
        <v>Conditionally approved</v>
      </c>
      <c r="D123" s="8"/>
      <c r="E123" s="8"/>
      <c r="F123" s="8"/>
      <c r="G123" s="8"/>
      <c r="H123" s="8"/>
    </row>
    <row r="124" customFormat="false" ht="18" hidden="false" customHeight="true" outlineLevel="0" collapsed="false">
      <c r="A124" s="69" t="s">
        <v>1902</v>
      </c>
      <c r="B124" s="69"/>
      <c r="C124" s="8" t="str">
        <f aca="false">IF(RptDec=0,"",INDEX(DEC_CURR,RptDec)&amp;"")</f>
        <v>Authorised (user-entered record)</v>
      </c>
      <c r="D124" s="8"/>
      <c r="E124" s="8"/>
      <c r="F124" s="8"/>
      <c r="G124" s="8"/>
      <c r="H124" s="8"/>
    </row>
    <row r="125" customFormat="false" ht="18" hidden="false" customHeight="true" outlineLevel="0" collapsed="false">
      <c r="A125" s="69" t="s">
        <v>1903</v>
      </c>
      <c r="B125" s="69"/>
      <c r="C125" s="8" t="str">
        <f aca="false">IF(RptDec=0,"",IF(INDEX(DEC_DDATE,RptDec)="","no decision date",TEXT(INDEX(DEC_DDATE,RptDec),"yyyy-mm-dd"))&amp;" / "&amp;IF(INDEX(DEC_EXPIRY,RptDec)="","none set",TEXT(INDEX(DEC_EXPIRY,RptDec),"yyyy-mm-dd")))</f>
        <v>2026-09-30 / 2027-03-31</v>
      </c>
      <c r="D125" s="8"/>
      <c r="E125" s="8"/>
      <c r="F125" s="8"/>
      <c r="G125" s="8"/>
      <c r="H125" s="8"/>
    </row>
    <row r="126" customFormat="false" ht="18" hidden="false" customHeight="true" outlineLevel="0" collapsed="false">
      <c r="A126" s="69" t="s">
        <v>1537</v>
      </c>
      <c r="B126" s="69"/>
      <c r="C126" s="8" t="str">
        <f aca="false">IF(RptDec=0,"",INDEX(DEC_APPROVER,RptDec)&amp;"")</f>
        <v>Chief Risk Officer (R. Hale)</v>
      </c>
      <c r="D126" s="8"/>
      <c r="E126" s="8"/>
      <c r="F126" s="8"/>
      <c r="G126" s="8"/>
      <c r="H126" s="8"/>
    </row>
    <row r="127" customFormat="false" ht="30" hidden="false" customHeight="true" outlineLevel="0" collapsed="false">
      <c r="A127" s="69" t="s">
        <v>1540</v>
      </c>
      <c r="B127" s="69"/>
      <c r="C127" s="8" t="str">
        <f aca="false">IF(RptDec=0,"",INDEX(DEC_COND,RptDec)&amp;"")</f>
        <v>Close F-001 and F-002; provide updated SOC 2 by 2026-11-30.</v>
      </c>
      <c r="D127" s="8"/>
      <c r="E127" s="8"/>
      <c r="F127" s="8"/>
      <c r="G127" s="8"/>
      <c r="H127" s="8"/>
    </row>
    <row r="129" customFormat="false" ht="15" hidden="false" customHeight="false" outlineLevel="0" collapsed="false">
      <c r="A129" s="5" t="s">
        <v>1904</v>
      </c>
      <c r="B129" s="6"/>
      <c r="C129" s="6"/>
      <c r="D129" s="6"/>
      <c r="E129" s="6"/>
      <c r="F129" s="6"/>
      <c r="G129" s="6"/>
      <c r="H129" s="6"/>
    </row>
    <row r="130" customFormat="false" ht="15" hidden="false" customHeight="false" outlineLevel="0" collapsed="false">
      <c r="A130" s="70" t="s">
        <v>1528</v>
      </c>
      <c r="B130" s="70" t="s">
        <v>1870</v>
      </c>
      <c r="C130" s="70" t="s">
        <v>1905</v>
      </c>
      <c r="D130" s="70" t="s">
        <v>1541</v>
      </c>
      <c r="E130" s="70" t="s">
        <v>1906</v>
      </c>
      <c r="F130" s="71"/>
      <c r="G130" s="70" t="s">
        <v>1901</v>
      </c>
      <c r="H130" s="70" t="s">
        <v>1907</v>
      </c>
    </row>
    <row r="131" customFormat="false" ht="36" hidden="false" customHeight="true" outlineLevel="0" collapsed="false">
      <c r="A131" s="75" t="str">
        <f aca="false">IF($J131=0,"",INDEX(DEC_ID,$J131)&amp;"")</f>
        <v>DEC-001</v>
      </c>
      <c r="B131" s="75" t="str">
        <f aca="false">IF($J131=0,"",INDEX(DEC_TYPE,$J131)&amp;"")</f>
        <v>Conditional approval</v>
      </c>
      <c r="C131" s="75" t="str">
        <f aca="false">IF($J131=0,"",INDEX(DEC_AREF,$J131)&amp;"")</f>
        <v>MFS-RC-2026-044 (Risk Committee minutes, 30 Sep 2026)</v>
      </c>
      <c r="D131" s="76" t="n">
        <f aca="false">IF($J131=0,"",IF(INDEX(DEC_DDATE,$J131)="","",INDEX(DEC_DDATE,$J131)))</f>
        <v>46295</v>
      </c>
      <c r="E131" s="76" t="n">
        <f aca="false">IF($J131=0,"",IF(INDEX(DEC_EXPIRY,$J131)="","",INDEX(DEC_EXPIRY,$J131)))</f>
        <v>46477</v>
      </c>
      <c r="G131" s="75" t="str">
        <f aca="false">IF($J131=0,"",INDEX(DEC_FINAL,$J131)&amp;"")</f>
        <v>Conditionally approved</v>
      </c>
      <c r="H131" s="75" t="str">
        <f aca="false">IF($J131=0,"",INDEX(DEC_CURR,$J131)&amp;"")</f>
        <v>Authorised (user-entered record)</v>
      </c>
      <c r="J131" s="1" t="n">
        <f aca="false">IFERROR(MATCH(RptSup&amp;"|1",DEC_RPT,0),0)</f>
        <v>1</v>
      </c>
    </row>
    <row r="132" customFormat="false" ht="36" hidden="false" customHeight="true" outlineLevel="0" collapsed="false">
      <c r="A132" s="75" t="str">
        <f aca="false">IF($J132=0,"",INDEX(DEC_ID,$J132)&amp;"")</f>
        <v>DEC-002</v>
      </c>
      <c r="B132" s="75" t="str">
        <f aca="false">IF($J132=0,"",INDEX(DEC_TYPE,$J132)&amp;"")</f>
        <v>Risk acceptance</v>
      </c>
      <c r="C132" s="75" t="str">
        <f aca="false">IF($J132=0,"",INDEX(DEC_AREF,$J132)&amp;"")</f>
        <v>MFS-RC-2026-047 (Risk Committee minutes, 5 Oct 2026)</v>
      </c>
      <c r="D132" s="76" t="n">
        <f aca="false">IF($J132=0,"",IF(INDEX(DEC_DDATE,$J132)="","",INDEX(DEC_DDATE,$J132)))</f>
        <v>46300</v>
      </c>
      <c r="E132" s="76" t="n">
        <f aca="false">IF($J132=0,"",IF(INDEX(DEC_EXPIRY,$J132)="","",INDEX(DEC_EXPIRY,$J132)))</f>
        <v>46507</v>
      </c>
      <c r="G132" s="75" t="str">
        <f aca="false">IF($J132=0,"",INDEX(DEC_FINAL,$J132)&amp;"")</f>
        <v>Risk accepted</v>
      </c>
      <c r="H132" s="75" t="str">
        <f aca="false">IF($J132=0,"",INDEX(DEC_CURR,$J132)&amp;"")</f>
        <v>Authorised (user-entered record)</v>
      </c>
      <c r="J132" s="1" t="n">
        <f aca="false">IFERROR(MATCH(RptSup&amp;"|2",DEC_RPT,0),0)</f>
        <v>2</v>
      </c>
    </row>
    <row r="133" customFormat="false" ht="36" hidden="false" customHeight="true" outlineLevel="0" collapsed="false">
      <c r="A133" s="75" t="str">
        <f aca="false">IF($J133=0,"",INDEX(DEC_ID,$J133)&amp;"")</f>
        <v/>
      </c>
      <c r="B133" s="75" t="str">
        <f aca="false">IF($J133=0,"",INDEX(DEC_TYPE,$J133)&amp;"")</f>
        <v/>
      </c>
      <c r="C133" s="75" t="str">
        <f aca="false">IF($J133=0,"",INDEX(DEC_AREF,$J133)&amp;"")</f>
        <v/>
      </c>
      <c r="D133" s="76" t="str">
        <f aca="false">IF($J133=0,"",IF(INDEX(DEC_DDATE,$J133)="","",INDEX(DEC_DDATE,$J133)))</f>
        <v/>
      </c>
      <c r="E133" s="76" t="str">
        <f aca="false">IF($J133=0,"",IF(INDEX(DEC_EXPIRY,$J133)="","",INDEX(DEC_EXPIRY,$J133)))</f>
        <v/>
      </c>
      <c r="G133" s="75" t="str">
        <f aca="false">IF($J133=0,"",INDEX(DEC_FINAL,$J133)&amp;"")</f>
        <v/>
      </c>
      <c r="H133" s="75" t="str">
        <f aca="false">IF($J133=0,"",INDEX(DEC_CURR,$J133)&amp;"")</f>
        <v/>
      </c>
      <c r="J133" s="1" t="n">
        <f aca="false">IFERROR(MATCH(RptSup&amp;"|3",DEC_RPT,0),0)</f>
        <v>0</v>
      </c>
    </row>
    <row r="134" customFormat="false" ht="36" hidden="false" customHeight="true" outlineLevel="0" collapsed="false">
      <c r="A134" s="75" t="str">
        <f aca="false">IF($J134=0,"",INDEX(DEC_ID,$J134)&amp;"")</f>
        <v/>
      </c>
      <c r="B134" s="75" t="str">
        <f aca="false">IF($J134=0,"",INDEX(DEC_TYPE,$J134)&amp;"")</f>
        <v/>
      </c>
      <c r="C134" s="75" t="str">
        <f aca="false">IF($J134=0,"",INDEX(DEC_AREF,$J134)&amp;"")</f>
        <v/>
      </c>
      <c r="D134" s="76" t="str">
        <f aca="false">IF($J134=0,"",IF(INDEX(DEC_DDATE,$J134)="","",INDEX(DEC_DDATE,$J134)))</f>
        <v/>
      </c>
      <c r="E134" s="76" t="str">
        <f aca="false">IF($J134=0,"",IF(INDEX(DEC_EXPIRY,$J134)="","",INDEX(DEC_EXPIRY,$J134)))</f>
        <v/>
      </c>
      <c r="G134" s="75" t="str">
        <f aca="false">IF($J134=0,"",INDEX(DEC_FINAL,$J134)&amp;"")</f>
        <v/>
      </c>
      <c r="H134" s="75" t="str">
        <f aca="false">IF($J134=0,"",INDEX(DEC_CURR,$J134)&amp;"")</f>
        <v/>
      </c>
      <c r="J134" s="1" t="n">
        <f aca="false">IFERROR(MATCH(RptSup&amp;"|4",DEC_RPT,0),0)</f>
        <v>0</v>
      </c>
    </row>
    <row r="135" customFormat="false" ht="36" hidden="false" customHeight="true" outlineLevel="0" collapsed="false">
      <c r="A135" s="75" t="str">
        <f aca="false">IF($J135=0,"",INDEX(DEC_ID,$J135)&amp;"")</f>
        <v/>
      </c>
      <c r="B135" s="75" t="str">
        <f aca="false">IF($J135=0,"",INDEX(DEC_TYPE,$J135)&amp;"")</f>
        <v/>
      </c>
      <c r="C135" s="75" t="str">
        <f aca="false">IF($J135=0,"",INDEX(DEC_AREF,$J135)&amp;"")</f>
        <v/>
      </c>
      <c r="D135" s="76" t="str">
        <f aca="false">IF($J135=0,"",IF(INDEX(DEC_DDATE,$J135)="","",INDEX(DEC_DDATE,$J135)))</f>
        <v/>
      </c>
      <c r="E135" s="76" t="str">
        <f aca="false">IF($J135=0,"",IF(INDEX(DEC_EXPIRY,$J135)="","",INDEX(DEC_EXPIRY,$J135)))</f>
        <v/>
      </c>
      <c r="G135" s="75" t="str">
        <f aca="false">IF($J135=0,"",INDEX(DEC_FINAL,$J135)&amp;"")</f>
        <v/>
      </c>
      <c r="H135" s="75" t="str">
        <f aca="false">IF($J135=0,"",INDEX(DEC_CURR,$J135)&amp;"")</f>
        <v/>
      </c>
      <c r="J135" s="1" t="n">
        <f aca="false">IFERROR(MATCH(RptSup&amp;"|5",DEC_RPT,0),0)</f>
        <v>0</v>
      </c>
    </row>
    <row r="136" customFormat="false" ht="36" hidden="false" customHeight="true" outlineLevel="0" collapsed="false">
      <c r="A136" s="75" t="str">
        <f aca="false">IF($J136=0,"",INDEX(DEC_ID,$J136)&amp;"")</f>
        <v/>
      </c>
      <c r="B136" s="75" t="str">
        <f aca="false">IF($J136=0,"",INDEX(DEC_TYPE,$J136)&amp;"")</f>
        <v/>
      </c>
      <c r="C136" s="75" t="str">
        <f aca="false">IF($J136=0,"",INDEX(DEC_AREF,$J136)&amp;"")</f>
        <v/>
      </c>
      <c r="D136" s="76" t="str">
        <f aca="false">IF($J136=0,"",IF(INDEX(DEC_DDATE,$J136)="","",INDEX(DEC_DDATE,$J136)))</f>
        <v/>
      </c>
      <c r="E136" s="76" t="str">
        <f aca="false">IF($J136=0,"",IF(INDEX(DEC_EXPIRY,$J136)="","",INDEX(DEC_EXPIRY,$J136)))</f>
        <v/>
      </c>
      <c r="G136" s="75" t="str">
        <f aca="false">IF($J136=0,"",INDEX(DEC_FINAL,$J136)&amp;"")</f>
        <v/>
      </c>
      <c r="H136" s="75" t="str">
        <f aca="false">IF($J136=0,"",INDEX(DEC_CURR,$J136)&amp;"")</f>
        <v/>
      </c>
      <c r="J136" s="1" t="n">
        <f aca="false">IFERROR(MATCH(RptSup&amp;"|6",DEC_RPT,0),0)</f>
        <v>0</v>
      </c>
    </row>
    <row r="138" customFormat="false" ht="30" hidden="false" customHeight="true" outlineLevel="0" collapsed="false">
      <c r="A138" s="77" t="s">
        <v>1908</v>
      </c>
      <c r="B138" s="77"/>
      <c r="C138" s="77"/>
      <c r="D138" s="77"/>
      <c r="E138" s="77"/>
      <c r="F138" s="77"/>
      <c r="G138" s="77"/>
      <c r="H138" s="77"/>
    </row>
  </sheetData>
  <sheetProtection sheet="true" formatColumns="false" formatRows="false" sort="false" autoFilter="false"/>
  <mergeCells count="71">
    <mergeCell ref="D4:H4"/>
    <mergeCell ref="A8:B8"/>
    <mergeCell ref="C8:H8"/>
    <mergeCell ref="A9:B9"/>
    <mergeCell ref="C9:H9"/>
    <mergeCell ref="A10:B10"/>
    <mergeCell ref="C10:H10"/>
    <mergeCell ref="A11:B11"/>
    <mergeCell ref="C11:H11"/>
    <mergeCell ref="A12:B12"/>
    <mergeCell ref="C12:H12"/>
    <mergeCell ref="A13:B13"/>
    <mergeCell ref="C13:H13"/>
    <mergeCell ref="A14:B14"/>
    <mergeCell ref="C14:H14"/>
    <mergeCell ref="A15:B15"/>
    <mergeCell ref="C15:H15"/>
    <mergeCell ref="A16:B16"/>
    <mergeCell ref="C16:H16"/>
    <mergeCell ref="A17:B17"/>
    <mergeCell ref="C17:H17"/>
    <mergeCell ref="A20:B20"/>
    <mergeCell ref="C20:H20"/>
    <mergeCell ref="A21:B21"/>
    <mergeCell ref="C21:H21"/>
    <mergeCell ref="A25:B25"/>
    <mergeCell ref="A26:B26"/>
    <mergeCell ref="A27:B27"/>
    <mergeCell ref="A28:B28"/>
    <mergeCell ref="A29:B29"/>
    <mergeCell ref="A30:B30"/>
    <mergeCell ref="C30:H30"/>
    <mergeCell ref="A31:B31"/>
    <mergeCell ref="C31:H31"/>
    <mergeCell ref="A32:B32"/>
    <mergeCell ref="C32:H32"/>
    <mergeCell ref="A33:B33"/>
    <mergeCell ref="C33:H33"/>
    <mergeCell ref="A49:B49"/>
    <mergeCell ref="C49:H49"/>
    <mergeCell ref="A50:B50"/>
    <mergeCell ref="C50:H50"/>
    <mergeCell ref="A51:B51"/>
    <mergeCell ref="C51:H51"/>
    <mergeCell ref="A52:B52"/>
    <mergeCell ref="C52:H52"/>
    <mergeCell ref="A64:B64"/>
    <mergeCell ref="C64:H64"/>
    <mergeCell ref="A78:B78"/>
    <mergeCell ref="C78:H78"/>
    <mergeCell ref="A79:B79"/>
    <mergeCell ref="C79:H79"/>
    <mergeCell ref="A80:B80"/>
    <mergeCell ref="C80:H80"/>
    <mergeCell ref="A94:B94"/>
    <mergeCell ref="C94:H94"/>
    <mergeCell ref="A119:B119"/>
    <mergeCell ref="C119:H119"/>
    <mergeCell ref="A120:B120"/>
    <mergeCell ref="C120:H120"/>
    <mergeCell ref="A123:B123"/>
    <mergeCell ref="C123:H123"/>
    <mergeCell ref="A124:B124"/>
    <mergeCell ref="C124:H124"/>
    <mergeCell ref="A125:B125"/>
    <mergeCell ref="C125:H125"/>
    <mergeCell ref="A126:B126"/>
    <mergeCell ref="C126:H126"/>
    <mergeCell ref="A127:B127"/>
    <mergeCell ref="C127:H127"/>
    <mergeCell ref="A138:H138"/>
  </mergeCells>
  <conditionalFormatting sqref="A7:H138">
    <cfRule type="expression" priority="2" aboveAverage="0" equalAverage="0" bottom="0" percent="0" rank="0" text="" dxfId="0">
      <formula>OR(A7="Critical",A7="Above appetite - escalation required",ISNUMBER(SEARCH("CHECK",A7)),A7="Overdue",A7="Expired")</formula>
    </cfRule>
    <cfRule type="expression" priority="3" aboveAverage="0" equalAverage="0" bottom="0" percent="0" rank="0" text="" dxfId="21">
      <formula>OR(A7="Not classified",A7="Incomplete",A7="Not configured",ISNUMBER(SEARCH("Not configured",A7)),ISNUMBER(SEARCH("Insufficient",A7)),A7="Pending verification")</formula>
    </cfRule>
    <cfRule type="expression" priority="4" aboveAverage="0" equalAverage="0" bottom="0" percent="0" rank="0" text="" dxfId="4">
      <formula>A7="High"</formula>
    </cfRule>
    <cfRule type="expression" priority="5" aboveAverage="0" equalAverage="0" bottom="0" percent="0" rank="0" text="" dxfId="5">
      <formula>A7="Moderate"</formula>
    </cfRule>
    <cfRule type="expression" priority="6" aboveAverage="0" equalAverage="0" bottom="0" percent="0" rank="0" text="" dxfId="6">
      <formula>A7="Low"</formula>
    </cfRule>
    <cfRule type="expression" priority="7" aboveAverage="0" equalAverage="0" bottom="0" percent="0" rank="0" text="" dxfId="7">
      <formula>A7="Incomplete"</formula>
    </cfRule>
  </conditionalFormatting>
  <dataValidations count="1">
    <dataValidation allowBlank="true" error="Choose an existing Supplier ID." errorStyle="stop" operator="between" showDropDown="false" showErrorMessage="true" showInputMessage="false" sqref="C4" type="list">
      <formula1>INV_ID</formula1>
      <formula2>0</formula2>
    </dataValidation>
  </dataValidations>
  <hyperlinks>
    <hyperlink ref="H1" r:id="rId1" location="'01%20Start%20Here'!A1" display="&lt;&lt; Back to Start Here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9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54"/>
    <col collapsed="false" customWidth="true" hidden="false" outlineLevel="0" max="7" min="2" style="1" width="13"/>
    <col collapsed="false" customWidth="true" hidden="false" outlineLevel="0" max="8" min="8" style="1" width="60"/>
  </cols>
  <sheetData>
    <row r="1" customFormat="false" ht="19.7" hidden="false" customHeight="false" outlineLevel="0" collapsed="false">
      <c r="A1" s="66" t="s">
        <v>1909</v>
      </c>
      <c r="H1" s="10" t="s">
        <v>100</v>
      </c>
    </row>
    <row r="2" customFormat="false" ht="15" hidden="false" customHeight="false" outlineLevel="0" collapsed="false">
      <c r="A2" s="3" t="s">
        <v>1910</v>
      </c>
    </row>
    <row r="3" customFormat="false" ht="33.75" hidden="false" customHeight="true" outlineLevel="0" collapsed="false">
      <c r="A3" s="78" t="str">
        <f aca="false">IF(AppetiteThreshold="","LIMITATION: risk appetite not configured - appetite metrics show Not configured. ","")&amp;IF(COUNTIF(INV_TIER,"Incomplete")+COUNTIF(INV_TIER,"Not classified")&gt;0,"LIMITATION: "&amp;(COUNTIF(INV_TIER,"Incomplete")+COUNTIF(INV_TIER,"Not classified"))&amp;" supplier(s) lack a complete criticality assessment. ","")&amp;IF(COUNTIF(RSK_RBAND,"Incomplete")&gt;0,"LIMITATION: "&amp;COUNTIF(RSK_RBAND,"Incomplete")&amp;" risk(s) have incomplete residual ratings (not counted as Low). ","")&amp;IF(COUNTIF(INV_ID,"?*")=0,"No suppliers registered yet. ","")</f>
        <v>LIMITATION: 1 risk(s) have incomplete residual ratings (not counted as Low). </v>
      </c>
      <c r="B3" s="78"/>
      <c r="C3" s="78"/>
      <c r="D3" s="78"/>
      <c r="E3" s="78"/>
      <c r="F3" s="78"/>
      <c r="G3" s="78"/>
      <c r="H3" s="78"/>
    </row>
    <row r="5" customFormat="false" ht="15" hidden="false" customHeight="false" outlineLevel="0" collapsed="false">
      <c r="A5" s="5" t="s">
        <v>1911</v>
      </c>
      <c r="B5" s="6"/>
      <c r="C5" s="6"/>
      <c r="D5" s="6"/>
      <c r="E5" s="6"/>
      <c r="F5" s="6"/>
      <c r="G5" s="6"/>
      <c r="H5" s="6"/>
    </row>
    <row r="6" customFormat="false" ht="15" hidden="false" customHeight="false" outlineLevel="0" collapsed="false">
      <c r="A6" s="11" t="s">
        <v>1912</v>
      </c>
      <c r="B6" s="79" t="n">
        <f aca="false">COUNTIF(INV_ID,"?*")</f>
        <v>5</v>
      </c>
    </row>
    <row r="7" customFormat="false" ht="15" hidden="false" customHeight="false" outlineLevel="0" collapsed="false">
      <c r="A7" s="11" t="s">
        <v>1913</v>
      </c>
      <c r="B7" s="79" t="n">
        <f aca="false">COUNTIF(INV_TIER,"High")</f>
        <v>3</v>
      </c>
    </row>
    <row r="8" customFormat="false" ht="15" hidden="false" customHeight="false" outlineLevel="0" collapsed="false">
      <c r="A8" s="11" t="s">
        <v>1914</v>
      </c>
      <c r="B8" s="79" t="n">
        <f aca="false">COUNTIF(INV_TIER,"Medium")</f>
        <v>1</v>
      </c>
    </row>
    <row r="9" customFormat="false" ht="15" hidden="false" customHeight="false" outlineLevel="0" collapsed="false">
      <c r="A9" s="11" t="s">
        <v>1915</v>
      </c>
      <c r="B9" s="79" t="n">
        <f aca="false">COUNTIF(INV_TIER,"Low")</f>
        <v>1</v>
      </c>
    </row>
    <row r="10" customFormat="false" ht="15" hidden="false" customHeight="false" outlineLevel="0" collapsed="false">
      <c r="A10" s="11" t="s">
        <v>1916</v>
      </c>
      <c r="B10" s="79" t="n">
        <f aca="false">COUNTIF(INV_TIER,"Incomplete")+COUNTIF(INV_TIER,"Not classified")</f>
        <v>0</v>
      </c>
      <c r="C10" s="80" t="str">
        <f aca="false">IF(AND(ISNUMBER(B10),B10&gt;0),"Attention required","")</f>
        <v/>
      </c>
      <c r="D10" s="80"/>
      <c r="E10" s="80"/>
      <c r="F10" s="80"/>
      <c r="G10" s="80"/>
      <c r="H10" s="80"/>
    </row>
    <row r="11" customFormat="false" ht="15" hidden="false" customHeight="false" outlineLevel="0" collapsed="false">
      <c r="A11" s="11" t="s">
        <v>1917</v>
      </c>
      <c r="B11" s="81" t="str">
        <f aca="false">IF(SUM(B7:B10)=B6,"Reconciled","CHECK: tier counts do not reconcile")</f>
        <v>Reconciled</v>
      </c>
    </row>
    <row r="12" customFormat="false" ht="15" hidden="false" customHeight="false" outlineLevel="0" collapsed="false">
      <c r="A12" s="11" t="s">
        <v>1918</v>
      </c>
      <c r="B12" s="79" t="n">
        <f aca="false">COUNTIF(INV_REVSTAT,"Overdue*")</f>
        <v>1</v>
      </c>
      <c r="C12" s="80" t="str">
        <f aca="false">IF(AND(ISNUMBER(B12),B12&gt;0),"Attention required","")</f>
        <v>Attention required</v>
      </c>
      <c r="D12" s="80"/>
      <c r="E12" s="80"/>
      <c r="F12" s="80"/>
      <c r="G12" s="80"/>
      <c r="H12" s="80"/>
    </row>
    <row r="13" customFormat="false" ht="15" hidden="false" customHeight="false" outlineLevel="0" collapsed="false">
      <c r="A13" s="11" t="s">
        <v>1919</v>
      </c>
      <c r="B13" s="79" t="n">
        <f aca="false">COUNTIF(INV_REVSTAT,"Due soon")</f>
        <v>0</v>
      </c>
      <c r="C13" s="80" t="str">
        <f aca="false">IF(AND(ISNUMBER(B13),B13&gt;0),"Attention required","")</f>
        <v/>
      </c>
      <c r="D13" s="80"/>
      <c r="E13" s="80"/>
      <c r="F13" s="80"/>
      <c r="G13" s="80"/>
      <c r="H13" s="80"/>
    </row>
    <row r="14" customFormat="false" ht="15" hidden="false" customHeight="false" outlineLevel="0" collapsed="false">
      <c r="A14" s="11" t="s">
        <v>1920</v>
      </c>
      <c r="B14" s="79" t="n">
        <f aca="false">COUNTIF(INV_APPROVAL,"No decision*")+COUNTIF(INV_APPROVAL,"Pending*")</f>
        <v>2</v>
      </c>
      <c r="C14" s="80" t="str">
        <f aca="false">IF(AND(ISNUMBER(B14),B14&gt;0),"Attention required","")</f>
        <v>Attention required</v>
      </c>
      <c r="D14" s="80"/>
      <c r="E14" s="80"/>
      <c r="F14" s="80"/>
      <c r="G14" s="80"/>
      <c r="H14" s="80"/>
    </row>
    <row r="15" customFormat="false" ht="15" hidden="false" customHeight="false" outlineLevel="0" collapsed="false">
      <c r="A15" s="11" t="s">
        <v>1921</v>
      </c>
      <c r="B15" s="79" t="n">
        <f aca="false">COUNTIF(INV_STATUS,"Exiting")</f>
        <v>1</v>
      </c>
    </row>
    <row r="16" customFormat="false" ht="15" hidden="false" customHeight="false" outlineLevel="0" collapsed="false">
      <c r="A16" s="11" t="s">
        <v>1922</v>
      </c>
      <c r="B16" s="79" t="n">
        <f aca="false">COUNTIF(INV_RECCHECK,"Incomplete*")</f>
        <v>0</v>
      </c>
      <c r="C16" s="80" t="str">
        <f aca="false">IF(AND(ISNUMBER(B16),B16&gt;0),"Attention required","")</f>
        <v/>
      </c>
      <c r="D16" s="80"/>
      <c r="E16" s="80"/>
      <c r="F16" s="80"/>
      <c r="G16" s="80"/>
      <c r="H16" s="80"/>
    </row>
    <row r="18" customFormat="false" ht="15" hidden="false" customHeight="false" outlineLevel="0" collapsed="false">
      <c r="A18" s="5" t="s">
        <v>1923</v>
      </c>
      <c r="B18" s="6"/>
      <c r="C18" s="6"/>
      <c r="D18" s="6"/>
      <c r="E18" s="6"/>
      <c r="F18" s="6"/>
      <c r="G18" s="6"/>
      <c r="H18" s="6"/>
    </row>
    <row r="19" customFormat="false" ht="15" hidden="false" customHeight="false" outlineLevel="0" collapsed="false">
      <c r="A19" s="11" t="s">
        <v>1924</v>
      </c>
      <c r="B19" s="79" t="n">
        <f aca="false">COUNTIF(RSK_ID,"?*")</f>
        <v>9</v>
      </c>
    </row>
    <row r="20" customFormat="false" ht="15" hidden="false" customHeight="false" outlineLevel="0" collapsed="false">
      <c r="A20" s="11" t="s">
        <v>1925</v>
      </c>
      <c r="B20" s="79" t="n">
        <f aca="false">COUNTIF(RSK_RBAND,"Critical")</f>
        <v>0</v>
      </c>
      <c r="C20" s="80" t="str">
        <f aca="false">IF(AND(ISNUMBER(B20),B20&gt;0),"Attention required","")</f>
        <v/>
      </c>
      <c r="D20" s="80"/>
      <c r="E20" s="80"/>
      <c r="F20" s="80"/>
      <c r="G20" s="80"/>
      <c r="H20" s="80"/>
    </row>
    <row r="21" customFormat="false" ht="15" hidden="false" customHeight="false" outlineLevel="0" collapsed="false">
      <c r="A21" s="11" t="s">
        <v>1926</v>
      </c>
      <c r="B21" s="79" t="n">
        <f aca="false">COUNTIF(RSK_RBAND,"High")</f>
        <v>4</v>
      </c>
      <c r="C21" s="80" t="str">
        <f aca="false">IF(AND(ISNUMBER(B21),B21&gt;0),"Attention required","")</f>
        <v>Attention required</v>
      </c>
      <c r="D21" s="80"/>
      <c r="E21" s="80"/>
      <c r="F21" s="80"/>
      <c r="G21" s="80"/>
      <c r="H21" s="80"/>
    </row>
    <row r="22" customFormat="false" ht="15" hidden="false" customHeight="false" outlineLevel="0" collapsed="false">
      <c r="A22" s="11" t="s">
        <v>1927</v>
      </c>
      <c r="B22" s="79" t="n">
        <f aca="false">COUNTIF(RSK_RBAND,"Moderate")</f>
        <v>3</v>
      </c>
    </row>
    <row r="23" customFormat="false" ht="15" hidden="false" customHeight="false" outlineLevel="0" collapsed="false">
      <c r="A23" s="11" t="s">
        <v>1928</v>
      </c>
      <c r="B23" s="79" t="n">
        <f aca="false">COUNTIF(RSK_RBAND,"Low")</f>
        <v>1</v>
      </c>
    </row>
    <row r="24" customFormat="false" ht="15" hidden="false" customHeight="false" outlineLevel="0" collapsed="false">
      <c r="A24" s="11" t="s">
        <v>1929</v>
      </c>
      <c r="B24" s="79" t="n">
        <f aca="false">COUNTIF(RSK_RBAND,"Incomplete")</f>
        <v>1</v>
      </c>
      <c r="C24" s="80" t="str">
        <f aca="false">IF(AND(ISNUMBER(B24),B24&gt;0),"Attention required","")</f>
        <v>Attention required</v>
      </c>
      <c r="D24" s="80"/>
      <c r="E24" s="80"/>
      <c r="F24" s="80"/>
      <c r="G24" s="80"/>
      <c r="H24" s="80"/>
    </row>
    <row r="25" customFormat="false" ht="15" hidden="false" customHeight="false" outlineLevel="0" collapsed="false">
      <c r="A25" s="11" t="s">
        <v>1930</v>
      </c>
      <c r="B25" s="79" t="n">
        <f aca="false">COUNTIF(RSK_RBAND,"High")+COUNTIF(RSK_RBAND,"Critical")</f>
        <v>4</v>
      </c>
      <c r="C25" s="80" t="str">
        <f aca="false">IF(B25&gt;0,"Attention required - acceptance does not reduce this count","")</f>
        <v>Attention required - acceptance does not reduce this count</v>
      </c>
      <c r="D25" s="80"/>
      <c r="E25" s="80"/>
      <c r="F25" s="80"/>
      <c r="G25" s="80"/>
      <c r="H25" s="80"/>
    </row>
    <row r="26" customFormat="false" ht="15" hidden="false" customHeight="false" outlineLevel="0" collapsed="false">
      <c r="A26" s="11" t="s">
        <v>1931</v>
      </c>
      <c r="B26" s="79" t="n">
        <f aca="false">IF(AppetiteThreshold="","Not configured",COUNTIF(RSK_APP,"Above*"))</f>
        <v>4</v>
      </c>
      <c r="C26" s="80" t="str">
        <f aca="false">IF(AppetiteThreshold="","Appetite not configured in Settings - cannot report a green status",IF(B26&gt;0,"Attention required",""))</f>
        <v>Attention required</v>
      </c>
      <c r="D26" s="80"/>
      <c r="E26" s="80"/>
      <c r="F26" s="80"/>
      <c r="G26" s="80"/>
      <c r="H26" s="80"/>
    </row>
    <row r="27" customFormat="false" ht="15" hidden="false" customHeight="false" outlineLevel="0" collapsed="false">
      <c r="A27" s="11" t="s">
        <v>1932</v>
      </c>
      <c r="B27" s="79" t="n">
        <f aca="false">IF(AppetiteThreshold="","Not configured",COUNTIFS(RSK_APP,"Above*",RSK_DECSTAT,"Risk accepted*")+COUNTIFS(RSK_APP,"Above*",RSK_DECSTAT,"Temporary exception*"))</f>
        <v>1</v>
      </c>
      <c r="C27" s="80" t="str">
        <f aca="false">IF(AppetiteThreshold="","","Accepted exposure remains above appetite and stays visible")</f>
        <v>Accepted exposure remains above appetite and stays visible</v>
      </c>
      <c r="D27" s="80"/>
      <c r="E27" s="80"/>
      <c r="F27" s="80"/>
      <c r="G27" s="80"/>
      <c r="H27" s="80"/>
    </row>
    <row r="29" customFormat="false" ht="15" hidden="false" customHeight="false" outlineLevel="0" collapsed="false">
      <c r="A29" s="5" t="s">
        <v>1933</v>
      </c>
      <c r="B29" s="6"/>
      <c r="C29" s="6"/>
      <c r="D29" s="6"/>
      <c r="E29" s="6"/>
      <c r="F29" s="6"/>
      <c r="G29" s="6"/>
      <c r="H29" s="6"/>
    </row>
    <row r="30" customFormat="false" ht="27.75" hidden="false" customHeight="true" outlineLevel="0" collapsed="false">
      <c r="A30" s="82" t="s">
        <v>1402</v>
      </c>
      <c r="B30" s="82" t="s">
        <v>157</v>
      </c>
      <c r="C30" s="82" t="s">
        <v>154</v>
      </c>
      <c r="D30" s="82" t="s">
        <v>117</v>
      </c>
      <c r="E30" s="82" t="s">
        <v>171</v>
      </c>
      <c r="F30" s="82" t="s">
        <v>1934</v>
      </c>
      <c r="G30" s="82" t="s">
        <v>1935</v>
      </c>
    </row>
    <row r="31" customFormat="false" ht="15" hidden="false" customHeight="false" outlineLevel="0" collapsed="false">
      <c r="A31" s="11" t="s">
        <v>258</v>
      </c>
      <c r="B31" s="43" t="n">
        <f aca="false">COUNTIFS(FND_TYPE,$A31,FND_SEV,B$30,FND_ACTIVE,"Active")</f>
        <v>0</v>
      </c>
      <c r="C31" s="43" t="n">
        <f aca="false">COUNTIFS(FND_TYPE,$A31,FND_SEV,C$30,FND_ACTIVE,"Active")</f>
        <v>0</v>
      </c>
      <c r="D31" s="43" t="n">
        <f aca="false">COUNTIFS(FND_TYPE,$A31,FND_SEV,D$30,FND_ACTIVE,"Active")</f>
        <v>2</v>
      </c>
      <c r="E31" s="43" t="n">
        <f aca="false">COUNTIFS(FND_TYPE,$A31,FND_SEV,E$30,FND_ACTIVE,"Active")</f>
        <v>0</v>
      </c>
      <c r="F31" s="43" t="n">
        <f aca="false">G31-SUM(B31:E31)</f>
        <v>0</v>
      </c>
      <c r="G31" s="43" t="n">
        <f aca="false">COUNTIFS(FND_TYPE,$A31,FND_ACTIVE,"Active")</f>
        <v>2</v>
      </c>
    </row>
    <row r="32" customFormat="false" ht="15" hidden="false" customHeight="false" outlineLevel="0" collapsed="false">
      <c r="A32" s="11" t="s">
        <v>294</v>
      </c>
      <c r="B32" s="43" t="n">
        <f aca="false">COUNTIFS(FND_TYPE,$A32,FND_SEV,B$30,FND_ACTIVE,"Active")</f>
        <v>0</v>
      </c>
      <c r="C32" s="43" t="n">
        <f aca="false">COUNTIFS(FND_TYPE,$A32,FND_SEV,C$30,FND_ACTIVE,"Active")</f>
        <v>2</v>
      </c>
      <c r="D32" s="43" t="n">
        <f aca="false">COUNTIFS(FND_TYPE,$A32,FND_SEV,D$30,FND_ACTIVE,"Active")</f>
        <v>1</v>
      </c>
      <c r="E32" s="43" t="n">
        <f aca="false">COUNTIFS(FND_TYPE,$A32,FND_SEV,E$30,FND_ACTIVE,"Active")</f>
        <v>0</v>
      </c>
      <c r="F32" s="43" t="n">
        <f aca="false">G32-SUM(B32:E32)</f>
        <v>0</v>
      </c>
      <c r="G32" s="43" t="n">
        <f aca="false">COUNTIFS(FND_TYPE,$A32,FND_ACTIVE,"Active")</f>
        <v>3</v>
      </c>
    </row>
    <row r="33" customFormat="false" ht="15" hidden="false" customHeight="false" outlineLevel="0" collapsed="false">
      <c r="A33" s="11" t="s">
        <v>333</v>
      </c>
      <c r="B33" s="43" t="n">
        <f aca="false">COUNTIFS(FND_TYPE,$A33,FND_SEV,B$30,FND_ACTIVE,"Active")</f>
        <v>0</v>
      </c>
      <c r="C33" s="43" t="n">
        <f aca="false">COUNTIFS(FND_TYPE,$A33,FND_SEV,C$30,FND_ACTIVE,"Active")</f>
        <v>1</v>
      </c>
      <c r="D33" s="43" t="n">
        <f aca="false">COUNTIFS(FND_TYPE,$A33,FND_SEV,D$30,FND_ACTIVE,"Active")</f>
        <v>0</v>
      </c>
      <c r="E33" s="43" t="n">
        <f aca="false">COUNTIFS(FND_TYPE,$A33,FND_SEV,E$30,FND_ACTIVE,"Active")</f>
        <v>0</v>
      </c>
      <c r="F33" s="43" t="n">
        <f aca="false">G33-SUM(B33:E33)</f>
        <v>0</v>
      </c>
      <c r="G33" s="43" t="n">
        <f aca="false">COUNTIFS(FND_TYPE,$A33,FND_ACTIVE,"Active")</f>
        <v>1</v>
      </c>
    </row>
    <row r="34" customFormat="false" ht="15" hidden="false" customHeight="false" outlineLevel="0" collapsed="false">
      <c r="A34" s="11" t="s">
        <v>363</v>
      </c>
      <c r="B34" s="43" t="n">
        <f aca="false">COUNTIFS(FND_TYPE,$A34,FND_SEV,B$30,FND_ACTIVE,"Active")</f>
        <v>0</v>
      </c>
      <c r="C34" s="43" t="n">
        <f aca="false">COUNTIFS(FND_TYPE,$A34,FND_SEV,C$30,FND_ACTIVE,"Active")</f>
        <v>0</v>
      </c>
      <c r="D34" s="43" t="n">
        <f aca="false">COUNTIFS(FND_TYPE,$A34,FND_SEV,D$30,FND_ACTIVE,"Active")</f>
        <v>1</v>
      </c>
      <c r="E34" s="43" t="n">
        <f aca="false">COUNTIFS(FND_TYPE,$A34,FND_SEV,E$30,FND_ACTIVE,"Active")</f>
        <v>0</v>
      </c>
      <c r="F34" s="43" t="n">
        <f aca="false">G34-SUM(B34:E34)</f>
        <v>0</v>
      </c>
      <c r="G34" s="43" t="n">
        <f aca="false">COUNTIFS(FND_TYPE,$A34,FND_ACTIVE,"Active")</f>
        <v>1</v>
      </c>
    </row>
    <row r="35" customFormat="false" ht="15" hidden="false" customHeight="false" outlineLevel="0" collapsed="false">
      <c r="A35" s="11" t="s">
        <v>389</v>
      </c>
      <c r="B35" s="43" t="n">
        <f aca="false">COUNTIFS(FND_TYPE,$A35,FND_SEV,B$30,FND_ACTIVE,"Active")</f>
        <v>0</v>
      </c>
      <c r="C35" s="43" t="n">
        <f aca="false">COUNTIFS(FND_TYPE,$A35,FND_SEV,C$30,FND_ACTIVE,"Active")</f>
        <v>0</v>
      </c>
      <c r="D35" s="43" t="n">
        <f aca="false">COUNTIFS(FND_TYPE,$A35,FND_SEV,D$30,FND_ACTIVE,"Active")</f>
        <v>0</v>
      </c>
      <c r="E35" s="43" t="n">
        <f aca="false">COUNTIFS(FND_TYPE,$A35,FND_SEV,E$30,FND_ACTIVE,"Active")</f>
        <v>0</v>
      </c>
      <c r="F35" s="43" t="n">
        <f aca="false">G35-SUM(B35:E35)</f>
        <v>0</v>
      </c>
      <c r="G35" s="43" t="n">
        <f aca="false">COUNTIFS(FND_TYPE,$A35,FND_ACTIVE,"Active")</f>
        <v>0</v>
      </c>
    </row>
    <row r="36" customFormat="false" ht="15" hidden="false" customHeight="false" outlineLevel="0" collapsed="false">
      <c r="A36" s="11" t="s">
        <v>406</v>
      </c>
      <c r="B36" s="43" t="n">
        <f aca="false">COUNTIFS(FND_TYPE,$A36,FND_SEV,B$30,FND_ACTIVE,"Active")</f>
        <v>0</v>
      </c>
      <c r="C36" s="43" t="n">
        <f aca="false">COUNTIFS(FND_TYPE,$A36,FND_SEV,C$30,FND_ACTIVE,"Active")</f>
        <v>0</v>
      </c>
      <c r="D36" s="43" t="n">
        <f aca="false">COUNTIFS(FND_TYPE,$A36,FND_SEV,D$30,FND_ACTIVE,"Active")</f>
        <v>0</v>
      </c>
      <c r="E36" s="43" t="n">
        <f aca="false">COUNTIFS(FND_TYPE,$A36,FND_SEV,E$30,FND_ACTIVE,"Active")</f>
        <v>0</v>
      </c>
      <c r="F36" s="43" t="n">
        <f aca="false">G36-SUM(B36:E36)</f>
        <v>0</v>
      </c>
      <c r="G36" s="43" t="n">
        <f aca="false">COUNTIFS(FND_TYPE,$A36,FND_ACTIVE,"Active")</f>
        <v>0</v>
      </c>
    </row>
    <row r="37" customFormat="false" ht="15" hidden="false" customHeight="false" outlineLevel="0" collapsed="false">
      <c r="A37" s="7" t="s">
        <v>1936</v>
      </c>
      <c r="B37" s="83" t="n">
        <f aca="false">SUM(B31:B36)</f>
        <v>0</v>
      </c>
      <c r="C37" s="83" t="n">
        <f aca="false">SUM(C31:C36)</f>
        <v>3</v>
      </c>
      <c r="D37" s="83" t="n">
        <f aca="false">SUM(D31:D36)</f>
        <v>4</v>
      </c>
      <c r="E37" s="83" t="n">
        <f aca="false">SUM(E31:E36)</f>
        <v>0</v>
      </c>
      <c r="F37" s="83" t="n">
        <f aca="false">SUM(F31:F36)</f>
        <v>0</v>
      </c>
      <c r="G37" s="83" t="n">
        <f aca="false">SUM(G31:G36)</f>
        <v>7</v>
      </c>
    </row>
    <row r="38" customFormat="false" ht="15" hidden="false" customHeight="false" outlineLevel="0" collapsed="false">
      <c r="A38" s="11" t="s">
        <v>1937</v>
      </c>
      <c r="B38" s="81" t="str">
        <f aca="false">IF(G37=COUNTIF(FND_ACTIVE,"Active"),"Reconciled","CHECK: matrix does not reconcile to register")</f>
        <v>Reconciled</v>
      </c>
    </row>
    <row r="39" customFormat="false" ht="15" hidden="false" customHeight="false" outlineLevel="0" collapsed="false">
      <c r="A39" s="11" t="s">
        <v>1938</v>
      </c>
      <c r="B39" s="79" t="n">
        <f aca="false">COUNTIF(FND_OVERDUE,"Overdue")</f>
        <v>2</v>
      </c>
      <c r="C39" s="80" t="str">
        <f aca="false">IF(AND(ISNUMBER(B39),B39&gt;0),"Attention required","")</f>
        <v>Attention required</v>
      </c>
      <c r="D39" s="80"/>
      <c r="E39" s="80"/>
      <c r="F39" s="80"/>
      <c r="G39" s="80"/>
      <c r="H39" s="80"/>
    </row>
    <row r="41" customFormat="false" ht="15" hidden="false" customHeight="false" outlineLevel="0" collapsed="false">
      <c r="A41" s="5" t="s">
        <v>1939</v>
      </c>
      <c r="B41" s="6"/>
      <c r="C41" s="6"/>
      <c r="D41" s="6"/>
      <c r="E41" s="6"/>
      <c r="F41" s="6"/>
      <c r="G41" s="6"/>
      <c r="H41" s="6"/>
    </row>
    <row r="42" customFormat="false" ht="15" hidden="false" customHeight="false" outlineLevel="0" collapsed="false">
      <c r="A42" s="11" t="s">
        <v>1940</v>
      </c>
      <c r="B42" s="79" t="n">
        <f aca="false">COUNTIF(TRT_OPEN,"Open")</f>
        <v>6</v>
      </c>
      <c r="C42" s="80" t="str">
        <f aca="false">IF(AND(ISNUMBER(B42),B42&gt;0),"Attention required","")</f>
        <v>Attention required</v>
      </c>
      <c r="D42" s="80"/>
      <c r="E42" s="80"/>
      <c r="F42" s="80"/>
      <c r="G42" s="80"/>
      <c r="H42" s="80"/>
    </row>
    <row r="43" customFormat="false" ht="15" hidden="false" customHeight="false" outlineLevel="0" collapsed="false">
      <c r="A43" s="11" t="s">
        <v>1941</v>
      </c>
      <c r="B43" s="79" t="n">
        <f aca="false">COUNTIF(TRT_OVERDUE,"Overdue")</f>
        <v>2</v>
      </c>
      <c r="C43" s="80" t="str">
        <f aca="false">IF(AND(ISNUMBER(B43),B43&gt;0),"Attention required","")</f>
        <v>Attention required</v>
      </c>
      <c r="D43" s="80"/>
      <c r="E43" s="80"/>
      <c r="F43" s="80"/>
      <c r="G43" s="80"/>
      <c r="H43" s="80"/>
    </row>
    <row r="44" customFormat="false" ht="15" hidden="false" customHeight="false" outlineLevel="0" collapsed="false">
      <c r="A44" s="11" t="s">
        <v>1942</v>
      </c>
      <c r="B44" s="79" t="n">
        <f aca="false">COUNTIF(TRT_STATE,"Delivered*")</f>
        <v>1</v>
      </c>
      <c r="C44" s="80" t="str">
        <f aca="false">IF(AND(ISNUMBER(B44),B44&gt;0),"Attention required","")</f>
        <v>Attention required</v>
      </c>
      <c r="D44" s="80"/>
      <c r="E44" s="80"/>
      <c r="F44" s="80"/>
      <c r="G44" s="80"/>
      <c r="H44" s="80"/>
    </row>
    <row r="45" customFormat="false" ht="15" hidden="false" customHeight="false" outlineLevel="0" collapsed="false">
      <c r="A45" s="11" t="s">
        <v>390</v>
      </c>
      <c r="B45" s="79" t="n">
        <f aca="false">COUNTIF(TRT_STATE,"Closed - verified")</f>
        <v>1</v>
      </c>
    </row>
    <row r="47" customFormat="false" ht="15" hidden="false" customHeight="false" outlineLevel="0" collapsed="false">
      <c r="A47" s="5" t="s">
        <v>1943</v>
      </c>
      <c r="B47" s="6"/>
      <c r="C47" s="6"/>
      <c r="D47" s="6"/>
      <c r="E47" s="6"/>
      <c r="F47" s="6"/>
      <c r="G47" s="6"/>
      <c r="H47" s="6"/>
    </row>
    <row r="48" customFormat="false" ht="15" hidden="false" customHeight="false" outlineLevel="0" collapsed="false">
      <c r="A48" s="11" t="s">
        <v>1944</v>
      </c>
      <c r="B48" s="79" t="n">
        <f aca="false">COUNTIF(EV_CUR,"Expired")</f>
        <v>1</v>
      </c>
      <c r="C48" s="80" t="str">
        <f aca="false">IF(AND(ISNUMBER(B48),B48&gt;0),"Attention required","")</f>
        <v>Attention required</v>
      </c>
      <c r="D48" s="80"/>
      <c r="E48" s="80"/>
      <c r="F48" s="80"/>
      <c r="G48" s="80"/>
      <c r="H48" s="80"/>
    </row>
    <row r="49" customFormat="false" ht="15" hidden="false" customHeight="false" outlineLevel="0" collapsed="false">
      <c r="A49" s="11" t="s">
        <v>1945</v>
      </c>
      <c r="B49" s="79" t="n">
        <f aca="false">COUNTIF(EV_CUR,"Approaching expiry")</f>
        <v>1</v>
      </c>
      <c r="C49" s="80" t="str">
        <f aca="false">IF(AND(ISNUMBER(B49),B49&gt;0),"Attention required","")</f>
        <v>Attention required</v>
      </c>
      <c r="D49" s="80"/>
      <c r="E49" s="80"/>
      <c r="F49" s="80"/>
      <c r="G49" s="80"/>
      <c r="H49" s="80"/>
    </row>
    <row r="50" customFormat="false" ht="15" hidden="false" customHeight="false" outlineLevel="0" collapsed="false">
      <c r="A50" s="11" t="s">
        <v>1946</v>
      </c>
      <c r="B50" s="79" t="n">
        <f aca="false">COUNTIF(EV_CUR,"Historical*")</f>
        <v>1</v>
      </c>
      <c r="C50" s="80" t="str">
        <f aca="false">IF(AND(ISNUMBER(B50),B50&gt;0),"Attention required","")</f>
        <v>Attention required</v>
      </c>
      <c r="D50" s="80"/>
      <c r="E50" s="80"/>
      <c r="F50" s="80"/>
      <c r="G50" s="80"/>
      <c r="H50" s="80"/>
    </row>
    <row r="51" customFormat="false" ht="15" hidden="false" customHeight="false" outlineLevel="0" collapsed="false">
      <c r="A51" s="11" t="s">
        <v>1947</v>
      </c>
      <c r="B51" s="79" t="n">
        <f aca="false">COUNTIF(EV_VFLAG,"Verification pending")</f>
        <v>2</v>
      </c>
      <c r="C51" s="80" t="str">
        <f aca="false">IF(AND(ISNUMBER(B51),B51&gt;0),"Attention required","")</f>
        <v>Attention required</v>
      </c>
      <c r="D51" s="80"/>
      <c r="E51" s="80"/>
      <c r="F51" s="80"/>
      <c r="G51" s="80"/>
      <c r="H51" s="80"/>
    </row>
    <row r="52" customFormat="false" ht="15" hidden="false" customHeight="false" outlineLevel="0" collapsed="false">
      <c r="A52" s="11" t="s">
        <v>1948</v>
      </c>
      <c r="B52" s="79" t="n">
        <f aca="false">COUNTIF(EV_SFLAG,"Scope limitation*")</f>
        <v>3</v>
      </c>
      <c r="C52" s="80" t="str">
        <f aca="false">IF(AND(ISNUMBER(B52),B52&gt;0),"Attention required","")</f>
        <v>Attention required</v>
      </c>
      <c r="D52" s="80"/>
      <c r="E52" s="80"/>
      <c r="F52" s="80"/>
      <c r="G52" s="80"/>
      <c r="H52" s="80"/>
    </row>
    <row r="53" customFormat="false" ht="15" hidden="false" customHeight="false" outlineLevel="0" collapsed="false">
      <c r="A53" s="11" t="s">
        <v>1949</v>
      </c>
      <c r="B53" s="79" t="n">
        <f aca="false">COUNTIF(EV_FFL,"Follow-up overdue")</f>
        <v>2</v>
      </c>
      <c r="C53" s="80" t="str">
        <f aca="false">IF(AND(ISNUMBER(B53),B53&gt;0),"Attention required","")</f>
        <v>Attention required</v>
      </c>
      <c r="D53" s="80"/>
      <c r="E53" s="80"/>
      <c r="F53" s="80"/>
      <c r="G53" s="80"/>
      <c r="H53" s="80"/>
    </row>
    <row r="54" customFormat="false" ht="15" hidden="false" customHeight="false" outlineLevel="0" collapsed="false">
      <c r="A54" s="11" t="s">
        <v>1950</v>
      </c>
      <c r="B54" s="79" t="n">
        <f aca="false">COUNTIF(CA_STATUS,"Confirmed weakness")</f>
        <v>2</v>
      </c>
      <c r="C54" s="80" t="str">
        <f aca="false">IF(AND(ISNUMBER(B54),B54&gt;0),"Attention required","")</f>
        <v>Attention required</v>
      </c>
      <c r="D54" s="80"/>
      <c r="E54" s="80"/>
      <c r="F54" s="80"/>
      <c r="G54" s="80"/>
      <c r="H54" s="80"/>
    </row>
    <row r="55" customFormat="false" ht="15" hidden="false" customHeight="false" outlineLevel="0" collapsed="false">
      <c r="A55" s="11" t="s">
        <v>1951</v>
      </c>
      <c r="B55" s="79" t="n">
        <f aca="false">COUNTIF(CA_STATUS,"Evidence insufficient")</f>
        <v>2</v>
      </c>
      <c r="C55" s="80" t="str">
        <f aca="false">IF(AND(ISNUMBER(B55),B55&gt;0),"Attention required","")</f>
        <v>Attention required</v>
      </c>
      <c r="D55" s="80"/>
      <c r="E55" s="80"/>
      <c r="F55" s="80"/>
      <c r="G55" s="80"/>
      <c r="H55" s="80"/>
    </row>
    <row r="56" customFormat="false" ht="15" hidden="false" customHeight="false" outlineLevel="0" collapsed="false">
      <c r="A56" s="11" t="s">
        <v>1952</v>
      </c>
      <c r="B56" s="79" t="n">
        <f aca="false">COUNTIF(CA_STATUS,"Exception identified")</f>
        <v>1</v>
      </c>
      <c r="C56" s="80" t="str">
        <f aca="false">IF(AND(ISNUMBER(B56),B56&gt;0),"Attention required","")</f>
        <v>Attention required</v>
      </c>
      <c r="D56" s="80"/>
      <c r="E56" s="80"/>
      <c r="F56" s="80"/>
      <c r="G56" s="80"/>
      <c r="H56" s="80"/>
    </row>
    <row r="58" customFormat="false" ht="15" hidden="false" customHeight="false" outlineLevel="0" collapsed="false">
      <c r="A58" s="5" t="s">
        <v>1953</v>
      </c>
      <c r="B58" s="6"/>
      <c r="C58" s="6"/>
      <c r="D58" s="6"/>
      <c r="E58" s="6"/>
      <c r="F58" s="6"/>
      <c r="G58" s="6"/>
      <c r="H58" s="6"/>
    </row>
    <row r="59" customFormat="false" ht="15" hidden="false" customHeight="false" outlineLevel="0" collapsed="false">
      <c r="A59" s="11" t="s">
        <v>1954</v>
      </c>
      <c r="B59" s="79" t="n">
        <f aca="false">COUNTIF(DEC_CURR,"Pending*")</f>
        <v>1</v>
      </c>
      <c r="C59" s="80" t="str">
        <f aca="false">IF(AND(ISNUMBER(B59),B59&gt;0),"Attention required","")</f>
        <v>Attention required</v>
      </c>
      <c r="D59" s="80"/>
      <c r="E59" s="80"/>
      <c r="F59" s="80"/>
      <c r="G59" s="80"/>
      <c r="H59" s="80"/>
    </row>
    <row r="60" customFormat="false" ht="15" hidden="false" customHeight="false" outlineLevel="0" collapsed="false">
      <c r="A60" s="11" t="s">
        <v>1955</v>
      </c>
      <c r="B60" s="79" t="n">
        <f aca="false">COUNTIF(DEC_CURR,"Incomplete*")</f>
        <v>0</v>
      </c>
      <c r="C60" s="80" t="str">
        <f aca="false">IF(AND(ISNUMBER(B60),B60&gt;0),"Attention required","")</f>
        <v/>
      </c>
      <c r="D60" s="80"/>
      <c r="E60" s="80"/>
      <c r="F60" s="80"/>
      <c r="G60" s="80"/>
      <c r="H60" s="80"/>
    </row>
    <row r="61" customFormat="false" ht="15" hidden="false" customHeight="false" outlineLevel="0" collapsed="false">
      <c r="A61" s="11" t="s">
        <v>1956</v>
      </c>
      <c r="B61" s="79" t="n">
        <f aca="false">COUNTIF(DEC_CURR,"Review due soon")</f>
        <v>0</v>
      </c>
      <c r="C61" s="80" t="str">
        <f aca="false">IF(AND(ISNUMBER(B61),B61&gt;0),"Attention required","")</f>
        <v/>
      </c>
      <c r="D61" s="80"/>
      <c r="E61" s="80"/>
      <c r="F61" s="80"/>
      <c r="G61" s="80"/>
      <c r="H61" s="80"/>
    </row>
    <row r="62" customFormat="false" ht="15" hidden="false" customHeight="false" outlineLevel="0" collapsed="false">
      <c r="A62" s="11" t="s">
        <v>1957</v>
      </c>
      <c r="B62" s="79" t="n">
        <f aca="false">COUNTIF(DEC_CURR,"Expired*")</f>
        <v>0</v>
      </c>
      <c r="C62" s="80" t="str">
        <f aca="false">IF(AND(ISNUMBER(B62),B62&gt;0),"Attention required","")</f>
        <v/>
      </c>
      <c r="D62" s="80"/>
      <c r="E62" s="80"/>
      <c r="F62" s="80"/>
      <c r="G62" s="80"/>
      <c r="H62" s="80"/>
    </row>
    <row r="64" customFormat="false" ht="15" hidden="false" customHeight="false" outlineLevel="0" collapsed="false">
      <c r="A64" s="5" t="s">
        <v>1958</v>
      </c>
      <c r="B64" s="6"/>
      <c r="C64" s="6"/>
      <c r="D64" s="6"/>
      <c r="E64" s="6"/>
      <c r="F64" s="6"/>
      <c r="G64" s="6"/>
      <c r="H64" s="6"/>
    </row>
    <row r="65" customFormat="false" ht="15" hidden="false" customHeight="false" outlineLevel="0" collapsed="false">
      <c r="A65" s="11" t="s">
        <v>1959</v>
      </c>
      <c r="B65" s="79" t="n">
        <f aca="false">COUNTIF(INC_OPEN,"Open")</f>
        <v>1</v>
      </c>
      <c r="C65" s="80" t="str">
        <f aca="false">IF(AND(ISNUMBER(B65),B65&gt;0),"Attention required","")</f>
        <v>Attention required</v>
      </c>
      <c r="D65" s="80"/>
      <c r="E65" s="80"/>
      <c r="F65" s="80"/>
      <c r="G65" s="80"/>
      <c r="H65" s="80"/>
    </row>
    <row r="66" customFormat="false" ht="15" hidden="false" customHeight="false" outlineLevel="0" collapsed="false">
      <c r="A66" s="11" t="s">
        <v>1960</v>
      </c>
      <c r="B66" s="79" t="n">
        <f aca="false">COUNTIF(INC_RECENT,"Yes")</f>
        <v>2</v>
      </c>
    </row>
    <row r="67" customFormat="false" ht="15" hidden="false" customHeight="false" outlineLevel="0" collapsed="false">
      <c r="A67" s="11" t="s">
        <v>1961</v>
      </c>
      <c r="B67" s="79" t="n">
        <f aca="false">COUNTIF(CON_STATUS,"Open gap")</f>
        <v>4</v>
      </c>
      <c r="C67" s="80" t="str">
        <f aca="false">IF(AND(ISNUMBER(B67),B67&gt;0),"Attention required","")</f>
        <v>Attention required</v>
      </c>
      <c r="D67" s="80"/>
      <c r="E67" s="80"/>
      <c r="F67" s="80"/>
      <c r="G67" s="80"/>
      <c r="H67" s="80"/>
    </row>
    <row r="68" customFormat="false" ht="15" hidden="false" customHeight="false" outlineLevel="0" collapsed="false">
      <c r="A68" s="11" t="s">
        <v>1962</v>
      </c>
      <c r="B68" s="79" t="n">
        <f aca="false">SUMPRODUCT(--(DEP_FIRST4=1),--(DEP_SHARED&gt;=SharedMin))</f>
        <v>1</v>
      </c>
      <c r="C68" s="80" t="str">
        <f aca="false">IF(B68&gt;0,"Indicator of concentration, not a risk conclusion - review sheet 16","")</f>
        <v>Indicator of concentration, not a risk conclusion - review sheet 16</v>
      </c>
      <c r="D68" s="80"/>
      <c r="E68" s="80"/>
      <c r="F68" s="80"/>
      <c r="G68" s="80"/>
      <c r="H68" s="80"/>
    </row>
    <row r="70" customFormat="false" ht="15" hidden="false" customHeight="false" outlineLevel="0" collapsed="false">
      <c r="A70" s="5" t="s">
        <v>1963</v>
      </c>
      <c r="B70" s="6"/>
      <c r="C70" s="6"/>
      <c r="D70" s="6"/>
      <c r="E70" s="6"/>
      <c r="F70" s="6"/>
      <c r="G70" s="6"/>
      <c r="H70" s="6"/>
    </row>
    <row r="71" customFormat="false" ht="15" hidden="false" customHeight="false" outlineLevel="0" collapsed="false">
      <c r="A71" s="11" t="s">
        <v>1964</v>
      </c>
      <c r="B71" s="79" t="n">
        <f aca="false">COUNTIF(INV_IDCHECK,"CHECK*")</f>
        <v>0</v>
      </c>
      <c r="C71" s="80" t="str">
        <f aca="false">IF(AND(ISNUMBER(B71),B71&gt;0),"Attention required","")</f>
        <v/>
      </c>
      <c r="D71" s="80"/>
      <c r="E71" s="80"/>
      <c r="F71" s="80"/>
      <c r="G71" s="80"/>
      <c r="H71" s="80"/>
    </row>
    <row r="72" customFormat="false" ht="15" hidden="false" customHeight="false" outlineLevel="0" collapsed="false">
      <c r="A72" s="11" t="s">
        <v>1965</v>
      </c>
      <c r="B72" s="79" t="n">
        <f aca="false">COUNTIF(CRT_CHECK,"CHECK*")</f>
        <v>0</v>
      </c>
      <c r="C72" s="80" t="str">
        <f aca="false">IF(AND(ISNUMBER(B72),B72&gt;0),"Attention required","")</f>
        <v/>
      </c>
      <c r="D72" s="80"/>
      <c r="E72" s="80"/>
      <c r="F72" s="80"/>
      <c r="G72" s="80"/>
      <c r="H72" s="80"/>
    </row>
    <row r="73" customFormat="false" ht="15" hidden="false" customHeight="false" outlineLevel="0" collapsed="false">
      <c r="A73" s="11" t="s">
        <v>1966</v>
      </c>
      <c r="B73" s="79" t="n">
        <f aca="false">COUNTIF(RSK_CHECK,"CHECK*")</f>
        <v>0</v>
      </c>
      <c r="C73" s="80" t="str">
        <f aca="false">IF(AND(ISNUMBER(B73),B73&gt;0),"Attention required","")</f>
        <v/>
      </c>
      <c r="D73" s="80"/>
      <c r="E73" s="80"/>
      <c r="F73" s="80"/>
      <c r="G73" s="80"/>
      <c r="H73" s="80"/>
    </row>
    <row r="74" customFormat="false" ht="15" hidden="false" customHeight="false" outlineLevel="0" collapsed="false">
      <c r="A74" s="11" t="s">
        <v>1967</v>
      </c>
      <c r="B74" s="79" t="n">
        <f aca="false">COUNTIF(QB_CHECK,"CHECK*")</f>
        <v>0</v>
      </c>
      <c r="C74" s="80" t="str">
        <f aca="false">IF(AND(ISNUMBER(B74),B74&gt;0),"Attention required","")</f>
        <v/>
      </c>
      <c r="D74" s="80"/>
      <c r="E74" s="80"/>
      <c r="F74" s="80"/>
      <c r="G74" s="80"/>
      <c r="H74" s="80"/>
    </row>
    <row r="75" customFormat="false" ht="15" hidden="false" customHeight="false" outlineLevel="0" collapsed="false">
      <c r="A75" s="11" t="s">
        <v>1968</v>
      </c>
      <c r="B75" s="79" t="n">
        <f aca="false">COUNTIF(QA_CHECK,"CHECK*")</f>
        <v>0</v>
      </c>
      <c r="C75" s="80" t="str">
        <f aca="false">IF(AND(ISNUMBER(B75),B75&gt;0),"Attention required","")</f>
        <v/>
      </c>
      <c r="D75" s="80"/>
      <c r="E75" s="80"/>
      <c r="F75" s="80"/>
      <c r="G75" s="80"/>
      <c r="H75" s="80"/>
    </row>
    <row r="76" customFormat="false" ht="15" hidden="false" customHeight="false" outlineLevel="0" collapsed="false">
      <c r="A76" s="11" t="s">
        <v>1969</v>
      </c>
      <c r="B76" s="79" t="n">
        <f aca="false">COUNTIF(EV_CHECK,"CHECK*")</f>
        <v>0</v>
      </c>
      <c r="C76" s="80" t="str">
        <f aca="false">IF(AND(ISNUMBER(B76),B76&gt;0),"Attention required","")</f>
        <v/>
      </c>
      <c r="D76" s="80"/>
      <c r="E76" s="80"/>
      <c r="F76" s="80"/>
      <c r="G76" s="80"/>
      <c r="H76" s="80"/>
    </row>
    <row r="77" customFormat="false" ht="15" hidden="false" customHeight="false" outlineLevel="0" collapsed="false">
      <c r="A77" s="11" t="s">
        <v>1970</v>
      </c>
      <c r="B77" s="79" t="n">
        <f aca="false">COUNTIF(CA_CHECK,"CHECK*")</f>
        <v>0</v>
      </c>
      <c r="C77" s="80" t="str">
        <f aca="false">IF(AND(ISNUMBER(B77),B77&gt;0),"Attention required","")</f>
        <v/>
      </c>
      <c r="D77" s="80"/>
      <c r="E77" s="80"/>
      <c r="F77" s="80"/>
      <c r="G77" s="80"/>
      <c r="H77" s="80"/>
    </row>
    <row r="78" customFormat="false" ht="15" hidden="false" customHeight="false" outlineLevel="0" collapsed="false">
      <c r="A78" s="11" t="s">
        <v>1971</v>
      </c>
      <c r="B78" s="79" t="n">
        <f aca="false">COUNTIF(CA_CONS,"CHECK*")</f>
        <v>0</v>
      </c>
      <c r="C78" s="80" t="str">
        <f aca="false">IF(AND(ISNUMBER(B78),B78&gt;0),"Attention required","")</f>
        <v/>
      </c>
      <c r="D78" s="80"/>
      <c r="E78" s="80"/>
      <c r="F78" s="80"/>
      <c r="G78" s="80"/>
      <c r="H78" s="80"/>
    </row>
    <row r="79" customFormat="false" ht="15" hidden="false" customHeight="false" outlineLevel="0" collapsed="false">
      <c r="A79" s="11" t="s">
        <v>1972</v>
      </c>
      <c r="B79" s="79" t="n">
        <f aca="false">COUNTIF(FND_CHECK,"CHECK*")</f>
        <v>0</v>
      </c>
      <c r="C79" s="80" t="str">
        <f aca="false">IF(AND(ISNUMBER(B79),B79&gt;0),"Attention required","")</f>
        <v/>
      </c>
      <c r="D79" s="80"/>
      <c r="E79" s="80"/>
      <c r="F79" s="80"/>
      <c r="G79" s="80"/>
      <c r="H79" s="80"/>
    </row>
    <row r="80" customFormat="false" ht="15" hidden="false" customHeight="false" outlineLevel="0" collapsed="false">
      <c r="A80" s="11" t="s">
        <v>1973</v>
      </c>
      <c r="B80" s="79" t="n">
        <f aca="false">COUNTIF(TRT_CHECK,"CHECK*")</f>
        <v>0</v>
      </c>
      <c r="C80" s="80" t="str">
        <f aca="false">IF(AND(ISNUMBER(B80),B80&gt;0),"Attention required","")</f>
        <v/>
      </c>
      <c r="D80" s="80"/>
      <c r="E80" s="80"/>
      <c r="F80" s="80"/>
      <c r="G80" s="80"/>
      <c r="H80" s="80"/>
    </row>
    <row r="81" customFormat="false" ht="15" hidden="false" customHeight="false" outlineLevel="0" collapsed="false">
      <c r="A81" s="11" t="s">
        <v>1974</v>
      </c>
      <c r="B81" s="79" t="n">
        <f aca="false">COUNTIF(TRT_ACC,"CHECK*")</f>
        <v>0</v>
      </c>
      <c r="C81" s="80" t="str">
        <f aca="false">IF(AND(ISNUMBER(B81),B81&gt;0),"Attention required","")</f>
        <v/>
      </c>
      <c r="D81" s="80"/>
      <c r="E81" s="80"/>
      <c r="F81" s="80"/>
      <c r="G81" s="80"/>
      <c r="H81" s="80"/>
    </row>
    <row r="82" customFormat="false" ht="15" hidden="false" customHeight="false" outlineLevel="0" collapsed="false">
      <c r="A82" s="11" t="s">
        <v>1975</v>
      </c>
      <c r="B82" s="79" t="n">
        <f aca="false">COUNTIF(DEC_CHECK,"CHECK*")</f>
        <v>0</v>
      </c>
      <c r="C82" s="80" t="str">
        <f aca="false">IF(AND(ISNUMBER(B82),B82&gt;0),"Attention required","")</f>
        <v/>
      </c>
      <c r="D82" s="80"/>
      <c r="E82" s="80"/>
      <c r="F82" s="80"/>
      <c r="G82" s="80"/>
      <c r="H82" s="80"/>
    </row>
    <row r="83" customFormat="false" ht="15" hidden="false" customHeight="false" outlineLevel="0" collapsed="false">
      <c r="A83" s="11" t="s">
        <v>1976</v>
      </c>
      <c r="B83" s="79" t="n">
        <f aca="false">COUNTIF(RSK_DECSTAT,"CHECK*")</f>
        <v>0</v>
      </c>
      <c r="C83" s="80" t="str">
        <f aca="false">IF(AND(ISNUMBER(B83),B83&gt;0),"Attention required","")</f>
        <v/>
      </c>
      <c r="D83" s="80"/>
      <c r="E83" s="80"/>
      <c r="F83" s="80"/>
      <c r="G83" s="80"/>
      <c r="H83" s="80"/>
    </row>
    <row r="84" customFormat="false" ht="15" hidden="false" customHeight="false" outlineLevel="0" collapsed="false">
      <c r="A84" s="11" t="s">
        <v>1977</v>
      </c>
      <c r="B84" s="79" t="n">
        <f aca="false">COUNTIF(CON_CHECK,"CHECK*")</f>
        <v>0</v>
      </c>
      <c r="C84" s="80" t="str">
        <f aca="false">IF(AND(ISNUMBER(B84),B84&gt;0),"Attention required","")</f>
        <v/>
      </c>
      <c r="D84" s="80"/>
      <c r="E84" s="80"/>
      <c r="F84" s="80"/>
      <c r="G84" s="80"/>
      <c r="H84" s="80"/>
    </row>
    <row r="85" customFormat="false" ht="15" hidden="false" customHeight="false" outlineLevel="0" collapsed="false">
      <c r="A85" s="11" t="s">
        <v>1978</v>
      </c>
      <c r="B85" s="79" t="n">
        <f aca="false">COUNTIF(MON_CHECK,"CHECK*")</f>
        <v>0</v>
      </c>
      <c r="C85" s="80" t="str">
        <f aca="false">IF(AND(ISNUMBER(B85),B85&gt;0),"Attention required","")</f>
        <v/>
      </c>
      <c r="D85" s="80"/>
      <c r="E85" s="80"/>
      <c r="F85" s="80"/>
      <c r="G85" s="80"/>
      <c r="H85" s="80"/>
    </row>
    <row r="86" customFormat="false" ht="15" hidden="false" customHeight="false" outlineLevel="0" collapsed="false">
      <c r="A86" s="11" t="s">
        <v>1979</v>
      </c>
      <c r="B86" s="79" t="n">
        <f aca="false">COUNTIF(INC_CHECK,"CHECK*")</f>
        <v>0</v>
      </c>
      <c r="C86" s="80" t="str">
        <f aca="false">IF(AND(ISNUMBER(B86),B86&gt;0),"Attention required","")</f>
        <v/>
      </c>
      <c r="D86" s="80"/>
      <c r="E86" s="80"/>
      <c r="F86" s="80"/>
      <c r="G86" s="80"/>
      <c r="H86" s="80"/>
    </row>
    <row r="87" customFormat="false" ht="15" hidden="false" customHeight="false" outlineLevel="0" collapsed="false">
      <c r="A87" s="11" t="s">
        <v>1980</v>
      </c>
      <c r="B87" s="79" t="n">
        <f aca="false">COUNTIF(DEP_CHECK,"CHECK*")</f>
        <v>0</v>
      </c>
      <c r="C87" s="80" t="str">
        <f aca="false">IF(AND(ISNUMBER(B87),B87&gt;0),"Attention required","")</f>
        <v/>
      </c>
      <c r="D87" s="80"/>
      <c r="E87" s="80"/>
      <c r="F87" s="80"/>
      <c r="G87" s="80"/>
      <c r="H87" s="80"/>
    </row>
    <row r="88" customFormat="false" ht="15" hidden="false" customHeight="false" outlineLevel="0" collapsed="false">
      <c r="A88" s="11" t="s">
        <v>1981</v>
      </c>
      <c r="B88" s="79" t="n">
        <f aca="false">COUNTIF(EXT_CHECK,"CHECK*")</f>
        <v>0</v>
      </c>
      <c r="C88" s="80" t="str">
        <f aca="false">IF(AND(ISNUMBER(B88),B88&gt;0),"Attention required","")</f>
        <v/>
      </c>
      <c r="D88" s="80"/>
      <c r="E88" s="80"/>
      <c r="F88" s="80"/>
      <c r="G88" s="80"/>
      <c r="H88" s="80"/>
    </row>
    <row r="89" customFormat="false" ht="15" hidden="false" customHeight="false" outlineLevel="0" collapsed="false">
      <c r="A89" s="11" t="s">
        <v>1982</v>
      </c>
      <c r="B89" s="79" t="n">
        <f aca="false">COUNTIF(B11,"CHECK*")+COUNTIF(B38,"CHECK*")</f>
        <v>0</v>
      </c>
      <c r="C89" s="80" t="str">
        <f aca="false">IF(AND(ISNUMBER(B89),B89&gt;0),"Attention required","")</f>
        <v/>
      </c>
      <c r="D89" s="80"/>
      <c r="E89" s="80"/>
      <c r="F89" s="80"/>
      <c r="G89" s="80"/>
      <c r="H89" s="80"/>
    </row>
    <row r="90" customFormat="false" ht="15" hidden="false" customHeight="false" outlineLevel="0" collapsed="false">
      <c r="A90" s="11" t="s">
        <v>1983</v>
      </c>
      <c r="B90" s="79" t="n">
        <f aca="false">SUM(B71:B89)</f>
        <v>0</v>
      </c>
      <c r="C90" s="80" t="str">
        <f aca="false">IF(AND(ISNUMBER(B90),B90&gt;0),"Attention required","")</f>
        <v/>
      </c>
      <c r="D90" s="80"/>
      <c r="E90" s="80"/>
      <c r="F90" s="80"/>
      <c r="G90" s="80"/>
      <c r="H90" s="80"/>
    </row>
    <row r="91" customFormat="false" ht="15" hidden="false" customHeight="false" outlineLevel="0" collapsed="false">
      <c r="A91" s="11" t="s">
        <v>1984</v>
      </c>
      <c r="B91" s="81" t="str">
        <f aca="false">IF(B90=0,"All integrity checks passed","ATTENTION: "&amp;B90&amp;" integrity issue(s) - see Issues rows")</f>
        <v>All integrity checks passed</v>
      </c>
      <c r="C91" s="81"/>
      <c r="D91" s="81"/>
      <c r="E91" s="81"/>
    </row>
  </sheetData>
  <sheetProtection sheet="true" formatColumns="false" formatRows="false" sort="false" autoFilter="false"/>
  <mergeCells count="53">
    <mergeCell ref="A3:H3"/>
    <mergeCell ref="C10:H10"/>
    <mergeCell ref="C12:H12"/>
    <mergeCell ref="C13:H13"/>
    <mergeCell ref="C14:H14"/>
    <mergeCell ref="C16:H16"/>
    <mergeCell ref="C20:H20"/>
    <mergeCell ref="C21:H21"/>
    <mergeCell ref="C24:H24"/>
    <mergeCell ref="C25:H25"/>
    <mergeCell ref="C26:H26"/>
    <mergeCell ref="C27:H27"/>
    <mergeCell ref="C39:H39"/>
    <mergeCell ref="C42:H42"/>
    <mergeCell ref="C43:H43"/>
    <mergeCell ref="C44:H44"/>
    <mergeCell ref="C48:H48"/>
    <mergeCell ref="C49:H49"/>
    <mergeCell ref="C50:H50"/>
    <mergeCell ref="C51:H51"/>
    <mergeCell ref="C52:H52"/>
    <mergeCell ref="C53:H53"/>
    <mergeCell ref="C54:H54"/>
    <mergeCell ref="C55:H55"/>
    <mergeCell ref="C56:H56"/>
    <mergeCell ref="C59:H59"/>
    <mergeCell ref="C60:H60"/>
    <mergeCell ref="C61:H61"/>
    <mergeCell ref="C62:H62"/>
    <mergeCell ref="C65:H65"/>
    <mergeCell ref="C67:H67"/>
    <mergeCell ref="C68:H68"/>
    <mergeCell ref="C71:H71"/>
    <mergeCell ref="C72:H72"/>
    <mergeCell ref="C73:H73"/>
    <mergeCell ref="C74:H74"/>
    <mergeCell ref="C75:H75"/>
    <mergeCell ref="C76:H76"/>
    <mergeCell ref="C77:H77"/>
    <mergeCell ref="C78:H78"/>
    <mergeCell ref="C79:H79"/>
    <mergeCell ref="C80:H80"/>
    <mergeCell ref="C81:H81"/>
    <mergeCell ref="C82:H82"/>
    <mergeCell ref="C83:H83"/>
    <mergeCell ref="C84:H84"/>
    <mergeCell ref="C85:H85"/>
    <mergeCell ref="C86:H86"/>
    <mergeCell ref="C87:H87"/>
    <mergeCell ref="C88:H88"/>
    <mergeCell ref="C89:H89"/>
    <mergeCell ref="C90:H90"/>
    <mergeCell ref="B91:E91"/>
  </mergeCells>
  <conditionalFormatting sqref="B10">
    <cfRule type="expression" priority="2" aboveAverage="0" equalAverage="0" bottom="0" percent="0" rank="0" text="" dxfId="2">
      <formula>AND(ISNUMBER(B10),B10&gt;0)</formula>
    </cfRule>
  </conditionalFormatting>
  <conditionalFormatting sqref="B12">
    <cfRule type="expression" priority="3" aboveAverage="0" equalAverage="0" bottom="0" percent="0" rank="0" text="" dxfId="0">
      <formula>AND(ISNUMBER(B12),B12&gt;0)</formula>
    </cfRule>
  </conditionalFormatting>
  <conditionalFormatting sqref="B13">
    <cfRule type="expression" priority="4" aboveAverage="0" equalAverage="0" bottom="0" percent="0" rank="0" text="" dxfId="2">
      <formula>AND(ISNUMBER(B13),B13&gt;0)</formula>
    </cfRule>
  </conditionalFormatting>
  <conditionalFormatting sqref="B14">
    <cfRule type="expression" priority="5" aboveAverage="0" equalAverage="0" bottom="0" percent="0" rank="0" text="" dxfId="2">
      <formula>AND(ISNUMBER(B14),B14&gt;0)</formula>
    </cfRule>
  </conditionalFormatting>
  <conditionalFormatting sqref="B16">
    <cfRule type="expression" priority="6" aboveAverage="0" equalAverage="0" bottom="0" percent="0" rank="0" text="" dxfId="2">
      <formula>AND(ISNUMBER(B16),B16&gt;0)</formula>
    </cfRule>
  </conditionalFormatting>
  <conditionalFormatting sqref="B20">
    <cfRule type="expression" priority="7" aboveAverage="0" equalAverage="0" bottom="0" percent="0" rank="0" text="" dxfId="0">
      <formula>AND(ISNUMBER(B20),B20&gt;0)</formula>
    </cfRule>
  </conditionalFormatting>
  <conditionalFormatting sqref="B21">
    <cfRule type="expression" priority="8" aboveAverage="0" equalAverage="0" bottom="0" percent="0" rank="0" text="" dxfId="0">
      <formula>AND(ISNUMBER(B21),B21&gt;0)</formula>
    </cfRule>
  </conditionalFormatting>
  <conditionalFormatting sqref="B24">
    <cfRule type="expression" priority="9" aboveAverage="0" equalAverage="0" bottom="0" percent="0" rank="0" text="" dxfId="2">
      <formula>AND(ISNUMBER(B24),B24&gt;0)</formula>
    </cfRule>
  </conditionalFormatting>
  <conditionalFormatting sqref="B25">
    <cfRule type="expression" priority="10" aboveAverage="0" equalAverage="0" bottom="0" percent="0" rank="0" text="" dxfId="0">
      <formula>AND(ISNUMBER(B25),B25&gt;0)</formula>
    </cfRule>
  </conditionalFormatting>
  <conditionalFormatting sqref="B26">
    <cfRule type="expression" priority="11" aboveAverage="0" equalAverage="0" bottom="0" percent="0" rank="0" text="" dxfId="0">
      <formula>AND(ISNUMBER(B26),B26&gt;0)</formula>
    </cfRule>
  </conditionalFormatting>
  <conditionalFormatting sqref="B27">
    <cfRule type="expression" priority="12" aboveAverage="0" equalAverage="0" bottom="0" percent="0" rank="0" text="" dxfId="0">
      <formula>AND(ISNUMBER(B27),B27&gt;0)</formula>
    </cfRule>
  </conditionalFormatting>
  <conditionalFormatting sqref="B39">
    <cfRule type="expression" priority="13" aboveAverage="0" equalAverage="0" bottom="0" percent="0" rank="0" text="" dxfId="0">
      <formula>AND(ISNUMBER(B39),B39&gt;0)</formula>
    </cfRule>
  </conditionalFormatting>
  <conditionalFormatting sqref="B42">
    <cfRule type="expression" priority="14" aboveAverage="0" equalAverage="0" bottom="0" percent="0" rank="0" text="" dxfId="2">
      <formula>AND(ISNUMBER(B42),B42&gt;0)</formula>
    </cfRule>
  </conditionalFormatting>
  <conditionalFormatting sqref="B43">
    <cfRule type="expression" priority="15" aboveAverage="0" equalAverage="0" bottom="0" percent="0" rank="0" text="" dxfId="0">
      <formula>AND(ISNUMBER(B43),B43&gt;0)</formula>
    </cfRule>
  </conditionalFormatting>
  <conditionalFormatting sqref="B44">
    <cfRule type="expression" priority="16" aboveAverage="0" equalAverage="0" bottom="0" percent="0" rank="0" text="" dxfId="2">
      <formula>AND(ISNUMBER(B44),B44&gt;0)</formula>
    </cfRule>
  </conditionalFormatting>
  <conditionalFormatting sqref="B48">
    <cfRule type="expression" priority="17" aboveAverage="0" equalAverage="0" bottom="0" percent="0" rank="0" text="" dxfId="0">
      <formula>AND(ISNUMBER(B48),B48&gt;0)</formula>
    </cfRule>
  </conditionalFormatting>
  <conditionalFormatting sqref="B49">
    <cfRule type="expression" priority="18" aboveAverage="0" equalAverage="0" bottom="0" percent="0" rank="0" text="" dxfId="2">
      <formula>AND(ISNUMBER(B49),B49&gt;0)</formula>
    </cfRule>
  </conditionalFormatting>
  <conditionalFormatting sqref="B50">
    <cfRule type="expression" priority="19" aboveAverage="0" equalAverage="0" bottom="0" percent="0" rank="0" text="" dxfId="2">
      <formula>AND(ISNUMBER(B50),B50&gt;0)</formula>
    </cfRule>
  </conditionalFormatting>
  <conditionalFormatting sqref="B51">
    <cfRule type="expression" priority="20" aboveAverage="0" equalAverage="0" bottom="0" percent="0" rank="0" text="" dxfId="2">
      <formula>AND(ISNUMBER(B51),B51&gt;0)</formula>
    </cfRule>
  </conditionalFormatting>
  <conditionalFormatting sqref="B52">
    <cfRule type="expression" priority="21" aboveAverage="0" equalAverage="0" bottom="0" percent="0" rank="0" text="" dxfId="2">
      <formula>AND(ISNUMBER(B52),B52&gt;0)</formula>
    </cfRule>
  </conditionalFormatting>
  <conditionalFormatting sqref="B53">
    <cfRule type="expression" priority="22" aboveAverage="0" equalAverage="0" bottom="0" percent="0" rank="0" text="" dxfId="0">
      <formula>AND(ISNUMBER(B53),B53&gt;0)</formula>
    </cfRule>
  </conditionalFormatting>
  <conditionalFormatting sqref="B54">
    <cfRule type="expression" priority="23" aboveAverage="0" equalAverage="0" bottom="0" percent="0" rank="0" text="" dxfId="0">
      <formula>AND(ISNUMBER(B54),B54&gt;0)</formula>
    </cfRule>
  </conditionalFormatting>
  <conditionalFormatting sqref="B55">
    <cfRule type="expression" priority="24" aboveAverage="0" equalAverage="0" bottom="0" percent="0" rank="0" text="" dxfId="2">
      <formula>AND(ISNUMBER(B55),B55&gt;0)</formula>
    </cfRule>
  </conditionalFormatting>
  <conditionalFormatting sqref="B56">
    <cfRule type="expression" priority="25" aboveAverage="0" equalAverage="0" bottom="0" percent="0" rank="0" text="" dxfId="2">
      <formula>AND(ISNUMBER(B56),B56&gt;0)</formula>
    </cfRule>
  </conditionalFormatting>
  <conditionalFormatting sqref="B59">
    <cfRule type="expression" priority="26" aboveAverage="0" equalAverage="0" bottom="0" percent="0" rank="0" text="" dxfId="2">
      <formula>AND(ISNUMBER(B59),B59&gt;0)</formula>
    </cfRule>
  </conditionalFormatting>
  <conditionalFormatting sqref="B60">
    <cfRule type="expression" priority="27" aboveAverage="0" equalAverage="0" bottom="0" percent="0" rank="0" text="" dxfId="2">
      <formula>AND(ISNUMBER(B60),B60&gt;0)</formula>
    </cfRule>
  </conditionalFormatting>
  <conditionalFormatting sqref="B61">
    <cfRule type="expression" priority="28" aboveAverage="0" equalAverage="0" bottom="0" percent="0" rank="0" text="" dxfId="2">
      <formula>AND(ISNUMBER(B61),B61&gt;0)</formula>
    </cfRule>
  </conditionalFormatting>
  <conditionalFormatting sqref="B62">
    <cfRule type="expression" priority="29" aboveAverage="0" equalAverage="0" bottom="0" percent="0" rank="0" text="" dxfId="0">
      <formula>AND(ISNUMBER(B62),B62&gt;0)</formula>
    </cfRule>
  </conditionalFormatting>
  <conditionalFormatting sqref="B65">
    <cfRule type="expression" priority="30" aboveAverage="0" equalAverage="0" bottom="0" percent="0" rank="0" text="" dxfId="2">
      <formula>AND(ISNUMBER(B65),B65&gt;0)</formula>
    </cfRule>
  </conditionalFormatting>
  <conditionalFormatting sqref="B67">
    <cfRule type="expression" priority="31" aboveAverage="0" equalAverage="0" bottom="0" percent="0" rank="0" text="" dxfId="2">
      <formula>AND(ISNUMBER(B67),B67&gt;0)</formula>
    </cfRule>
  </conditionalFormatting>
  <conditionalFormatting sqref="B68">
    <cfRule type="expression" priority="32" aboveAverage="0" equalAverage="0" bottom="0" percent="0" rank="0" text="" dxfId="2">
      <formula>AND(ISNUMBER(B68),B68&gt;0)</formula>
    </cfRule>
  </conditionalFormatting>
  <conditionalFormatting sqref="B71">
    <cfRule type="expression" priority="33" aboveAverage="0" equalAverage="0" bottom="0" percent="0" rank="0" text="" dxfId="0">
      <formula>AND(ISNUMBER(B71),B71&gt;0)</formula>
    </cfRule>
  </conditionalFormatting>
  <conditionalFormatting sqref="B72">
    <cfRule type="expression" priority="34" aboveAverage="0" equalAverage="0" bottom="0" percent="0" rank="0" text="" dxfId="0">
      <formula>AND(ISNUMBER(B72),B72&gt;0)</formula>
    </cfRule>
  </conditionalFormatting>
  <conditionalFormatting sqref="B73">
    <cfRule type="expression" priority="35" aboveAverage="0" equalAverage="0" bottom="0" percent="0" rank="0" text="" dxfId="0">
      <formula>AND(ISNUMBER(B73),B73&gt;0)</formula>
    </cfRule>
  </conditionalFormatting>
  <conditionalFormatting sqref="B74">
    <cfRule type="expression" priority="36" aboveAverage="0" equalAverage="0" bottom="0" percent="0" rank="0" text="" dxfId="0">
      <formula>AND(ISNUMBER(B74),B74&gt;0)</formula>
    </cfRule>
  </conditionalFormatting>
  <conditionalFormatting sqref="B75">
    <cfRule type="expression" priority="37" aboveAverage="0" equalAverage="0" bottom="0" percent="0" rank="0" text="" dxfId="0">
      <formula>AND(ISNUMBER(B75),B75&gt;0)</formula>
    </cfRule>
  </conditionalFormatting>
  <conditionalFormatting sqref="B76">
    <cfRule type="expression" priority="38" aboveAverage="0" equalAverage="0" bottom="0" percent="0" rank="0" text="" dxfId="0">
      <formula>AND(ISNUMBER(B76),B76&gt;0)</formula>
    </cfRule>
  </conditionalFormatting>
  <conditionalFormatting sqref="B77">
    <cfRule type="expression" priority="39" aboveAverage="0" equalAverage="0" bottom="0" percent="0" rank="0" text="" dxfId="0">
      <formula>AND(ISNUMBER(B77),B77&gt;0)</formula>
    </cfRule>
  </conditionalFormatting>
  <conditionalFormatting sqref="B78">
    <cfRule type="expression" priority="40" aboveAverage="0" equalAverage="0" bottom="0" percent="0" rank="0" text="" dxfId="0">
      <formula>AND(ISNUMBER(B78),B78&gt;0)</formula>
    </cfRule>
  </conditionalFormatting>
  <conditionalFormatting sqref="B79">
    <cfRule type="expression" priority="41" aboveAverage="0" equalAverage="0" bottom="0" percent="0" rank="0" text="" dxfId="0">
      <formula>AND(ISNUMBER(B79),B79&gt;0)</formula>
    </cfRule>
  </conditionalFormatting>
  <conditionalFormatting sqref="B80">
    <cfRule type="expression" priority="42" aboveAverage="0" equalAverage="0" bottom="0" percent="0" rank="0" text="" dxfId="0">
      <formula>AND(ISNUMBER(B80),B80&gt;0)</formula>
    </cfRule>
  </conditionalFormatting>
  <conditionalFormatting sqref="B81">
    <cfRule type="expression" priority="43" aboveAverage="0" equalAverage="0" bottom="0" percent="0" rank="0" text="" dxfId="0">
      <formula>AND(ISNUMBER(B81),B81&gt;0)</formula>
    </cfRule>
  </conditionalFormatting>
  <conditionalFormatting sqref="B82">
    <cfRule type="expression" priority="44" aboveAverage="0" equalAverage="0" bottom="0" percent="0" rank="0" text="" dxfId="0">
      <formula>AND(ISNUMBER(B82),B82&gt;0)</formula>
    </cfRule>
  </conditionalFormatting>
  <conditionalFormatting sqref="B83">
    <cfRule type="expression" priority="45" aboveAverage="0" equalAverage="0" bottom="0" percent="0" rank="0" text="" dxfId="0">
      <formula>AND(ISNUMBER(B83),B83&gt;0)</formula>
    </cfRule>
  </conditionalFormatting>
  <conditionalFormatting sqref="B84">
    <cfRule type="expression" priority="46" aboveAverage="0" equalAverage="0" bottom="0" percent="0" rank="0" text="" dxfId="0">
      <formula>AND(ISNUMBER(B84),B84&gt;0)</formula>
    </cfRule>
  </conditionalFormatting>
  <conditionalFormatting sqref="B85">
    <cfRule type="expression" priority="47" aboveAverage="0" equalAverage="0" bottom="0" percent="0" rank="0" text="" dxfId="0">
      <formula>AND(ISNUMBER(B85),B85&gt;0)</formula>
    </cfRule>
  </conditionalFormatting>
  <conditionalFormatting sqref="B86">
    <cfRule type="expression" priority="48" aboveAverage="0" equalAverage="0" bottom="0" percent="0" rank="0" text="" dxfId="0">
      <formula>AND(ISNUMBER(B86),B86&gt;0)</formula>
    </cfRule>
  </conditionalFormatting>
  <conditionalFormatting sqref="B87">
    <cfRule type="expression" priority="49" aboveAverage="0" equalAverage="0" bottom="0" percent="0" rank="0" text="" dxfId="0">
      <formula>AND(ISNUMBER(B87),B87&gt;0)</formula>
    </cfRule>
  </conditionalFormatting>
  <conditionalFormatting sqref="B88">
    <cfRule type="expression" priority="50" aboveAverage="0" equalAverage="0" bottom="0" percent="0" rank="0" text="" dxfId="0">
      <formula>AND(ISNUMBER(B88),B88&gt;0)</formula>
    </cfRule>
  </conditionalFormatting>
  <conditionalFormatting sqref="B89">
    <cfRule type="expression" priority="51" aboveAverage="0" equalAverage="0" bottom="0" percent="0" rank="0" text="" dxfId="0">
      <formula>AND(ISNUMBER(B89),B89&gt;0)</formula>
    </cfRule>
  </conditionalFormatting>
  <conditionalFormatting sqref="B90">
    <cfRule type="expression" priority="52" aboveAverage="0" equalAverage="0" bottom="0" percent="0" rank="0" text="" dxfId="0">
      <formula>AND(ISNUMBER(B90),B90&gt;0)</formula>
    </cfRule>
  </conditionalFormatting>
  <conditionalFormatting sqref="B11">
    <cfRule type="expression" priority="53" aboveAverage="0" equalAverage="0" bottom="0" percent="0" rank="0" text="" dxfId="0">
      <formula>LEFT(B11,5)="CHECK"</formula>
    </cfRule>
    <cfRule type="expression" priority="54" aboveAverage="0" equalAverage="0" bottom="0" percent="0" rank="0" text="" dxfId="1">
      <formula>B11="Reconciled"</formula>
    </cfRule>
  </conditionalFormatting>
  <conditionalFormatting sqref="B38">
    <cfRule type="expression" priority="55" aboveAverage="0" equalAverage="0" bottom="0" percent="0" rank="0" text="" dxfId="0">
      <formula>LEFT(B38,5)="CHECK"</formula>
    </cfRule>
    <cfRule type="expression" priority="56" aboveAverage="0" equalAverage="0" bottom="0" percent="0" rank="0" text="" dxfId="1">
      <formula>B38="Reconciled"</formula>
    </cfRule>
  </conditionalFormatting>
  <conditionalFormatting sqref="B91">
    <cfRule type="expression" priority="57" aboveAverage="0" equalAverage="0" bottom="0" percent="0" rank="0" text="" dxfId="0">
      <formula>LEFT(B91,9)="ATTENTION"</formula>
    </cfRule>
    <cfRule type="expression" priority="58" aboveAverage="0" equalAverage="0" bottom="0" percent="0" rank="0" text="" dxfId="1">
      <formula>LEFT(B91,3)="All"</formula>
    </cfRule>
  </conditionalFormatting>
  <conditionalFormatting sqref="B5:B200">
    <cfRule type="expression" priority="59" aboveAverage="0" equalAverage="0" bottom="0" percent="0" rank="0" text="" dxfId="2">
      <formula>B5="Not configured"</formula>
    </cfRule>
  </conditionalFormatting>
  <hyperlinks>
    <hyperlink ref="H1" r:id="rId1" location="'01%20Start%20Here'!A1" display="&lt;&lt; Back to Start Here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2026-10-29T08:03:10Z</dcterms:created>
  <dc:creator>GRC Workshop</dc:creator>
  <dc:description/>
  <dc:language>en-US</dc:language>
  <cp:lastModifiedBy/>
  <dcterms:modified xsi:type="dcterms:W3CDTF">2026-10-29T08:05:21Z</dcterms:modified>
  <cp:revision>3</cp:revision>
  <dc:subject/>
  <dc:title>TPRM Practitioner Toolkit v1.0 - Worked Example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